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luis.campos\Downloads\"/>
    </mc:Choice>
  </mc:AlternateContent>
  <xr:revisionPtr revIDLastSave="0" documentId="13_ncr:1_{F4312940-7C08-42BC-B633-F6EFA5A1860A}" xr6:coauthVersionLast="47" xr6:coauthVersionMax="47" xr10:uidLastSave="{00000000-0000-0000-0000-000000000000}"/>
  <bookViews>
    <workbookView xWindow="-120" yWindow="-120" windowWidth="29040" windowHeight="15840" tabRatio="623" xr2:uid="{00000000-000D-0000-FFFF-FFFF00000000}"/>
  </bookViews>
  <sheets>
    <sheet name="RESUMEN APUS" sheetId="1" r:id="rId1"/>
    <sheet name="APUS"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b">#REF!</definedName>
    <definedName name="\c">#REF!</definedName>
    <definedName name="\e">#REF!</definedName>
    <definedName name="\i">#REF!</definedName>
    <definedName name="\m">#REF!</definedName>
    <definedName name="\r">#REF!</definedName>
    <definedName name="\t">#REF!</definedName>
    <definedName name="\x">#REF!</definedName>
    <definedName name="\z">#REF!</definedName>
    <definedName name="__________________________________________________________Po2">#REF!</definedName>
    <definedName name="__________________________________________________________TPE1132">#REF!</definedName>
    <definedName name="__________________________________________________________TPE1331">#REF!</definedName>
    <definedName name="__________________________________________________________TPE1702">#REF!</definedName>
    <definedName name="__________________________________________________________TPE1703">#REF!</definedName>
    <definedName name="__________________________________________________________TPE1704">#REF!</definedName>
    <definedName name="__________________________________________________________TPE1706">#REF!</definedName>
    <definedName name="__________________________________________________________TPE1708">#REF!</definedName>
    <definedName name="__________________________________________________________TPE1710">#REF!</definedName>
    <definedName name="__________________________________________________________TPE1735">#REF!</definedName>
    <definedName name="__________________________________________________________TPE1763">#REF!</definedName>
    <definedName name="__________________________________________________________TPE1790">#REF!</definedName>
    <definedName name="__________________________________________________________TUZ22">#REF!</definedName>
    <definedName name="__________________________________________________________TUZ36">#REF!</definedName>
    <definedName name="__________________________________________________________TZ323">#REF!</definedName>
    <definedName name="__________________________________________________________TZ324">#REF!</definedName>
    <definedName name="________________________________________________________AIU1">#REF!</definedName>
    <definedName name="________________________________________________________AIU2">#REF!</definedName>
    <definedName name="________________________________________________________Cod1">#REF!</definedName>
    <definedName name="________________________________________________________Po2">#REF!</definedName>
    <definedName name="________________________________________________________TPE1132">#REF!</definedName>
    <definedName name="________________________________________________________TPE1331">#REF!</definedName>
    <definedName name="________________________________________________________TPE1702">#REF!</definedName>
    <definedName name="________________________________________________________TPE1703">#REF!</definedName>
    <definedName name="________________________________________________________TPE1704">#REF!</definedName>
    <definedName name="________________________________________________________TPE1706">#REF!</definedName>
    <definedName name="________________________________________________________TPE1708">#REF!</definedName>
    <definedName name="________________________________________________________TPE1710">#REF!</definedName>
    <definedName name="________________________________________________________TPE1735">#REF!</definedName>
    <definedName name="________________________________________________________TPE1763">#REF!</definedName>
    <definedName name="________________________________________________________TPE1790">#REF!</definedName>
    <definedName name="________________________________________________________TUZ22">#REF!</definedName>
    <definedName name="________________________________________________________TUZ36">#REF!</definedName>
    <definedName name="________________________________________________________TZ323">#REF!</definedName>
    <definedName name="________________________________________________________TZ324">#REF!</definedName>
    <definedName name="_______________________________________________________AIU1">#REF!</definedName>
    <definedName name="_______________________________________________________AIU2">#REF!</definedName>
    <definedName name="_______________________________________________________CAN28">#REF!</definedName>
    <definedName name="_______________________________________________________Cod1">#REF!</definedName>
    <definedName name="_______________________________________________________Po2">#REF!</definedName>
    <definedName name="_______________________________________________________REP43">#REF!</definedName>
    <definedName name="_______________________________________________________TPE1132">#REF!</definedName>
    <definedName name="_______________________________________________________TPE12">#REF!</definedName>
    <definedName name="_______________________________________________________TPE1331">#REF!</definedName>
    <definedName name="_______________________________________________________TPE1702">#REF!</definedName>
    <definedName name="_______________________________________________________TPE1703">#REF!</definedName>
    <definedName name="_______________________________________________________TPE1704">#REF!</definedName>
    <definedName name="_______________________________________________________TPE1706">#REF!</definedName>
    <definedName name="_______________________________________________________TPE1708">#REF!</definedName>
    <definedName name="_______________________________________________________TPE1710">#REF!</definedName>
    <definedName name="_______________________________________________________TPE1735">#REF!</definedName>
    <definedName name="_______________________________________________________TPE1763">#REF!</definedName>
    <definedName name="_______________________________________________________TPE1790">#REF!</definedName>
    <definedName name="_______________________________________________________TUZ22">#REF!</definedName>
    <definedName name="_______________________________________________________TUZ36">#REF!</definedName>
    <definedName name="_______________________________________________________TZ323">#REF!</definedName>
    <definedName name="_______________________________________________________TZ324">#REF!</definedName>
    <definedName name="______________________________________________________AIU1">#REF!</definedName>
    <definedName name="______________________________________________________AIU2">#REF!</definedName>
    <definedName name="______________________________________________________Cod1">#REF!</definedName>
    <definedName name="______________________________________________________Po2">#REF!</definedName>
    <definedName name="______________________________________________________REP43">#REF!</definedName>
    <definedName name="______________________________________________________TPE1132">#REF!</definedName>
    <definedName name="______________________________________________________TPE12">#REF!</definedName>
    <definedName name="______________________________________________________TPE1331">#REF!</definedName>
    <definedName name="______________________________________________________TPE1702">#REF!</definedName>
    <definedName name="______________________________________________________TPE1703">#REF!</definedName>
    <definedName name="______________________________________________________TPE1704">#REF!</definedName>
    <definedName name="______________________________________________________TPE1706">#REF!</definedName>
    <definedName name="______________________________________________________TPE1708">#REF!</definedName>
    <definedName name="______________________________________________________TPE1710">#REF!</definedName>
    <definedName name="______________________________________________________TPE1735">#REF!</definedName>
    <definedName name="______________________________________________________TPE1763">#REF!</definedName>
    <definedName name="______________________________________________________TPE1790">#REF!</definedName>
    <definedName name="______________________________________________________TUZ22">#REF!</definedName>
    <definedName name="______________________________________________________TUZ36">#REF!</definedName>
    <definedName name="______________________________________________________TZ323">#REF!</definedName>
    <definedName name="______________________________________________________TZ324">#REF!</definedName>
    <definedName name="_____________________________________________________AIU1">#REF!</definedName>
    <definedName name="_____________________________________________________AIU2">#REF!</definedName>
    <definedName name="_____________________________________________________Cod1">#REF!</definedName>
    <definedName name="_____________________________________________________Po2">#REF!</definedName>
    <definedName name="_____________________________________________________REP43">#REF!</definedName>
    <definedName name="_____________________________________________________TEP44">#REF!</definedName>
    <definedName name="_____________________________________________________TPE1132">#REF!</definedName>
    <definedName name="_____________________________________________________TPE12">#REF!</definedName>
    <definedName name="_____________________________________________________TPE1331">#REF!</definedName>
    <definedName name="_____________________________________________________TPE1702">#REF!</definedName>
    <definedName name="_____________________________________________________TPE1703">#REF!</definedName>
    <definedName name="_____________________________________________________TPE1704">#REF!</definedName>
    <definedName name="_____________________________________________________TPE1706">#REF!</definedName>
    <definedName name="_____________________________________________________TPE1708">#REF!</definedName>
    <definedName name="_____________________________________________________TPE1710">#REF!</definedName>
    <definedName name="_____________________________________________________TPE1735">#REF!</definedName>
    <definedName name="_____________________________________________________TPE1763">#REF!</definedName>
    <definedName name="_____________________________________________________TPE1790">#REF!</definedName>
    <definedName name="_____________________________________________________TUZ22">#REF!</definedName>
    <definedName name="_____________________________________________________TUZ36">#REF!</definedName>
    <definedName name="_____________________________________________________TZ216">#REF!</definedName>
    <definedName name="_____________________________________________________TZ323">#REF!</definedName>
    <definedName name="_____________________________________________________TZ324">#REF!</definedName>
    <definedName name="____________________________________________________AIU1">#REF!</definedName>
    <definedName name="____________________________________________________AIU2">#REF!</definedName>
    <definedName name="____________________________________________________Cod1">#REF!</definedName>
    <definedName name="____________________________________________________Po2">#REF!</definedName>
    <definedName name="____________________________________________________REP43">#REF!</definedName>
    <definedName name="____________________________________________________TPE1132">#REF!</definedName>
    <definedName name="____________________________________________________TPE12">#REF!</definedName>
    <definedName name="____________________________________________________TPE1331">#REF!</definedName>
    <definedName name="____________________________________________________TPE1702">#REF!</definedName>
    <definedName name="____________________________________________________TPE1703">#REF!</definedName>
    <definedName name="____________________________________________________TPE1704">#REF!</definedName>
    <definedName name="____________________________________________________TPE1706">#REF!</definedName>
    <definedName name="____________________________________________________TPE1708">#REF!</definedName>
    <definedName name="____________________________________________________TPE1710">#REF!</definedName>
    <definedName name="____________________________________________________TPE1735">#REF!</definedName>
    <definedName name="____________________________________________________TPE1763">#REF!</definedName>
    <definedName name="____________________________________________________TPE1790">#REF!</definedName>
    <definedName name="____________________________________________________TUZ22">#REF!</definedName>
    <definedName name="____________________________________________________TUZ36">#REF!</definedName>
    <definedName name="____________________________________________________TZ214">#REF!</definedName>
    <definedName name="____________________________________________________TZ323">#REF!</definedName>
    <definedName name="____________________________________________________TZ324">#REF!</definedName>
    <definedName name="____________________________________________________TZ32510">#REF!</definedName>
    <definedName name="___________________________________________________AIU1">#REF!</definedName>
    <definedName name="___________________________________________________AIU2">#REF!</definedName>
    <definedName name="___________________________________________________Cod1">#REF!</definedName>
    <definedName name="___________________________________________________Po2">#REF!</definedName>
    <definedName name="___________________________________________________REP43">#REF!</definedName>
    <definedName name="___________________________________________________TEP44">#REF!</definedName>
    <definedName name="___________________________________________________TPE1132">#REF!</definedName>
    <definedName name="___________________________________________________TPE12">#REF!</definedName>
    <definedName name="___________________________________________________TPE1331">#REF!</definedName>
    <definedName name="___________________________________________________TPE1702">#REF!</definedName>
    <definedName name="___________________________________________________TPE1703">#REF!</definedName>
    <definedName name="___________________________________________________TPE1704">#REF!</definedName>
    <definedName name="___________________________________________________TPE1706">#REF!</definedName>
    <definedName name="___________________________________________________TPE1708">#REF!</definedName>
    <definedName name="___________________________________________________TPE1710">#REF!</definedName>
    <definedName name="___________________________________________________TPE1735">#REF!</definedName>
    <definedName name="___________________________________________________TPE1763">#REF!</definedName>
    <definedName name="___________________________________________________TPE1790">#REF!</definedName>
    <definedName name="___________________________________________________TUZ22">#REF!</definedName>
    <definedName name="___________________________________________________TUZ36">#REF!</definedName>
    <definedName name="___________________________________________________TZ216">#REF!</definedName>
    <definedName name="___________________________________________________TZ323">#REF!</definedName>
    <definedName name="___________________________________________________TZ324">#REF!</definedName>
    <definedName name="__________________________________________________AIU1">#REF!</definedName>
    <definedName name="__________________________________________________AIU2">#REF!</definedName>
    <definedName name="__________________________________________________Cod1">#REF!</definedName>
    <definedName name="__________________________________________________Po2">#REF!</definedName>
    <definedName name="__________________________________________________REP43">#REF!</definedName>
    <definedName name="__________________________________________________TEP44">#REF!</definedName>
    <definedName name="__________________________________________________TPE1132">#REF!</definedName>
    <definedName name="__________________________________________________TPE12">#REF!</definedName>
    <definedName name="__________________________________________________TPE1331">#REF!</definedName>
    <definedName name="__________________________________________________TPE1702">#REF!</definedName>
    <definedName name="__________________________________________________TPE1703">#REF!</definedName>
    <definedName name="__________________________________________________TPE1704">#REF!</definedName>
    <definedName name="__________________________________________________TPE1706">#REF!</definedName>
    <definedName name="__________________________________________________TPE1708">#REF!</definedName>
    <definedName name="__________________________________________________TPE1710">#REF!</definedName>
    <definedName name="__________________________________________________TPE1735">#REF!</definedName>
    <definedName name="__________________________________________________TPE1763">#REF!</definedName>
    <definedName name="__________________________________________________TPE1790">#REF!</definedName>
    <definedName name="__________________________________________________TUZ22">#REF!</definedName>
    <definedName name="__________________________________________________TUZ36">#REF!</definedName>
    <definedName name="__________________________________________________TZ214">#REF!</definedName>
    <definedName name="__________________________________________________TZ216">#REF!</definedName>
    <definedName name="__________________________________________________TZ323">#REF!</definedName>
    <definedName name="__________________________________________________TZ324">#REF!</definedName>
    <definedName name="__________________________________________________TZ32510">#REF!</definedName>
    <definedName name="_________________________________________________AIU1">#REF!</definedName>
    <definedName name="_________________________________________________AIU2">#REF!</definedName>
    <definedName name="_________________________________________________Cod1">#REF!</definedName>
    <definedName name="_________________________________________________REP43">#REF!</definedName>
    <definedName name="_________________________________________________TEP44">#REF!</definedName>
    <definedName name="_________________________________________________TPE1132">#REF!</definedName>
    <definedName name="_________________________________________________TPE12">#REF!</definedName>
    <definedName name="_________________________________________________TPE1331">#REF!</definedName>
    <definedName name="_________________________________________________TPE1702">#REF!</definedName>
    <definedName name="_________________________________________________TPE1703">#REF!</definedName>
    <definedName name="_________________________________________________TPE1704">#REF!</definedName>
    <definedName name="_________________________________________________TPE1706">#REF!</definedName>
    <definedName name="_________________________________________________TPE1708">#REF!</definedName>
    <definedName name="_________________________________________________TPE1710">#REF!</definedName>
    <definedName name="_________________________________________________TPE1735">#REF!</definedName>
    <definedName name="_________________________________________________TPE1763">#REF!</definedName>
    <definedName name="_________________________________________________TPE1790">#REF!</definedName>
    <definedName name="_________________________________________________TUZ22">#REF!</definedName>
    <definedName name="_________________________________________________TUZ36">#REF!</definedName>
    <definedName name="_________________________________________________TZ214">#REF!</definedName>
    <definedName name="_________________________________________________TZ216">#REF!</definedName>
    <definedName name="_________________________________________________TZ323">#REF!</definedName>
    <definedName name="_________________________________________________TZ324">#REF!</definedName>
    <definedName name="_________________________________________________TZ32510">#REF!</definedName>
    <definedName name="________________________________________________ADM4">#REF!</definedName>
    <definedName name="________________________________________________AIU1">#REF!</definedName>
    <definedName name="________________________________________________AIU2">#REF!</definedName>
    <definedName name="________________________________________________CAN28">#REF!</definedName>
    <definedName name="________________________________________________Cod1">#REF!</definedName>
    <definedName name="________________________________________________Po2">#REF!</definedName>
    <definedName name="________________________________________________REP43">#REF!</definedName>
    <definedName name="________________________________________________TEP44">#REF!</definedName>
    <definedName name="________________________________________________TPE1132">#REF!</definedName>
    <definedName name="________________________________________________TPE12">#REF!</definedName>
    <definedName name="________________________________________________TPE1331">#REF!</definedName>
    <definedName name="________________________________________________TPE1702">#REF!</definedName>
    <definedName name="________________________________________________TPE1703">#REF!</definedName>
    <definedName name="________________________________________________TPE1704">#REF!</definedName>
    <definedName name="________________________________________________TPE1706">#REF!</definedName>
    <definedName name="________________________________________________TPE1708">#REF!</definedName>
    <definedName name="________________________________________________TPE1710">#REF!</definedName>
    <definedName name="________________________________________________TPE1735">#REF!</definedName>
    <definedName name="________________________________________________TPE1763">#REF!</definedName>
    <definedName name="________________________________________________TPE1790">#REF!</definedName>
    <definedName name="________________________________________________TUZ22">#REF!</definedName>
    <definedName name="________________________________________________TUZ36">#REF!</definedName>
    <definedName name="________________________________________________TZ214">#REF!</definedName>
    <definedName name="________________________________________________TZ216">#REF!</definedName>
    <definedName name="________________________________________________TZ323">#REF!</definedName>
    <definedName name="________________________________________________TZ324">#REF!</definedName>
    <definedName name="________________________________________________TZ32510">#REF!</definedName>
    <definedName name="_______________________________________________ADM4">#REF!</definedName>
    <definedName name="_______________________________________________AIU1">#REF!</definedName>
    <definedName name="_______________________________________________AIU2">#REF!</definedName>
    <definedName name="_______________________________________________Cod1">#REF!</definedName>
    <definedName name="_______________________________________________Po2">#REF!</definedName>
    <definedName name="_______________________________________________REP43">#REF!</definedName>
    <definedName name="_______________________________________________TPE1132">#REF!</definedName>
    <definedName name="_______________________________________________TPE12">#REF!</definedName>
    <definedName name="_______________________________________________TPE1331">#REF!</definedName>
    <definedName name="_______________________________________________TPE1702">#REF!</definedName>
    <definedName name="_______________________________________________TPE1703">#REF!</definedName>
    <definedName name="_______________________________________________TPE1704">#REF!</definedName>
    <definedName name="_______________________________________________TPE1706">#REF!</definedName>
    <definedName name="_______________________________________________TPE1708">#REF!</definedName>
    <definedName name="_______________________________________________TPE1710">#REF!</definedName>
    <definedName name="_______________________________________________TPE1735">#REF!</definedName>
    <definedName name="_______________________________________________TPE1763">#REF!</definedName>
    <definedName name="_______________________________________________TPE1790">#REF!</definedName>
    <definedName name="_______________________________________________TUZ22">#REF!</definedName>
    <definedName name="_______________________________________________TUZ36">#REF!</definedName>
    <definedName name="_______________________________________________TZ214">#REF!</definedName>
    <definedName name="_______________________________________________TZ323">#REF!</definedName>
    <definedName name="_______________________________________________TZ324">#REF!</definedName>
    <definedName name="_______________________________________________TZ32510">#REF!</definedName>
    <definedName name="______________________________________________ADH12">#REF!</definedName>
    <definedName name="______________________________________________ADM12">#REF!</definedName>
    <definedName name="______________________________________________ADM4">#REF!</definedName>
    <definedName name="______________________________________________AIU1">#REF!</definedName>
    <definedName name="______________________________________________AIU2">#REF!</definedName>
    <definedName name="______________________________________________BAZ10">#REF!</definedName>
    <definedName name="______________________________________________BLO20">#REF!</definedName>
    <definedName name="______________________________________________CAN28">#REF!</definedName>
    <definedName name="______________________________________________Cod1">#REF!</definedName>
    <definedName name="______________________________________________CUA44">#REF!</definedName>
    <definedName name="______________________________________________LA124">#REF!</definedName>
    <definedName name="______________________________________________LAC18">#REF!</definedName>
    <definedName name="______________________________________________Po2">#REF!</definedName>
    <definedName name="______________________________________________R84JH">#REF!</definedName>
    <definedName name="______________________________________________REP43">#REF!</definedName>
    <definedName name="______________________________________________TEP44">#REF!</definedName>
    <definedName name="______________________________________________TPE1132">#REF!</definedName>
    <definedName name="______________________________________________TPE12">#REF!</definedName>
    <definedName name="______________________________________________TPE1331">#REF!</definedName>
    <definedName name="______________________________________________TPE1702">#REF!</definedName>
    <definedName name="______________________________________________TPE1703">#REF!</definedName>
    <definedName name="______________________________________________TPE1704">#REF!</definedName>
    <definedName name="______________________________________________TPE1706">#REF!</definedName>
    <definedName name="______________________________________________TPE1708">#REF!</definedName>
    <definedName name="______________________________________________TPE1710">#REF!</definedName>
    <definedName name="______________________________________________TPE1735">#REF!</definedName>
    <definedName name="______________________________________________TPE1763">#REF!</definedName>
    <definedName name="______________________________________________TPE1790">#REF!</definedName>
    <definedName name="______________________________________________TPF12">#REF!</definedName>
    <definedName name="______________________________________________TUZ22">#REF!</definedName>
    <definedName name="______________________________________________TUZ36">#REF!</definedName>
    <definedName name="______________________________________________TZ2110">#REF!</definedName>
    <definedName name="______________________________________________TZ216">#REF!</definedName>
    <definedName name="______________________________________________TZ268">#REF!</definedName>
    <definedName name="______________________________________________TZ323">#REF!</definedName>
    <definedName name="______________________________________________TZ324">#REF!</definedName>
    <definedName name="_____________________________________________ADH12">#REF!</definedName>
    <definedName name="_____________________________________________ADM12">#REF!</definedName>
    <definedName name="_____________________________________________ADM4">#REF!</definedName>
    <definedName name="_____________________________________________AIU1">#REF!</definedName>
    <definedName name="_____________________________________________AIU2">#REF!</definedName>
    <definedName name="_____________________________________________BAZ10">#REF!</definedName>
    <definedName name="_____________________________________________BLO20">#REF!</definedName>
    <definedName name="_____________________________________________CAN28">#REF!</definedName>
    <definedName name="_____________________________________________Cod1">#REF!</definedName>
    <definedName name="_____________________________________________CUA44">#REF!</definedName>
    <definedName name="_____________________________________________LA124">#REF!</definedName>
    <definedName name="_____________________________________________LAC18">#REF!</definedName>
    <definedName name="_____________________________________________Po2">#REF!</definedName>
    <definedName name="_____________________________________________R84JH">#REF!</definedName>
    <definedName name="_____________________________________________REP43">#REF!</definedName>
    <definedName name="_____________________________________________TPE1132">#REF!</definedName>
    <definedName name="_____________________________________________TPE12">#REF!</definedName>
    <definedName name="_____________________________________________TPE1331">#REF!</definedName>
    <definedName name="_____________________________________________TPE1702">#REF!</definedName>
    <definedName name="_____________________________________________TPE1703">#REF!</definedName>
    <definedName name="_____________________________________________TPE1704">#REF!</definedName>
    <definedName name="_____________________________________________TPE1706">#REF!</definedName>
    <definedName name="_____________________________________________TPE1708">#REF!</definedName>
    <definedName name="_____________________________________________TPE1710">#REF!</definedName>
    <definedName name="_____________________________________________TPE1735">#REF!</definedName>
    <definedName name="_____________________________________________TPE1763">#REF!</definedName>
    <definedName name="_____________________________________________TPE1790">#REF!</definedName>
    <definedName name="_____________________________________________TPF12">#REF!</definedName>
    <definedName name="_____________________________________________TUZ22">#REF!</definedName>
    <definedName name="_____________________________________________TUZ36">#REF!</definedName>
    <definedName name="_____________________________________________TZ2110">#REF!</definedName>
    <definedName name="_____________________________________________TZ214">#REF!</definedName>
    <definedName name="_____________________________________________TZ268">#REF!</definedName>
    <definedName name="_____________________________________________TZ323">#REF!</definedName>
    <definedName name="_____________________________________________TZ324">#REF!</definedName>
    <definedName name="_____________________________________________TZ32510">#REF!</definedName>
    <definedName name="____________________________________________ADH12">#REF!</definedName>
    <definedName name="____________________________________________ADM12">#REF!</definedName>
    <definedName name="____________________________________________ADM4">#REF!</definedName>
    <definedName name="____________________________________________AIU1">#REF!</definedName>
    <definedName name="____________________________________________AIU2">#REF!</definedName>
    <definedName name="____________________________________________BAZ10">#REF!</definedName>
    <definedName name="____________________________________________BLO20">#REF!</definedName>
    <definedName name="____________________________________________CAN28">#REF!</definedName>
    <definedName name="____________________________________________Cod1">#REF!</definedName>
    <definedName name="____________________________________________CUA44">#REF!</definedName>
    <definedName name="____________________________________________LA124">#REF!</definedName>
    <definedName name="____________________________________________LAC18">#REF!</definedName>
    <definedName name="____________________________________________Po2">#REF!</definedName>
    <definedName name="____________________________________________R84JH">#REF!</definedName>
    <definedName name="____________________________________________REP43">#REF!</definedName>
    <definedName name="____________________________________________TEP44">#REF!</definedName>
    <definedName name="____________________________________________TPE1132">#REF!</definedName>
    <definedName name="____________________________________________TPE12">#REF!</definedName>
    <definedName name="____________________________________________TPE1331">#REF!</definedName>
    <definedName name="____________________________________________TPE1702">#REF!</definedName>
    <definedName name="____________________________________________TPE1703">#REF!</definedName>
    <definedName name="____________________________________________TPE1704">#REF!</definedName>
    <definedName name="____________________________________________TPE1706">#REF!</definedName>
    <definedName name="____________________________________________TPE1708">#REF!</definedName>
    <definedName name="____________________________________________TPE1710">#REF!</definedName>
    <definedName name="____________________________________________TPE1735">#REF!</definedName>
    <definedName name="____________________________________________TPE1763">#REF!</definedName>
    <definedName name="____________________________________________TPE1790">#REF!</definedName>
    <definedName name="____________________________________________TPF12">#REF!</definedName>
    <definedName name="____________________________________________TUZ22">#REF!</definedName>
    <definedName name="____________________________________________TUZ36">#REF!</definedName>
    <definedName name="____________________________________________TZ2110">#REF!</definedName>
    <definedName name="____________________________________________TZ216">#REF!</definedName>
    <definedName name="____________________________________________TZ268">#REF!</definedName>
    <definedName name="____________________________________________TZ323">#REF!</definedName>
    <definedName name="____________________________________________TZ324">#REF!</definedName>
    <definedName name="___________________________________________ADH12">#REF!</definedName>
    <definedName name="___________________________________________ADM12">#REF!</definedName>
    <definedName name="___________________________________________ADM4">#REF!</definedName>
    <definedName name="___________________________________________AIU1">#REF!</definedName>
    <definedName name="___________________________________________AIU2">#REF!</definedName>
    <definedName name="___________________________________________BAZ10">#REF!</definedName>
    <definedName name="___________________________________________BLO20">#REF!</definedName>
    <definedName name="___________________________________________CAN28">#REF!</definedName>
    <definedName name="___________________________________________Cod1">#REF!</definedName>
    <definedName name="___________________________________________CUA44">#REF!</definedName>
    <definedName name="___________________________________________LA124">#REF!</definedName>
    <definedName name="___________________________________________LAC18">#REF!</definedName>
    <definedName name="___________________________________________Po2">#REF!</definedName>
    <definedName name="___________________________________________R84JH">#REF!</definedName>
    <definedName name="___________________________________________REP43">#REF!</definedName>
    <definedName name="___________________________________________TPE1132">#REF!</definedName>
    <definedName name="___________________________________________TPE12">#REF!</definedName>
    <definedName name="___________________________________________TPE1331">#REF!</definedName>
    <definedName name="___________________________________________TPE1702">#REF!</definedName>
    <definedName name="___________________________________________TPE1703">#REF!</definedName>
    <definedName name="___________________________________________TPE1704">#REF!</definedName>
    <definedName name="___________________________________________TPE1706">#REF!</definedName>
    <definedName name="___________________________________________TPE1708">#REF!</definedName>
    <definedName name="___________________________________________TPE1710">#REF!</definedName>
    <definedName name="___________________________________________TPE1735">#REF!</definedName>
    <definedName name="___________________________________________TPE1763">#REF!</definedName>
    <definedName name="___________________________________________TPE1790">#REF!</definedName>
    <definedName name="___________________________________________TPF12">#REF!</definedName>
    <definedName name="___________________________________________TUZ22">#REF!</definedName>
    <definedName name="___________________________________________TUZ36">#REF!</definedName>
    <definedName name="___________________________________________TZ2110">#REF!</definedName>
    <definedName name="___________________________________________TZ214">#REF!</definedName>
    <definedName name="___________________________________________TZ268">#REF!</definedName>
    <definedName name="___________________________________________TZ323">#REF!</definedName>
    <definedName name="___________________________________________TZ324">#REF!</definedName>
    <definedName name="___________________________________________TZ32510">#REF!</definedName>
    <definedName name="__________________________________________ADH12">#REF!</definedName>
    <definedName name="__________________________________________ADM12">#REF!</definedName>
    <definedName name="__________________________________________ADM4">#REF!</definedName>
    <definedName name="__________________________________________AIU1">#REF!</definedName>
    <definedName name="__________________________________________AIU2">#REF!</definedName>
    <definedName name="__________________________________________BAZ10">#REF!</definedName>
    <definedName name="__________________________________________BLO20">#REF!</definedName>
    <definedName name="__________________________________________CAN28">#REF!</definedName>
    <definedName name="__________________________________________Cod1">#REF!</definedName>
    <definedName name="__________________________________________CUA44">#REF!</definedName>
    <definedName name="__________________________________________LA124">#REF!</definedName>
    <definedName name="__________________________________________LAC18">#REF!</definedName>
    <definedName name="__________________________________________Po2">#REF!</definedName>
    <definedName name="__________________________________________R84JH">#REF!</definedName>
    <definedName name="__________________________________________REP43">#REF!</definedName>
    <definedName name="__________________________________________TEP44">#REF!</definedName>
    <definedName name="__________________________________________TPE12">#REF!</definedName>
    <definedName name="__________________________________________TPF12">#REF!</definedName>
    <definedName name="__________________________________________TZ2110">#REF!</definedName>
    <definedName name="__________________________________________TZ216">#REF!</definedName>
    <definedName name="__________________________________________TZ268">#REF!</definedName>
    <definedName name="_________________________________________ADH12">#REF!</definedName>
    <definedName name="_________________________________________ADM12">#REF!</definedName>
    <definedName name="_________________________________________ADM4">#REF!</definedName>
    <definedName name="_________________________________________AIU1">#REF!</definedName>
    <definedName name="_________________________________________AIU2">#REF!</definedName>
    <definedName name="_________________________________________BAZ10">#REF!</definedName>
    <definedName name="_________________________________________BLO20">#REF!</definedName>
    <definedName name="_________________________________________CAN28">#REF!</definedName>
    <definedName name="_________________________________________Cod1">#REF!</definedName>
    <definedName name="_________________________________________CUA44">#REF!</definedName>
    <definedName name="_________________________________________LA124">#REF!</definedName>
    <definedName name="_________________________________________LAC18">#REF!</definedName>
    <definedName name="_________________________________________Po2">#REF!</definedName>
    <definedName name="_________________________________________R84JH">#REF!</definedName>
    <definedName name="_________________________________________REP43">#REF!</definedName>
    <definedName name="_________________________________________TEP44">#REF!</definedName>
    <definedName name="_________________________________________TPE1132">#REF!</definedName>
    <definedName name="_________________________________________TPE12">#REF!</definedName>
    <definedName name="_________________________________________TPE1331">#REF!</definedName>
    <definedName name="_________________________________________TPE1702">#REF!</definedName>
    <definedName name="_________________________________________TPE1703">#REF!</definedName>
    <definedName name="_________________________________________TPE1704">#REF!</definedName>
    <definedName name="_________________________________________TPE1706">#REF!</definedName>
    <definedName name="_________________________________________TPE1708">#REF!</definedName>
    <definedName name="_________________________________________TPE1710">#REF!</definedName>
    <definedName name="_________________________________________TPE1735">#REF!</definedName>
    <definedName name="_________________________________________TPE1763">#REF!</definedName>
    <definedName name="_________________________________________TPE1790">#REF!</definedName>
    <definedName name="_________________________________________TPF12">#REF!</definedName>
    <definedName name="_________________________________________TUZ22">#REF!</definedName>
    <definedName name="_________________________________________TUZ36">#REF!</definedName>
    <definedName name="_________________________________________TZ2110">#REF!</definedName>
    <definedName name="_________________________________________TZ214">#REF!</definedName>
    <definedName name="_________________________________________TZ216">#REF!</definedName>
    <definedName name="_________________________________________TZ268">#REF!</definedName>
    <definedName name="_________________________________________TZ323">#REF!</definedName>
    <definedName name="_________________________________________TZ324">#REF!</definedName>
    <definedName name="_________________________________________TZ32510">#REF!</definedName>
    <definedName name="________________________________________ADH12">#REF!</definedName>
    <definedName name="________________________________________ADM12">#REF!</definedName>
    <definedName name="________________________________________ADM4">#REF!</definedName>
    <definedName name="________________________________________AIU1">#REF!</definedName>
    <definedName name="________________________________________AIU2">#REF!</definedName>
    <definedName name="________________________________________BAZ10">#REF!</definedName>
    <definedName name="________________________________________BLO20">#REF!</definedName>
    <definedName name="________________________________________CAN28">#REF!</definedName>
    <definedName name="________________________________________Cod1">#REF!</definedName>
    <definedName name="________________________________________CUA44">#REF!</definedName>
    <definedName name="________________________________________LA124">#REF!</definedName>
    <definedName name="________________________________________LAC18">#REF!</definedName>
    <definedName name="________________________________________Po2">#REF!</definedName>
    <definedName name="________________________________________R84JH">#REF!</definedName>
    <definedName name="________________________________________REP43">#REF!</definedName>
    <definedName name="________________________________________TEP44">#REF!</definedName>
    <definedName name="________________________________________TPE1132">#REF!</definedName>
    <definedName name="________________________________________TPE12">#REF!</definedName>
    <definedName name="________________________________________TPE1331">#REF!</definedName>
    <definedName name="________________________________________TPE1702">#REF!</definedName>
    <definedName name="________________________________________TPE1703">#REF!</definedName>
    <definedName name="________________________________________TPE1704">#REF!</definedName>
    <definedName name="________________________________________TPE1706">#REF!</definedName>
    <definedName name="________________________________________TPE1708">#REF!</definedName>
    <definedName name="________________________________________TPE1710">#REF!</definedName>
    <definedName name="________________________________________TPE1735">#REF!</definedName>
    <definedName name="________________________________________TPE1763">#REF!</definedName>
    <definedName name="________________________________________TPE1790">#REF!</definedName>
    <definedName name="________________________________________TPF12">#REF!</definedName>
    <definedName name="________________________________________TUZ22">#REF!</definedName>
    <definedName name="________________________________________TUZ36">#REF!</definedName>
    <definedName name="________________________________________TZ2110">#REF!</definedName>
    <definedName name="________________________________________TZ214">#REF!</definedName>
    <definedName name="________________________________________TZ216">#REF!</definedName>
    <definedName name="________________________________________TZ268">#REF!</definedName>
    <definedName name="________________________________________TZ323">#REF!</definedName>
    <definedName name="________________________________________TZ324">#REF!</definedName>
    <definedName name="________________________________________TZ32510">#REF!</definedName>
    <definedName name="_______________________________________ADH12">#REF!</definedName>
    <definedName name="_______________________________________ADM12">#REF!</definedName>
    <definedName name="_______________________________________ADM4">#REF!</definedName>
    <definedName name="_______________________________________AIU1">#REF!</definedName>
    <definedName name="_______________________________________AIU2">#REF!</definedName>
    <definedName name="_______________________________________BAZ10">#REF!</definedName>
    <definedName name="_______________________________________BLO20">#REF!</definedName>
    <definedName name="_______________________________________CAN28">#REF!</definedName>
    <definedName name="_______________________________________Cod1">#REF!</definedName>
    <definedName name="_______________________________________CUA44">#REF!</definedName>
    <definedName name="_______________________________________LA124">#REF!</definedName>
    <definedName name="_______________________________________LAC18">#REF!</definedName>
    <definedName name="_______________________________________Po2">#REF!</definedName>
    <definedName name="_______________________________________R84JH">#REF!</definedName>
    <definedName name="_______________________________________REP43">#REF!</definedName>
    <definedName name="_______________________________________TEP44">#REF!</definedName>
    <definedName name="_______________________________________TPE1132">#REF!</definedName>
    <definedName name="_______________________________________TPE12">#REF!</definedName>
    <definedName name="_______________________________________TPE1331">#REF!</definedName>
    <definedName name="_______________________________________TPE1702">#REF!</definedName>
    <definedName name="_______________________________________TPE1703">#REF!</definedName>
    <definedName name="_______________________________________TPE1704">#REF!</definedName>
    <definedName name="_______________________________________TPE1706">#REF!</definedName>
    <definedName name="_______________________________________TPE1708">#REF!</definedName>
    <definedName name="_______________________________________TPE1710">#REF!</definedName>
    <definedName name="_______________________________________TPE1735">#REF!</definedName>
    <definedName name="_______________________________________TPE1763">#REF!</definedName>
    <definedName name="_______________________________________TPE1790">#REF!</definedName>
    <definedName name="_______________________________________TPF12">#REF!</definedName>
    <definedName name="_______________________________________TUZ22">#REF!</definedName>
    <definedName name="_______________________________________TUZ36">#REF!</definedName>
    <definedName name="_______________________________________TZ2110">#REF!</definedName>
    <definedName name="_______________________________________TZ214">#REF!</definedName>
    <definedName name="_______________________________________TZ216">#REF!</definedName>
    <definedName name="_______________________________________TZ268">#REF!</definedName>
    <definedName name="_______________________________________TZ323">#REF!</definedName>
    <definedName name="_______________________________________TZ324">#REF!</definedName>
    <definedName name="_______________________________________TZ32510">#REF!</definedName>
    <definedName name="______________________________________ADH12">#REF!</definedName>
    <definedName name="______________________________________ADM12">#REF!</definedName>
    <definedName name="______________________________________ADM4">#REF!</definedName>
    <definedName name="______________________________________AIU1">#REF!</definedName>
    <definedName name="______________________________________AIU2">#REF!</definedName>
    <definedName name="______________________________________BAZ10">#REF!</definedName>
    <definedName name="______________________________________BLO20">#REF!</definedName>
    <definedName name="______________________________________CAN28">#REF!</definedName>
    <definedName name="______________________________________Cod1">#REF!</definedName>
    <definedName name="______________________________________CUA44">#REF!</definedName>
    <definedName name="______________________________________LA124">#REF!</definedName>
    <definedName name="______________________________________LAC18">#REF!</definedName>
    <definedName name="______________________________________Po2">#REF!</definedName>
    <definedName name="______________________________________R84JH">#REF!</definedName>
    <definedName name="______________________________________REP43">#REF!</definedName>
    <definedName name="______________________________________TPE1132">#REF!</definedName>
    <definedName name="______________________________________TPE12">#REF!</definedName>
    <definedName name="______________________________________TPE1331">#REF!</definedName>
    <definedName name="______________________________________TPE1702">#REF!</definedName>
    <definedName name="______________________________________TPE1703">#REF!</definedName>
    <definedName name="______________________________________TPE1704">#REF!</definedName>
    <definedName name="______________________________________TPE1706">#REF!</definedName>
    <definedName name="______________________________________TPE1708">#REF!</definedName>
    <definedName name="______________________________________TPE1710">#REF!</definedName>
    <definedName name="______________________________________TPE1735">#REF!</definedName>
    <definedName name="______________________________________TPE1763">#REF!</definedName>
    <definedName name="______________________________________TPE1790">#REF!</definedName>
    <definedName name="______________________________________TPF12">#REF!</definedName>
    <definedName name="______________________________________TUZ22">#REF!</definedName>
    <definedName name="______________________________________TUZ36">#REF!</definedName>
    <definedName name="______________________________________TZ2110">#REF!</definedName>
    <definedName name="______________________________________TZ214">#REF!</definedName>
    <definedName name="______________________________________TZ268">#REF!</definedName>
    <definedName name="______________________________________TZ323">#REF!</definedName>
    <definedName name="______________________________________TZ324">#REF!</definedName>
    <definedName name="______________________________________TZ32510">#REF!</definedName>
    <definedName name="_____________________________________ADH12">#REF!</definedName>
    <definedName name="_____________________________________ADM12">#REF!</definedName>
    <definedName name="_____________________________________ADM4">#REF!</definedName>
    <definedName name="_____________________________________AIU1">#REF!</definedName>
    <definedName name="_____________________________________AIU2">#REF!</definedName>
    <definedName name="_____________________________________BAZ10">#REF!</definedName>
    <definedName name="_____________________________________BLO20">#REF!</definedName>
    <definedName name="_____________________________________CAN28">#REF!</definedName>
    <definedName name="_____________________________________Cod1">#REF!</definedName>
    <definedName name="_____________________________________CUA44">#REF!</definedName>
    <definedName name="_____________________________________LA124">#REF!</definedName>
    <definedName name="_____________________________________LAC18">#REF!</definedName>
    <definedName name="_____________________________________Po2">#REF!</definedName>
    <definedName name="_____________________________________R84JH">#REF!</definedName>
    <definedName name="_____________________________________REP43">#REF!</definedName>
    <definedName name="_____________________________________TEP44">#REF!</definedName>
    <definedName name="_____________________________________TPE1132">#REF!</definedName>
    <definedName name="_____________________________________TPE12">#REF!</definedName>
    <definedName name="_____________________________________TPE1331">#REF!</definedName>
    <definedName name="_____________________________________TPE1702">#REF!</definedName>
    <definedName name="_____________________________________TPE1703">#REF!</definedName>
    <definedName name="_____________________________________TPE1704">#REF!</definedName>
    <definedName name="_____________________________________TPE1706">#REF!</definedName>
    <definedName name="_____________________________________TPE1708">#REF!</definedName>
    <definedName name="_____________________________________TPE1710">#REF!</definedName>
    <definedName name="_____________________________________TPE1735">#REF!</definedName>
    <definedName name="_____________________________________TPE1763">#REF!</definedName>
    <definedName name="_____________________________________TPE1790">#REF!</definedName>
    <definedName name="_____________________________________TPF12">#REF!</definedName>
    <definedName name="_____________________________________TUZ22">#REF!</definedName>
    <definedName name="_____________________________________TUZ36">#REF!</definedName>
    <definedName name="_____________________________________TZ2110">#REF!</definedName>
    <definedName name="_____________________________________TZ216">#REF!</definedName>
    <definedName name="_____________________________________TZ268">#REF!</definedName>
    <definedName name="_____________________________________TZ323">#REF!</definedName>
    <definedName name="_____________________________________TZ324">#REF!</definedName>
    <definedName name="____________________________________ADH12">#REF!</definedName>
    <definedName name="____________________________________ADM12">#REF!</definedName>
    <definedName name="____________________________________ADM4">#REF!</definedName>
    <definedName name="____________________________________AIU1">#REF!</definedName>
    <definedName name="____________________________________AIU2">#REF!</definedName>
    <definedName name="____________________________________BAZ10">#REF!</definedName>
    <definedName name="____________________________________BLO20">#REF!</definedName>
    <definedName name="____________________________________CAN28">#REF!</definedName>
    <definedName name="____________________________________Cod1">#REF!</definedName>
    <definedName name="____________________________________CUA44">#REF!</definedName>
    <definedName name="____________________________________LA124">#REF!</definedName>
    <definedName name="____________________________________LAC18">#REF!</definedName>
    <definedName name="____________________________________Po2">#REF!</definedName>
    <definedName name="____________________________________R84JH">#REF!</definedName>
    <definedName name="____________________________________REP43">#REF!</definedName>
    <definedName name="____________________________________TPE1132">#REF!</definedName>
    <definedName name="____________________________________TPE12">#REF!</definedName>
    <definedName name="____________________________________TPE1331">#REF!</definedName>
    <definedName name="____________________________________TPE1702">#REF!</definedName>
    <definedName name="____________________________________TPE1703">#REF!</definedName>
    <definedName name="____________________________________TPE1704">#REF!</definedName>
    <definedName name="____________________________________TPE1706">#REF!</definedName>
    <definedName name="____________________________________TPE1708">#REF!</definedName>
    <definedName name="____________________________________TPE1710">#REF!</definedName>
    <definedName name="____________________________________TPE1735">#REF!</definedName>
    <definedName name="____________________________________TPE1763">#REF!</definedName>
    <definedName name="____________________________________TPE1790">#REF!</definedName>
    <definedName name="____________________________________TPF12">#REF!</definedName>
    <definedName name="____________________________________TUZ22">#REF!</definedName>
    <definedName name="____________________________________TUZ36">#REF!</definedName>
    <definedName name="____________________________________TZ2110">#REF!</definedName>
    <definedName name="____________________________________TZ214">#REF!</definedName>
    <definedName name="____________________________________TZ268">#REF!</definedName>
    <definedName name="____________________________________TZ323">#REF!</definedName>
    <definedName name="____________________________________TZ324">#REF!</definedName>
    <definedName name="____________________________________TZ32510">#REF!</definedName>
    <definedName name="___________________________________ADH12">#REF!</definedName>
    <definedName name="___________________________________ADM12">#REF!</definedName>
    <definedName name="___________________________________ADM4">#REF!</definedName>
    <definedName name="___________________________________AIU1">#REF!</definedName>
    <definedName name="___________________________________AIU2">#REF!</definedName>
    <definedName name="___________________________________BAZ10">#REF!</definedName>
    <definedName name="___________________________________BLO20">#REF!</definedName>
    <definedName name="___________________________________CAN28">#REF!</definedName>
    <definedName name="___________________________________Cod1">#REF!</definedName>
    <definedName name="___________________________________CUA44">#REF!</definedName>
    <definedName name="___________________________________LA124">#REF!</definedName>
    <definedName name="___________________________________LAC18">#REF!</definedName>
    <definedName name="___________________________________Po2">#REF!</definedName>
    <definedName name="___________________________________R84JH">#REF!</definedName>
    <definedName name="___________________________________REP43">#REF!</definedName>
    <definedName name="___________________________________TEP44">#REF!</definedName>
    <definedName name="___________________________________TPE12">#REF!</definedName>
    <definedName name="___________________________________TPF12">#REF!</definedName>
    <definedName name="___________________________________TUZ22">#REF!</definedName>
    <definedName name="___________________________________TUZ36">#REF!</definedName>
    <definedName name="___________________________________TZ2110">#REF!</definedName>
    <definedName name="___________________________________TZ216">#REF!</definedName>
    <definedName name="___________________________________TZ268">#REF!</definedName>
    <definedName name="___________________________________TZ323">#REF!</definedName>
    <definedName name="___________________________________TZ324">#REF!</definedName>
    <definedName name="__________________________________ADH12">#REF!</definedName>
    <definedName name="__________________________________ADM12">#REF!</definedName>
    <definedName name="__________________________________ADM4">#REF!</definedName>
    <definedName name="__________________________________AIU1">#REF!</definedName>
    <definedName name="__________________________________AIU2">#REF!</definedName>
    <definedName name="__________________________________BAZ10">#REF!</definedName>
    <definedName name="__________________________________BLO20">#REF!</definedName>
    <definedName name="__________________________________CAN28">#REF!</definedName>
    <definedName name="__________________________________Cod1">#REF!</definedName>
    <definedName name="__________________________________CUA44">#REF!</definedName>
    <definedName name="__________________________________LA124">#REF!</definedName>
    <definedName name="__________________________________LAC18">#REF!</definedName>
    <definedName name="__________________________________Po2">#REF!</definedName>
    <definedName name="__________________________________R84JH">#REF!</definedName>
    <definedName name="__________________________________REP43">#REF!</definedName>
    <definedName name="__________________________________TEP44">#REF!</definedName>
    <definedName name="__________________________________TPE1132">#REF!</definedName>
    <definedName name="__________________________________TPE12">#REF!</definedName>
    <definedName name="__________________________________TPE1331">#REF!</definedName>
    <definedName name="__________________________________TPE1702">#REF!</definedName>
    <definedName name="__________________________________TPE1703">#REF!</definedName>
    <definedName name="__________________________________TPE1704">#REF!</definedName>
    <definedName name="__________________________________TPE1706">#REF!</definedName>
    <definedName name="__________________________________TPE1708">#REF!</definedName>
    <definedName name="__________________________________TPE1710">#REF!</definedName>
    <definedName name="__________________________________TPE1735">#REF!</definedName>
    <definedName name="__________________________________TPE1763">#REF!</definedName>
    <definedName name="__________________________________TPE1790">#REF!</definedName>
    <definedName name="__________________________________TPF12">#REF!</definedName>
    <definedName name="__________________________________TUZ22">#REF!</definedName>
    <definedName name="__________________________________TUZ36">#REF!</definedName>
    <definedName name="__________________________________TZ2110">#REF!</definedName>
    <definedName name="__________________________________TZ214">#REF!</definedName>
    <definedName name="__________________________________TZ216">#REF!</definedName>
    <definedName name="__________________________________TZ268">#REF!</definedName>
    <definedName name="__________________________________TZ323">#REF!</definedName>
    <definedName name="__________________________________TZ324">#REF!</definedName>
    <definedName name="__________________________________TZ32510">#REF!</definedName>
    <definedName name="_________________________________ADH12">#REF!</definedName>
    <definedName name="_________________________________ADM12">#REF!</definedName>
    <definedName name="_________________________________ADM4">#REF!</definedName>
    <definedName name="_________________________________AIU1">#REF!</definedName>
    <definedName name="_________________________________AIU2">#REF!</definedName>
    <definedName name="_________________________________BAZ10">#REF!</definedName>
    <definedName name="_________________________________BLO20">#REF!</definedName>
    <definedName name="_________________________________CAN28">#REF!</definedName>
    <definedName name="_________________________________Cod1">#REF!</definedName>
    <definedName name="_________________________________CUA44">#REF!</definedName>
    <definedName name="_________________________________LA124">#REF!</definedName>
    <definedName name="_________________________________LAC18">#REF!</definedName>
    <definedName name="_________________________________Po2">#REF!</definedName>
    <definedName name="_________________________________R84JH">#REF!</definedName>
    <definedName name="_________________________________REP43">#REF!</definedName>
    <definedName name="_________________________________TEP44">#REF!</definedName>
    <definedName name="_________________________________TPE1132">#REF!</definedName>
    <definedName name="_________________________________TPE12">#REF!</definedName>
    <definedName name="_________________________________TPE1331">#REF!</definedName>
    <definedName name="_________________________________TPE1702">#REF!</definedName>
    <definedName name="_________________________________TPE1703">#REF!</definedName>
    <definedName name="_________________________________TPE1704">#REF!</definedName>
    <definedName name="_________________________________TPE1706">#REF!</definedName>
    <definedName name="_________________________________TPE1708">#REF!</definedName>
    <definedName name="_________________________________TPE1710">#REF!</definedName>
    <definedName name="_________________________________TPE1735">#REF!</definedName>
    <definedName name="_________________________________TPE1763">#REF!</definedName>
    <definedName name="_________________________________TPE1790">#REF!</definedName>
    <definedName name="_________________________________TPF12">#REF!</definedName>
    <definedName name="_________________________________TUZ22">#REF!</definedName>
    <definedName name="_________________________________TUZ36">#REF!</definedName>
    <definedName name="_________________________________TZ2110">#REF!</definedName>
    <definedName name="_________________________________TZ214">#REF!</definedName>
    <definedName name="_________________________________TZ216">#REF!</definedName>
    <definedName name="_________________________________TZ268">#REF!</definedName>
    <definedName name="_________________________________TZ323">#REF!</definedName>
    <definedName name="_________________________________TZ324">#REF!</definedName>
    <definedName name="_________________________________TZ32510">#REF!</definedName>
    <definedName name="________________________________ADH12">#REF!</definedName>
    <definedName name="________________________________ADM12">#REF!</definedName>
    <definedName name="________________________________ADM4">#REF!</definedName>
    <definedName name="________________________________AIU1">#REF!</definedName>
    <definedName name="________________________________AIU2">#REF!</definedName>
    <definedName name="________________________________BAZ10">#REF!</definedName>
    <definedName name="________________________________BLO20">#REF!</definedName>
    <definedName name="________________________________CAN28">#REF!</definedName>
    <definedName name="________________________________Cod1">#REF!</definedName>
    <definedName name="________________________________CUA44">#REF!</definedName>
    <definedName name="________________________________LA124">#REF!</definedName>
    <definedName name="________________________________LAC18">#REF!</definedName>
    <definedName name="________________________________Po2">#REF!</definedName>
    <definedName name="________________________________R84JH">#REF!</definedName>
    <definedName name="________________________________REP43">#REF!</definedName>
    <definedName name="________________________________TEP44">#REF!</definedName>
    <definedName name="________________________________TPE1132">#REF!</definedName>
    <definedName name="________________________________TPE12">#REF!</definedName>
    <definedName name="________________________________TPE1331">#REF!</definedName>
    <definedName name="________________________________TPE1702">#REF!</definedName>
    <definedName name="________________________________TPE1703">#REF!</definedName>
    <definedName name="________________________________TPE1704">#REF!</definedName>
    <definedName name="________________________________TPE1706">#REF!</definedName>
    <definedName name="________________________________TPE1708">#REF!</definedName>
    <definedName name="________________________________TPE1710">#REF!</definedName>
    <definedName name="________________________________TPE1735">#REF!</definedName>
    <definedName name="________________________________TPE1763">#REF!</definedName>
    <definedName name="________________________________TPE1790">#REF!</definedName>
    <definedName name="________________________________TPF12">#REF!</definedName>
    <definedName name="________________________________TUZ22">#REF!</definedName>
    <definedName name="________________________________TUZ36">#REF!</definedName>
    <definedName name="________________________________TZ2110">#REF!</definedName>
    <definedName name="________________________________TZ214">#REF!</definedName>
    <definedName name="________________________________TZ216">#REF!</definedName>
    <definedName name="________________________________TZ268">#REF!</definedName>
    <definedName name="________________________________TZ323">#REF!</definedName>
    <definedName name="________________________________TZ324">#REF!</definedName>
    <definedName name="________________________________TZ32510">#REF!</definedName>
    <definedName name="_______________________________ADH12">#REF!</definedName>
    <definedName name="_______________________________ADM12">#REF!</definedName>
    <definedName name="_______________________________ADM4">#REF!</definedName>
    <definedName name="_______________________________AIU1">#REF!</definedName>
    <definedName name="_______________________________AIU2">#REF!</definedName>
    <definedName name="_______________________________BAZ10">#REF!</definedName>
    <definedName name="_______________________________BLO20">#REF!</definedName>
    <definedName name="_______________________________CAN28">#REF!</definedName>
    <definedName name="_______________________________Cod1">#REF!</definedName>
    <definedName name="_______________________________CUA44">#REF!</definedName>
    <definedName name="_______________________________LA124">#REF!</definedName>
    <definedName name="_______________________________LAC18">#REF!</definedName>
    <definedName name="_______________________________Po2">#REF!</definedName>
    <definedName name="_______________________________R84JH">#REF!</definedName>
    <definedName name="_______________________________REP43">#REF!</definedName>
    <definedName name="_______________________________TEP44">#REF!</definedName>
    <definedName name="_______________________________TPE1132">#REF!</definedName>
    <definedName name="_______________________________TPE12">#REF!</definedName>
    <definedName name="_______________________________TPE1331">#REF!</definedName>
    <definedName name="_______________________________TPE1702">#REF!</definedName>
    <definedName name="_______________________________TPE1703">#REF!</definedName>
    <definedName name="_______________________________TPE1704">#REF!</definedName>
    <definedName name="_______________________________TPE1706">#REF!</definedName>
    <definedName name="_______________________________TPE1708">#REF!</definedName>
    <definedName name="_______________________________TPE1710">#REF!</definedName>
    <definedName name="_______________________________TPE1735">#REF!</definedName>
    <definedName name="_______________________________TPE1763">#REF!</definedName>
    <definedName name="_______________________________TPE1790">#REF!</definedName>
    <definedName name="_______________________________TPF12">#REF!</definedName>
    <definedName name="_______________________________TUZ22">#REF!</definedName>
    <definedName name="_______________________________TUZ36">#REF!</definedName>
    <definedName name="_______________________________TZ2110">#REF!</definedName>
    <definedName name="_______________________________TZ214">#REF!</definedName>
    <definedName name="_______________________________TZ216">#REF!</definedName>
    <definedName name="_______________________________TZ268">#REF!</definedName>
    <definedName name="_______________________________TZ323">#REF!</definedName>
    <definedName name="_______________________________TZ324">#REF!</definedName>
    <definedName name="_______________________________TZ32510">#REF!</definedName>
    <definedName name="______________________________ADH12">#REF!</definedName>
    <definedName name="______________________________ADM12">#REF!</definedName>
    <definedName name="______________________________ADM4">#REF!</definedName>
    <definedName name="______________________________AIU1">#REF!</definedName>
    <definedName name="______________________________AIU2">#REF!</definedName>
    <definedName name="______________________________BAZ10">#REF!</definedName>
    <definedName name="______________________________BLO20">#REF!</definedName>
    <definedName name="______________________________CAN28">#REF!</definedName>
    <definedName name="______________________________Cod1">#REF!</definedName>
    <definedName name="______________________________CUA44">#REF!</definedName>
    <definedName name="______________________________LA124">#REF!</definedName>
    <definedName name="______________________________LAC18">#REF!</definedName>
    <definedName name="______________________________Po2">#REF!</definedName>
    <definedName name="______________________________R84JH">#REF!</definedName>
    <definedName name="______________________________REP43">#REF!</definedName>
    <definedName name="______________________________TEP44">#REF!</definedName>
    <definedName name="______________________________TPE1132">#REF!</definedName>
    <definedName name="______________________________TPE12">#REF!</definedName>
    <definedName name="______________________________TPE1331">#REF!</definedName>
    <definedName name="______________________________TPE1702">#REF!</definedName>
    <definedName name="______________________________TPE1703">#REF!</definedName>
    <definedName name="______________________________TPE1704">#REF!</definedName>
    <definedName name="______________________________TPE1706">#REF!</definedName>
    <definedName name="______________________________TPE1708">#REF!</definedName>
    <definedName name="______________________________TPE1710">#REF!</definedName>
    <definedName name="______________________________TPE1735">#REF!</definedName>
    <definedName name="______________________________TPE1763">#REF!</definedName>
    <definedName name="______________________________TPE1790">#REF!</definedName>
    <definedName name="______________________________TPF12">#REF!</definedName>
    <definedName name="______________________________TUZ22">#REF!</definedName>
    <definedName name="______________________________TUZ36">#REF!</definedName>
    <definedName name="______________________________TZ2110">#REF!</definedName>
    <definedName name="______________________________TZ214">#REF!</definedName>
    <definedName name="______________________________TZ216">#REF!</definedName>
    <definedName name="______________________________TZ268">#REF!</definedName>
    <definedName name="______________________________TZ323">#REF!</definedName>
    <definedName name="______________________________TZ324">#REF!</definedName>
    <definedName name="______________________________TZ32510">#REF!</definedName>
    <definedName name="_____________________________ADH12">#REF!</definedName>
    <definedName name="_____________________________ADM12">#REF!</definedName>
    <definedName name="_____________________________ADM4">#REF!</definedName>
    <definedName name="_____________________________AIU1">#REF!</definedName>
    <definedName name="_____________________________AIU2">#REF!</definedName>
    <definedName name="_____________________________BAZ10">#REF!</definedName>
    <definedName name="_____________________________BLO20">#REF!</definedName>
    <definedName name="_____________________________CAN28">#REF!</definedName>
    <definedName name="_____________________________Cod1">#REF!</definedName>
    <definedName name="_____________________________CUA44">#REF!</definedName>
    <definedName name="_____________________________LA124">#REF!</definedName>
    <definedName name="_____________________________LAC18">#REF!</definedName>
    <definedName name="_____________________________Po2">#REF!</definedName>
    <definedName name="_____________________________R84JH">#REF!</definedName>
    <definedName name="_____________________________REP43">#REF!</definedName>
    <definedName name="_____________________________TEP44">#REF!</definedName>
    <definedName name="_____________________________TPE1132">#REF!</definedName>
    <definedName name="_____________________________TPE12">#REF!</definedName>
    <definedName name="_____________________________TPE1331">#REF!</definedName>
    <definedName name="_____________________________TPE1702">#REF!</definedName>
    <definedName name="_____________________________TPE1703">#REF!</definedName>
    <definedName name="_____________________________TPE1704">#REF!</definedName>
    <definedName name="_____________________________TPE1706">#REF!</definedName>
    <definedName name="_____________________________TPE1708">#REF!</definedName>
    <definedName name="_____________________________TPE1710">#REF!</definedName>
    <definedName name="_____________________________TPE1735">#REF!</definedName>
    <definedName name="_____________________________TPE1763">#REF!</definedName>
    <definedName name="_____________________________TPE1790">#REF!</definedName>
    <definedName name="_____________________________TPF12">#REF!</definedName>
    <definedName name="_____________________________TUZ22">#REF!</definedName>
    <definedName name="_____________________________TUZ36">#REF!</definedName>
    <definedName name="_____________________________TZ2110">#REF!</definedName>
    <definedName name="_____________________________TZ214">#REF!</definedName>
    <definedName name="_____________________________TZ216">#REF!</definedName>
    <definedName name="_____________________________TZ268">#REF!</definedName>
    <definedName name="_____________________________TZ323">#REF!</definedName>
    <definedName name="_____________________________TZ324">#REF!</definedName>
    <definedName name="_____________________________TZ32510">#REF!</definedName>
    <definedName name="____________________________ADH12">#REF!</definedName>
    <definedName name="____________________________ADM12">#REF!</definedName>
    <definedName name="____________________________ADM4">#REF!</definedName>
    <definedName name="____________________________AIU1">#REF!</definedName>
    <definedName name="____________________________AIU2">#REF!</definedName>
    <definedName name="____________________________BAZ10">#REF!</definedName>
    <definedName name="____________________________BLO20">#REF!</definedName>
    <definedName name="____________________________CAN28">#REF!</definedName>
    <definedName name="____________________________Cod1">#REF!</definedName>
    <definedName name="____________________________CUA44">#REF!</definedName>
    <definedName name="____________________________LA124">#REF!</definedName>
    <definedName name="____________________________LAC18">#REF!</definedName>
    <definedName name="____________________________Po2">#REF!</definedName>
    <definedName name="____________________________R84JH">#REF!</definedName>
    <definedName name="____________________________REP43">#REF!</definedName>
    <definedName name="____________________________TEP44">#REF!</definedName>
    <definedName name="____________________________TPE1132">#REF!</definedName>
    <definedName name="____________________________TPE12">#REF!</definedName>
    <definedName name="____________________________TPE1331">#REF!</definedName>
    <definedName name="____________________________TPE1702">#REF!</definedName>
    <definedName name="____________________________TPE1703">#REF!</definedName>
    <definedName name="____________________________TPE1704">#REF!</definedName>
    <definedName name="____________________________TPE1706">#REF!</definedName>
    <definedName name="____________________________TPE1708">#REF!</definedName>
    <definedName name="____________________________TPE1710">#REF!</definedName>
    <definedName name="____________________________TPE1735">#REF!</definedName>
    <definedName name="____________________________TPE1763">#REF!</definedName>
    <definedName name="____________________________TPE1790">#REF!</definedName>
    <definedName name="____________________________TPF12">#REF!</definedName>
    <definedName name="____________________________TUZ22">#REF!</definedName>
    <definedName name="____________________________TUZ36">#REF!</definedName>
    <definedName name="____________________________TZ2110">#REF!</definedName>
    <definedName name="____________________________TZ214">#REF!</definedName>
    <definedName name="____________________________TZ216">#REF!</definedName>
    <definedName name="____________________________TZ268">#REF!</definedName>
    <definedName name="____________________________TZ323">#REF!</definedName>
    <definedName name="____________________________TZ324">#REF!</definedName>
    <definedName name="____________________________TZ32510">#REF!</definedName>
    <definedName name="___________________________ADH12">#REF!</definedName>
    <definedName name="___________________________ADM12">#REF!</definedName>
    <definedName name="___________________________ADM4">#REF!</definedName>
    <definedName name="___________________________AIU1">#REF!</definedName>
    <definedName name="___________________________AIU2">#REF!</definedName>
    <definedName name="___________________________BAZ10">#REF!</definedName>
    <definedName name="___________________________BLO20">#REF!</definedName>
    <definedName name="___________________________CAN28">#REF!</definedName>
    <definedName name="___________________________Cod1">#REF!</definedName>
    <definedName name="___________________________CUA44">#REF!</definedName>
    <definedName name="___________________________LA124">#REF!</definedName>
    <definedName name="___________________________LAC18">#REF!</definedName>
    <definedName name="___________________________Po2">#REF!</definedName>
    <definedName name="___________________________R84JH">#REF!</definedName>
    <definedName name="___________________________REP43">#REF!</definedName>
    <definedName name="___________________________TEP44">#REF!</definedName>
    <definedName name="___________________________TPE1132">#REF!</definedName>
    <definedName name="___________________________TPE12">#REF!</definedName>
    <definedName name="___________________________TPE1331">#REF!</definedName>
    <definedName name="___________________________TPE1702">#REF!</definedName>
    <definedName name="___________________________TPE1703">#REF!</definedName>
    <definedName name="___________________________TPE1704">#REF!</definedName>
    <definedName name="___________________________TPE1706">#REF!</definedName>
    <definedName name="___________________________TPE1708">#REF!</definedName>
    <definedName name="___________________________TPE1710">#REF!</definedName>
    <definedName name="___________________________TPE1735">#REF!</definedName>
    <definedName name="___________________________TPE1763">#REF!</definedName>
    <definedName name="___________________________TPE1790">#REF!</definedName>
    <definedName name="___________________________TPF12">#REF!</definedName>
    <definedName name="___________________________TUZ22">#REF!</definedName>
    <definedName name="___________________________TUZ36">#REF!</definedName>
    <definedName name="___________________________TZ2110">#REF!</definedName>
    <definedName name="___________________________TZ214">#REF!</definedName>
    <definedName name="___________________________TZ216">#REF!</definedName>
    <definedName name="___________________________TZ268">#REF!</definedName>
    <definedName name="___________________________TZ323">#REF!</definedName>
    <definedName name="___________________________TZ324">#REF!</definedName>
    <definedName name="___________________________TZ32510">#REF!</definedName>
    <definedName name="__________________________ADH12">#REF!</definedName>
    <definedName name="__________________________ADM12">#REF!</definedName>
    <definedName name="__________________________ADM4">#REF!</definedName>
    <definedName name="__________________________AIU1">#REF!</definedName>
    <definedName name="__________________________AIU2">#REF!</definedName>
    <definedName name="__________________________BAZ10">#REF!</definedName>
    <definedName name="__________________________BLO20">#REF!</definedName>
    <definedName name="__________________________CAN28">#REF!</definedName>
    <definedName name="__________________________Cod1">#REF!</definedName>
    <definedName name="__________________________CUA44">#REF!</definedName>
    <definedName name="__________________________LA124">#REF!</definedName>
    <definedName name="__________________________LAC18">#REF!</definedName>
    <definedName name="__________________________Po2">#REF!</definedName>
    <definedName name="__________________________R84JH">#REF!</definedName>
    <definedName name="__________________________REP43">#REF!</definedName>
    <definedName name="__________________________TEP44">#REF!</definedName>
    <definedName name="__________________________TPE1132">#REF!</definedName>
    <definedName name="__________________________TPE12">#REF!</definedName>
    <definedName name="__________________________TPE1331">#REF!</definedName>
    <definedName name="__________________________TPE1702">#REF!</definedName>
    <definedName name="__________________________TPE1703">#REF!</definedName>
    <definedName name="__________________________TPE1704">#REF!</definedName>
    <definedName name="__________________________TPE1706">#REF!</definedName>
    <definedName name="__________________________TPE1708">#REF!</definedName>
    <definedName name="__________________________TPE1710">#REF!</definedName>
    <definedName name="__________________________TPE1735">#REF!</definedName>
    <definedName name="__________________________TPE1763">#REF!</definedName>
    <definedName name="__________________________TPE1790">#REF!</definedName>
    <definedName name="__________________________TPF12">#REF!</definedName>
    <definedName name="__________________________TUZ22">#REF!</definedName>
    <definedName name="__________________________TUZ36">#REF!</definedName>
    <definedName name="__________________________TZ2110">#REF!</definedName>
    <definedName name="__________________________TZ214">#REF!</definedName>
    <definedName name="__________________________TZ216">#REF!</definedName>
    <definedName name="__________________________TZ268">#REF!</definedName>
    <definedName name="__________________________TZ323">#REF!</definedName>
    <definedName name="__________________________TZ324">#REF!</definedName>
    <definedName name="__________________________TZ32510">#REF!</definedName>
    <definedName name="_________________________ADH12">#REF!</definedName>
    <definedName name="_________________________ADM12">#REF!</definedName>
    <definedName name="_________________________ADM4">#REF!</definedName>
    <definedName name="_________________________AIU1">#REF!</definedName>
    <definedName name="_________________________AIU2">#REF!</definedName>
    <definedName name="_________________________BAZ10">#REF!</definedName>
    <definedName name="_________________________BLO20">#REF!</definedName>
    <definedName name="_________________________CAN28">#REF!</definedName>
    <definedName name="_________________________Cod1">#REF!</definedName>
    <definedName name="_________________________CUA44">#REF!</definedName>
    <definedName name="_________________________LA124">#REF!</definedName>
    <definedName name="_________________________LAC18">#REF!</definedName>
    <definedName name="_________________________Po2">#REF!</definedName>
    <definedName name="_________________________R84JH">#REF!</definedName>
    <definedName name="_________________________REP43">#REF!</definedName>
    <definedName name="_________________________TEP44">#REF!</definedName>
    <definedName name="_________________________TPE1132">#REF!</definedName>
    <definedName name="_________________________TPE12">#REF!</definedName>
    <definedName name="_________________________TPE1331">#REF!</definedName>
    <definedName name="_________________________TPE1702">#REF!</definedName>
    <definedName name="_________________________TPE1703">#REF!</definedName>
    <definedName name="_________________________TPE1704">#REF!</definedName>
    <definedName name="_________________________TPE1706">#REF!</definedName>
    <definedName name="_________________________TPE1708">#REF!</definedName>
    <definedName name="_________________________TPE1710">#REF!</definedName>
    <definedName name="_________________________TPE1735">#REF!</definedName>
    <definedName name="_________________________TPE1763">#REF!</definedName>
    <definedName name="_________________________TPE1790">#REF!</definedName>
    <definedName name="_________________________TPF12">#REF!</definedName>
    <definedName name="_________________________TUZ22">#REF!</definedName>
    <definedName name="_________________________TUZ36">#REF!</definedName>
    <definedName name="_________________________TZ2110">#REF!</definedName>
    <definedName name="_________________________TZ214">#REF!</definedName>
    <definedName name="_________________________TZ216">#REF!</definedName>
    <definedName name="_________________________TZ268">#REF!</definedName>
    <definedName name="_________________________TZ323">#REF!</definedName>
    <definedName name="_________________________TZ324">#REF!</definedName>
    <definedName name="_________________________TZ32510">#REF!</definedName>
    <definedName name="________________________ADH12">#REF!</definedName>
    <definedName name="________________________ADM12">#REF!</definedName>
    <definedName name="________________________ADM4">#REF!</definedName>
    <definedName name="________________________AIU1">#REF!</definedName>
    <definedName name="________________________AIU2">#REF!</definedName>
    <definedName name="________________________BAZ10">#REF!</definedName>
    <definedName name="________________________BLO20">#REF!</definedName>
    <definedName name="________________________CAN28">#REF!</definedName>
    <definedName name="________________________Cod1">#REF!</definedName>
    <definedName name="________________________CUA44">#REF!</definedName>
    <definedName name="________________________LA124">#REF!</definedName>
    <definedName name="________________________LAC18">#REF!</definedName>
    <definedName name="________________________Po2">#REF!</definedName>
    <definedName name="________________________R84JH">#REF!</definedName>
    <definedName name="________________________REP43">#REF!</definedName>
    <definedName name="________________________TEP44">#REF!</definedName>
    <definedName name="________________________TPE1132">#REF!</definedName>
    <definedName name="________________________TPE12">#REF!</definedName>
    <definedName name="________________________TPE1331">#REF!</definedName>
    <definedName name="________________________TPE1702">#REF!</definedName>
    <definedName name="________________________TPE1703">#REF!</definedName>
    <definedName name="________________________TPE1704">#REF!</definedName>
    <definedName name="________________________TPE1706">#REF!</definedName>
    <definedName name="________________________TPE1708">#REF!</definedName>
    <definedName name="________________________TPE1710">#REF!</definedName>
    <definedName name="________________________TPE1735">#REF!</definedName>
    <definedName name="________________________TPE1763">#REF!</definedName>
    <definedName name="________________________TPE1790">#REF!</definedName>
    <definedName name="________________________TPF12">#REF!</definedName>
    <definedName name="________________________TUZ22">#REF!</definedName>
    <definedName name="________________________TUZ36">#REF!</definedName>
    <definedName name="________________________TZ2110">#REF!</definedName>
    <definedName name="________________________TZ214">#REF!</definedName>
    <definedName name="________________________TZ216">#REF!</definedName>
    <definedName name="________________________TZ268">#REF!</definedName>
    <definedName name="________________________TZ323">#REF!</definedName>
    <definedName name="________________________TZ324">#REF!</definedName>
    <definedName name="________________________TZ32510">#REF!</definedName>
    <definedName name="_______________________ADH12">#REF!</definedName>
    <definedName name="_______________________ADM12">#REF!</definedName>
    <definedName name="_______________________ADM4">#REF!</definedName>
    <definedName name="_______________________AIU1">#REF!</definedName>
    <definedName name="_______________________AIU2">#REF!</definedName>
    <definedName name="_______________________BAZ10">#REF!</definedName>
    <definedName name="_______________________BLO20">#REF!</definedName>
    <definedName name="_______________________CAN28">#REF!</definedName>
    <definedName name="_______________________Cod1">#REF!</definedName>
    <definedName name="_______________________CUA44">#REF!</definedName>
    <definedName name="_______________________LA124">#REF!</definedName>
    <definedName name="_______________________LAC18">#REF!</definedName>
    <definedName name="_______________________Po2">#REF!</definedName>
    <definedName name="_______________________R84JH">#REF!</definedName>
    <definedName name="_______________________REP43">#REF!</definedName>
    <definedName name="_______________________TEP44">#REF!</definedName>
    <definedName name="_______________________TPE1132">#REF!</definedName>
    <definedName name="_______________________TPE12">#REF!</definedName>
    <definedName name="_______________________TPE1331">#REF!</definedName>
    <definedName name="_______________________TPE1702">#REF!</definedName>
    <definedName name="_______________________TPE1703">#REF!</definedName>
    <definedName name="_______________________TPE1704">#REF!</definedName>
    <definedName name="_______________________TPE1706">#REF!</definedName>
    <definedName name="_______________________TPE1708">#REF!</definedName>
    <definedName name="_______________________TPE1710">#REF!</definedName>
    <definedName name="_______________________TPE1735">#REF!</definedName>
    <definedName name="_______________________TPE1763">#REF!</definedName>
    <definedName name="_______________________TPE1790">#REF!</definedName>
    <definedName name="_______________________TPF12">#REF!</definedName>
    <definedName name="_______________________TUZ22">#REF!</definedName>
    <definedName name="_______________________TUZ36">#REF!</definedName>
    <definedName name="_______________________TZ2110">#REF!</definedName>
    <definedName name="_______________________TZ214">#REF!</definedName>
    <definedName name="_______________________TZ216">#REF!</definedName>
    <definedName name="_______________________TZ268">#REF!</definedName>
    <definedName name="_______________________TZ323">#REF!</definedName>
    <definedName name="_______________________TZ324">#REF!</definedName>
    <definedName name="_______________________TZ32510">#REF!</definedName>
    <definedName name="______________________ADH12">#REF!</definedName>
    <definedName name="______________________ADM12">#REF!</definedName>
    <definedName name="______________________ADM4">#REF!</definedName>
    <definedName name="______________________AIU1">#REF!</definedName>
    <definedName name="______________________AIU2">#REF!</definedName>
    <definedName name="______________________AIU3">#REF!</definedName>
    <definedName name="______________________BAZ10">#REF!</definedName>
    <definedName name="______________________BLO20">#REF!</definedName>
    <definedName name="______________________CAN28">#REF!</definedName>
    <definedName name="______________________Cod1">#REF!</definedName>
    <definedName name="______________________CUA44">#REF!</definedName>
    <definedName name="______________________LA124">#REF!</definedName>
    <definedName name="______________________LAC18">#REF!</definedName>
    <definedName name="______________________Po2">#REF!</definedName>
    <definedName name="______________________R84JH">#REF!</definedName>
    <definedName name="______________________REP43">#REF!</definedName>
    <definedName name="______________________TEP44">#REF!</definedName>
    <definedName name="______________________TPE1132">#REF!</definedName>
    <definedName name="______________________TPE12">#REF!</definedName>
    <definedName name="______________________TPE1331">#REF!</definedName>
    <definedName name="______________________TPE1702">#REF!</definedName>
    <definedName name="______________________TPE1703">#REF!</definedName>
    <definedName name="______________________TPE1704">#REF!</definedName>
    <definedName name="______________________TPE1706">#REF!</definedName>
    <definedName name="______________________TPE1708">#REF!</definedName>
    <definedName name="______________________TPE1710">#REF!</definedName>
    <definedName name="______________________TPE1735">#REF!</definedName>
    <definedName name="______________________TPE1763">#REF!</definedName>
    <definedName name="______________________TPE1790">#REF!</definedName>
    <definedName name="______________________TPF12">#REF!</definedName>
    <definedName name="______________________TUZ22">#REF!</definedName>
    <definedName name="______________________TUZ36">#REF!</definedName>
    <definedName name="______________________TZ2110">#REF!</definedName>
    <definedName name="______________________TZ214">#REF!</definedName>
    <definedName name="______________________TZ216">#REF!</definedName>
    <definedName name="______________________TZ268">#REF!</definedName>
    <definedName name="______________________TZ323">#REF!</definedName>
    <definedName name="______________________TZ324">#REF!</definedName>
    <definedName name="______________________TZ32510">#REF!</definedName>
    <definedName name="_____________________ADH12">#REF!</definedName>
    <definedName name="_____________________ADM12">#REF!</definedName>
    <definedName name="_____________________ADM4">#REF!</definedName>
    <definedName name="_____________________AIU1">#REF!</definedName>
    <definedName name="_____________________AIU2">#REF!</definedName>
    <definedName name="_____________________AIU3">#REF!</definedName>
    <definedName name="_____________________BAZ10">#REF!</definedName>
    <definedName name="_____________________BLO20">#REF!</definedName>
    <definedName name="_____________________CAN28">#REF!</definedName>
    <definedName name="_____________________Cod1">#REF!</definedName>
    <definedName name="_____________________CUA44">#REF!</definedName>
    <definedName name="_____________________LA124">#REF!</definedName>
    <definedName name="_____________________LAC18">#REF!</definedName>
    <definedName name="_____________________Po2">#REF!</definedName>
    <definedName name="_____________________R84JH">#REF!</definedName>
    <definedName name="_____________________REP43">#REF!</definedName>
    <definedName name="_____________________TEP44">#REF!</definedName>
    <definedName name="_____________________TPE1132">#REF!</definedName>
    <definedName name="_____________________TPE12">#REF!</definedName>
    <definedName name="_____________________TPE1331">#REF!</definedName>
    <definedName name="_____________________TPE1702">#REF!</definedName>
    <definedName name="_____________________TPE1703">#REF!</definedName>
    <definedName name="_____________________TPE1704">#REF!</definedName>
    <definedName name="_____________________TPE1706">#REF!</definedName>
    <definedName name="_____________________TPE1708">#REF!</definedName>
    <definedName name="_____________________TPE1710">#REF!</definedName>
    <definedName name="_____________________TPE1735">#REF!</definedName>
    <definedName name="_____________________TPE1763">#REF!</definedName>
    <definedName name="_____________________TPE1790">#REF!</definedName>
    <definedName name="_____________________TPF12">#REF!</definedName>
    <definedName name="_____________________TUZ22">#REF!</definedName>
    <definedName name="_____________________TUZ36">#REF!</definedName>
    <definedName name="_____________________TZ2110">#REF!</definedName>
    <definedName name="_____________________TZ214">#REF!</definedName>
    <definedName name="_____________________TZ216">#REF!</definedName>
    <definedName name="_____________________TZ268">#REF!</definedName>
    <definedName name="_____________________TZ323">#REF!</definedName>
    <definedName name="_____________________TZ324">#REF!</definedName>
    <definedName name="_____________________TZ32510">#REF!</definedName>
    <definedName name="____________________ADH12">#REF!</definedName>
    <definedName name="____________________ADM12">#REF!</definedName>
    <definedName name="____________________ADM4">#REF!</definedName>
    <definedName name="____________________AIU1">#REF!</definedName>
    <definedName name="____________________AIU2">#REF!</definedName>
    <definedName name="____________________AIU3">#REF!</definedName>
    <definedName name="____________________BAZ10">#REF!</definedName>
    <definedName name="____________________BLO20">#REF!</definedName>
    <definedName name="____________________CAN28">#REF!</definedName>
    <definedName name="____________________Cod1">#REF!</definedName>
    <definedName name="____________________CUA44">#REF!</definedName>
    <definedName name="____________________LA124">#REF!</definedName>
    <definedName name="____________________LAC18">#REF!</definedName>
    <definedName name="____________________Po2">#REF!</definedName>
    <definedName name="____________________R84JH">#REF!</definedName>
    <definedName name="____________________REP43">#REF!</definedName>
    <definedName name="____________________TEP44">#REF!</definedName>
    <definedName name="____________________TPE1132">#REF!</definedName>
    <definedName name="____________________TPE12">#REF!</definedName>
    <definedName name="____________________TPE1331">#REF!</definedName>
    <definedName name="____________________TPE1702">#REF!</definedName>
    <definedName name="____________________TPE1703">#REF!</definedName>
    <definedName name="____________________TPE1704">#REF!</definedName>
    <definedName name="____________________TPE1706">#REF!</definedName>
    <definedName name="____________________TPE1708">#REF!</definedName>
    <definedName name="____________________TPE1710">#REF!</definedName>
    <definedName name="____________________TPE1735">#REF!</definedName>
    <definedName name="____________________TPE1763">#REF!</definedName>
    <definedName name="____________________TPE1790">#REF!</definedName>
    <definedName name="____________________TPF12">#REF!</definedName>
    <definedName name="____________________TUZ22">#REF!</definedName>
    <definedName name="____________________TUZ36">#REF!</definedName>
    <definedName name="____________________TZ2110">#REF!</definedName>
    <definedName name="____________________TZ214">#REF!</definedName>
    <definedName name="____________________TZ216">#REF!</definedName>
    <definedName name="____________________TZ268">#REF!</definedName>
    <definedName name="____________________TZ323">#REF!</definedName>
    <definedName name="____________________TZ324">#REF!</definedName>
    <definedName name="____________________TZ32510">#REF!</definedName>
    <definedName name="___________________ADH12">#REF!</definedName>
    <definedName name="___________________ADM12">#REF!</definedName>
    <definedName name="___________________ADM4">#REF!</definedName>
    <definedName name="___________________AIU1">#REF!</definedName>
    <definedName name="___________________AIU2">#REF!</definedName>
    <definedName name="___________________AIU3">#REF!</definedName>
    <definedName name="___________________BAZ10">#REF!</definedName>
    <definedName name="___________________BLO20">#REF!</definedName>
    <definedName name="___________________CAN28">#REF!</definedName>
    <definedName name="___________________Cod1">#REF!</definedName>
    <definedName name="___________________CUA44">#REF!</definedName>
    <definedName name="___________________LA124">#REF!</definedName>
    <definedName name="___________________LAC18">#REF!</definedName>
    <definedName name="___________________Po2">#REF!</definedName>
    <definedName name="___________________R84JH">#REF!</definedName>
    <definedName name="___________________REP43">#REF!</definedName>
    <definedName name="___________________TEP44">#REF!</definedName>
    <definedName name="___________________TPE1132">#REF!</definedName>
    <definedName name="___________________TPE12">#REF!</definedName>
    <definedName name="___________________TPE1331">#REF!</definedName>
    <definedName name="___________________TPE1702">#REF!</definedName>
    <definedName name="___________________TPE1703">#REF!</definedName>
    <definedName name="___________________TPE1704">#REF!</definedName>
    <definedName name="___________________TPE1706">#REF!</definedName>
    <definedName name="___________________TPE1708">#REF!</definedName>
    <definedName name="___________________TPE1710">#REF!</definedName>
    <definedName name="___________________TPE1735">#REF!</definedName>
    <definedName name="___________________TPE1763">#REF!</definedName>
    <definedName name="___________________TPE1790">#REF!</definedName>
    <definedName name="___________________TPF12">#REF!</definedName>
    <definedName name="___________________TUZ22">#REF!</definedName>
    <definedName name="___________________TUZ36">#REF!</definedName>
    <definedName name="___________________TZ2110">#REF!</definedName>
    <definedName name="___________________TZ214">#REF!</definedName>
    <definedName name="___________________TZ216">#REF!</definedName>
    <definedName name="___________________TZ268">#REF!</definedName>
    <definedName name="___________________TZ323">#REF!</definedName>
    <definedName name="___________________TZ324">#REF!</definedName>
    <definedName name="___________________TZ32510">#REF!</definedName>
    <definedName name="__________________ADH12">#REF!</definedName>
    <definedName name="__________________ADM12">#REF!</definedName>
    <definedName name="__________________ADM4">#REF!</definedName>
    <definedName name="__________________AIU1">#REF!</definedName>
    <definedName name="__________________AIU2">#REF!</definedName>
    <definedName name="__________________AIU3">#REF!</definedName>
    <definedName name="__________________BAZ10">#REF!</definedName>
    <definedName name="__________________BLO20">#REF!</definedName>
    <definedName name="__________________CAN28">#REF!</definedName>
    <definedName name="__________________Cod1">#REF!</definedName>
    <definedName name="__________________CUA44">#REF!</definedName>
    <definedName name="__________________LA124">#REF!</definedName>
    <definedName name="__________________LAC18">#REF!</definedName>
    <definedName name="__________________Po2">#REF!</definedName>
    <definedName name="__________________R84JH">#REF!</definedName>
    <definedName name="__________________REP43">#REF!</definedName>
    <definedName name="__________________TEP44">#REF!</definedName>
    <definedName name="__________________TPE1132">#REF!</definedName>
    <definedName name="__________________TPE12">#REF!</definedName>
    <definedName name="__________________TPE1331">#REF!</definedName>
    <definedName name="__________________TPE1702">#REF!</definedName>
    <definedName name="__________________TPE1703">#REF!</definedName>
    <definedName name="__________________TPE1704">#REF!</definedName>
    <definedName name="__________________TPE1706">#REF!</definedName>
    <definedName name="__________________TPE1708">#REF!</definedName>
    <definedName name="__________________TPE1710">#REF!</definedName>
    <definedName name="__________________TPE1735">#REF!</definedName>
    <definedName name="__________________TPE1763">#REF!</definedName>
    <definedName name="__________________TPE1790">#REF!</definedName>
    <definedName name="__________________TPF12">#REF!</definedName>
    <definedName name="__________________TUZ22">#REF!</definedName>
    <definedName name="__________________TUZ36">#REF!</definedName>
    <definedName name="__________________TZ2110">#REF!</definedName>
    <definedName name="__________________TZ214">#REF!</definedName>
    <definedName name="__________________TZ216">#REF!</definedName>
    <definedName name="__________________TZ268">#REF!</definedName>
    <definedName name="__________________TZ323">#REF!</definedName>
    <definedName name="__________________TZ324">#REF!</definedName>
    <definedName name="__________________TZ32510">#REF!</definedName>
    <definedName name="_________________ADH12">#REF!</definedName>
    <definedName name="_________________ADM12">#REF!</definedName>
    <definedName name="_________________ADM4">#REF!</definedName>
    <definedName name="_________________AIU1">#REF!</definedName>
    <definedName name="_________________AIU2">#REF!</definedName>
    <definedName name="_________________AIU3">#REF!</definedName>
    <definedName name="_________________BAZ10">#REF!</definedName>
    <definedName name="_________________BLO20">#REF!</definedName>
    <definedName name="_________________CAN28">#REF!</definedName>
    <definedName name="_________________Cod1">#REF!</definedName>
    <definedName name="_________________CUA44">#REF!</definedName>
    <definedName name="_________________LA124">#REF!</definedName>
    <definedName name="_________________LAC18">#REF!</definedName>
    <definedName name="_________________Po2">#REF!</definedName>
    <definedName name="_________________R84JH">#REF!</definedName>
    <definedName name="_________________REP43">#REF!</definedName>
    <definedName name="_________________TEP44">#REF!</definedName>
    <definedName name="_________________TPE1132">#REF!</definedName>
    <definedName name="_________________TPE12">#REF!</definedName>
    <definedName name="_________________TPE1331">#REF!</definedName>
    <definedName name="_________________TPE1702">#REF!</definedName>
    <definedName name="_________________TPE1703">#REF!</definedName>
    <definedName name="_________________TPE1704">#REF!</definedName>
    <definedName name="_________________TPE1706">#REF!</definedName>
    <definedName name="_________________TPE1708">#REF!</definedName>
    <definedName name="_________________TPE1710">#REF!</definedName>
    <definedName name="_________________TPE1735">#REF!</definedName>
    <definedName name="_________________TPE1763">#REF!</definedName>
    <definedName name="_________________TPE1790">#REF!</definedName>
    <definedName name="_________________TPF12">#REF!</definedName>
    <definedName name="_________________TUZ22">#REF!</definedName>
    <definedName name="_________________TUZ36">#REF!</definedName>
    <definedName name="_________________TZ2110">#REF!</definedName>
    <definedName name="_________________TZ214">#REF!</definedName>
    <definedName name="_________________TZ216">#REF!</definedName>
    <definedName name="_________________TZ268">#REF!</definedName>
    <definedName name="_________________TZ323">#REF!</definedName>
    <definedName name="_________________TZ324">#REF!</definedName>
    <definedName name="_________________TZ32510">#REF!</definedName>
    <definedName name="________________ADH12">#REF!</definedName>
    <definedName name="________________ADM12">#REF!</definedName>
    <definedName name="________________ADM4">#REF!</definedName>
    <definedName name="________________AIU1">#REF!</definedName>
    <definedName name="________________AIU2">#REF!</definedName>
    <definedName name="________________AIU3">#REF!</definedName>
    <definedName name="________________BAZ10">#REF!</definedName>
    <definedName name="________________BLO20">#REF!</definedName>
    <definedName name="________________CAN28">#REF!</definedName>
    <definedName name="________________Cod1">#REF!</definedName>
    <definedName name="________________CUA44">#REF!</definedName>
    <definedName name="________________LA124">#REF!</definedName>
    <definedName name="________________LAC18">#REF!</definedName>
    <definedName name="________________Po2">#REF!</definedName>
    <definedName name="________________R84JH">#REF!</definedName>
    <definedName name="________________REP43">#REF!</definedName>
    <definedName name="________________TEP44">#REF!</definedName>
    <definedName name="________________TPE1132">#REF!</definedName>
    <definedName name="________________TPE12">#REF!</definedName>
    <definedName name="________________TPE1331">#REF!</definedName>
    <definedName name="________________TPE1702">#REF!</definedName>
    <definedName name="________________TPE1703">#REF!</definedName>
    <definedName name="________________TPE1704">#REF!</definedName>
    <definedName name="________________TPE1706">#REF!</definedName>
    <definedName name="________________TPE1708">#REF!</definedName>
    <definedName name="________________TPE1710">#REF!</definedName>
    <definedName name="________________TPE1735">#REF!</definedName>
    <definedName name="________________TPE1763">#REF!</definedName>
    <definedName name="________________TPE1790">#REF!</definedName>
    <definedName name="________________TPF12">#REF!</definedName>
    <definedName name="________________TUZ22">#REF!</definedName>
    <definedName name="________________TUZ36">#REF!</definedName>
    <definedName name="________________TZ2110">#REF!</definedName>
    <definedName name="________________TZ214">#REF!</definedName>
    <definedName name="________________TZ216">#REF!</definedName>
    <definedName name="________________TZ268">#REF!</definedName>
    <definedName name="________________TZ323">#REF!</definedName>
    <definedName name="________________TZ324">#REF!</definedName>
    <definedName name="________________TZ32510">#REF!</definedName>
    <definedName name="_______________ADH12">#REF!</definedName>
    <definedName name="_______________ADM12">#REF!</definedName>
    <definedName name="_______________ADM4">#REF!</definedName>
    <definedName name="_______________AIU1">#REF!</definedName>
    <definedName name="_______________AIU2">#REF!</definedName>
    <definedName name="_______________AIU3">#REF!</definedName>
    <definedName name="_______________BAZ10">#REF!</definedName>
    <definedName name="_______________BLO20">#REF!</definedName>
    <definedName name="_______________CAN28">#REF!</definedName>
    <definedName name="_______________Cod1">#REF!</definedName>
    <definedName name="_______________CUA44">#REF!</definedName>
    <definedName name="_______________LA124">#REF!</definedName>
    <definedName name="_______________LAC18">#REF!</definedName>
    <definedName name="_______________Po2">#REF!</definedName>
    <definedName name="_______________R84JH">#REF!</definedName>
    <definedName name="_______________REP43">#REF!</definedName>
    <definedName name="_______________TEP44">#REF!</definedName>
    <definedName name="_______________TPE1132">#REF!</definedName>
    <definedName name="_______________TPE12">#REF!</definedName>
    <definedName name="_______________TPE1331">#REF!</definedName>
    <definedName name="_______________TPE1702">#REF!</definedName>
    <definedName name="_______________TPE1703">#REF!</definedName>
    <definedName name="_______________TPE1704">#REF!</definedName>
    <definedName name="_______________TPE1706">#REF!</definedName>
    <definedName name="_______________TPE1708">#REF!</definedName>
    <definedName name="_______________TPE1710">#REF!</definedName>
    <definedName name="_______________TPE1735">#REF!</definedName>
    <definedName name="_______________TPE1763">#REF!</definedName>
    <definedName name="_______________TPE1790">#REF!</definedName>
    <definedName name="_______________TPF12">#REF!</definedName>
    <definedName name="_______________TUZ22">#REF!</definedName>
    <definedName name="_______________TUZ36">#REF!</definedName>
    <definedName name="_______________TZ2110">#REF!</definedName>
    <definedName name="_______________TZ214">#REF!</definedName>
    <definedName name="_______________TZ216">#REF!</definedName>
    <definedName name="_______________TZ268">#REF!</definedName>
    <definedName name="_______________TZ323">#REF!</definedName>
    <definedName name="_______________TZ324">#REF!</definedName>
    <definedName name="_______________TZ32510">#REF!</definedName>
    <definedName name="______________ADH12">#REF!</definedName>
    <definedName name="______________ADM12">#REF!</definedName>
    <definedName name="______________ADM4">#REF!</definedName>
    <definedName name="______________AIU1">#REF!</definedName>
    <definedName name="______________AIU2">#REF!</definedName>
    <definedName name="______________AIU3">#REF!</definedName>
    <definedName name="______________BAZ10">#REF!</definedName>
    <definedName name="______________BLO20">#REF!</definedName>
    <definedName name="______________CAN28">#REF!</definedName>
    <definedName name="______________Cod1">#REF!</definedName>
    <definedName name="______________CUA44">#REF!</definedName>
    <definedName name="______________LA124">#REF!</definedName>
    <definedName name="______________LAC18">#REF!</definedName>
    <definedName name="______________Po2">#REF!</definedName>
    <definedName name="______________R84JH">#REF!</definedName>
    <definedName name="______________REP43">#REF!</definedName>
    <definedName name="______________TEP44">#REF!</definedName>
    <definedName name="______________TPE1132">#REF!</definedName>
    <definedName name="______________TPE12">#REF!</definedName>
    <definedName name="______________TPE1331">#REF!</definedName>
    <definedName name="______________TPE1702">#REF!</definedName>
    <definedName name="______________TPE1703">#REF!</definedName>
    <definedName name="______________TPE1704">#REF!</definedName>
    <definedName name="______________TPE1706">#REF!</definedName>
    <definedName name="______________TPE1708">#REF!</definedName>
    <definedName name="______________TPE1710">#REF!</definedName>
    <definedName name="______________TPE1735">#REF!</definedName>
    <definedName name="______________TPE1763">#REF!</definedName>
    <definedName name="______________TPE1790">#REF!</definedName>
    <definedName name="______________TPF12">#REF!</definedName>
    <definedName name="______________TUZ22">#REF!</definedName>
    <definedName name="______________TUZ36">#REF!</definedName>
    <definedName name="______________TZ2110">#REF!</definedName>
    <definedName name="______________TZ214">#REF!</definedName>
    <definedName name="______________TZ216">#REF!</definedName>
    <definedName name="______________TZ268">#REF!</definedName>
    <definedName name="______________TZ323">#REF!</definedName>
    <definedName name="______________TZ324">#REF!</definedName>
    <definedName name="______________TZ32510">#REF!</definedName>
    <definedName name="_____________ADH12">#REF!</definedName>
    <definedName name="_____________ADM12">#REF!</definedName>
    <definedName name="_____________ADM4">#REF!</definedName>
    <definedName name="_____________AIU1">#REF!</definedName>
    <definedName name="_____________AIU2">#REF!</definedName>
    <definedName name="_____________AIU3">#REF!</definedName>
    <definedName name="_____________BAZ10">#REF!</definedName>
    <definedName name="_____________BLO20">#REF!</definedName>
    <definedName name="_____________CAN28">#REF!</definedName>
    <definedName name="_____________Cod1">#REF!</definedName>
    <definedName name="_____________CUA44">#REF!</definedName>
    <definedName name="_____________LA124">#REF!</definedName>
    <definedName name="_____________LAC18">#REF!</definedName>
    <definedName name="_____________Po2">#REF!</definedName>
    <definedName name="_____________R32JH">#REF!</definedName>
    <definedName name="_____________R64JH">#REF!</definedName>
    <definedName name="_____________R84JH">#REF!</definedName>
    <definedName name="_____________REP43">#REF!</definedName>
    <definedName name="_____________TEP44">#REF!</definedName>
    <definedName name="_____________THF12">#REF!</definedName>
    <definedName name="_____________TPE1132">#REF!</definedName>
    <definedName name="_____________TPE12">#REF!</definedName>
    <definedName name="_____________TPE1331">#REF!</definedName>
    <definedName name="_____________TPE1702">#REF!</definedName>
    <definedName name="_____________TPE1703">#REF!</definedName>
    <definedName name="_____________TPE1704">#REF!</definedName>
    <definedName name="_____________TPE1706">#REF!</definedName>
    <definedName name="_____________TPE1708">#REF!</definedName>
    <definedName name="_____________TPE1710">#REF!</definedName>
    <definedName name="_____________TPE1735">#REF!</definedName>
    <definedName name="_____________TPE1763">#REF!</definedName>
    <definedName name="_____________TPE1790">#REF!</definedName>
    <definedName name="_____________TPF12">#REF!</definedName>
    <definedName name="_____________TUZ22">#REF!</definedName>
    <definedName name="_____________TUZ36">#REF!</definedName>
    <definedName name="_____________TZ2110">#REF!</definedName>
    <definedName name="_____________TZ214">#REF!</definedName>
    <definedName name="_____________TZ216">#REF!</definedName>
    <definedName name="_____________TZ268">#REF!</definedName>
    <definedName name="_____________TZ323">#REF!</definedName>
    <definedName name="_____________TZ324">#REF!</definedName>
    <definedName name="_____________TZ32510">#REF!</definedName>
    <definedName name="____________ADH12">#REF!</definedName>
    <definedName name="____________ADM12">#REF!</definedName>
    <definedName name="____________ADM4">#REF!</definedName>
    <definedName name="____________AIU1">#REF!</definedName>
    <definedName name="____________AIU2">#REF!</definedName>
    <definedName name="____________AIU3">#REF!</definedName>
    <definedName name="____________BAZ10">#REF!</definedName>
    <definedName name="____________BLO20">#REF!</definedName>
    <definedName name="____________C2254JH">#REF!</definedName>
    <definedName name="____________C908J">#REF!</definedName>
    <definedName name="____________CAN28">#REF!</definedName>
    <definedName name="____________Cod1">#REF!</definedName>
    <definedName name="____________CUA44">#REF!</definedName>
    <definedName name="____________LA124">#REF!</definedName>
    <definedName name="____________LAC18">#REF!</definedName>
    <definedName name="____________Pa1">#REF!</definedName>
    <definedName name="____________Pa2">#REF!</definedName>
    <definedName name="____________Pa3">#REF!</definedName>
    <definedName name="____________Pa4">#REF!</definedName>
    <definedName name="____________Po2">#REF!</definedName>
    <definedName name="____________R84JH">#REF!</definedName>
    <definedName name="____________REP43">#REF!</definedName>
    <definedName name="____________TEP44">#REF!</definedName>
    <definedName name="____________TPE1132">#REF!</definedName>
    <definedName name="____________TPE12">#REF!</definedName>
    <definedName name="____________TPE1331">#REF!</definedName>
    <definedName name="____________TPE1702">#REF!</definedName>
    <definedName name="____________TPE1703">#REF!</definedName>
    <definedName name="____________TPE1704">#REF!</definedName>
    <definedName name="____________TPE1706">#REF!</definedName>
    <definedName name="____________TPE1708">#REF!</definedName>
    <definedName name="____________TPE1710">#REF!</definedName>
    <definedName name="____________TPE1735">#REF!</definedName>
    <definedName name="____________TPE1763">#REF!</definedName>
    <definedName name="____________TPE1790">#REF!</definedName>
    <definedName name="____________TPF12">#REF!</definedName>
    <definedName name="____________TUZ22">#REF!</definedName>
    <definedName name="____________TUZ36">#REF!</definedName>
    <definedName name="____________TZ2110">#REF!</definedName>
    <definedName name="____________TZ212">#REF!</definedName>
    <definedName name="____________TZ214">#REF!</definedName>
    <definedName name="____________TZ216">#REF!</definedName>
    <definedName name="____________TZ268">#REF!</definedName>
    <definedName name="____________TZ323">#REF!</definedName>
    <definedName name="____________TZ324">#REF!</definedName>
    <definedName name="____________TZ32510">#REF!</definedName>
    <definedName name="___________ADH12">#REF!</definedName>
    <definedName name="___________ADM12">#REF!</definedName>
    <definedName name="___________ADM4">#REF!</definedName>
    <definedName name="___________AIU1">#REF!</definedName>
    <definedName name="___________AIU2">#REF!</definedName>
    <definedName name="___________AIU3">#REF!</definedName>
    <definedName name="___________BAZ10">#REF!</definedName>
    <definedName name="___________BLO20">#REF!</definedName>
    <definedName name="___________CAN28">#REF!</definedName>
    <definedName name="___________Cod1">#REF!</definedName>
    <definedName name="___________CUA44">#REF!</definedName>
    <definedName name="___________LA124">#REF!</definedName>
    <definedName name="___________LAC18">#REF!</definedName>
    <definedName name="___________Pa1">#REF!</definedName>
    <definedName name="___________Pa2">#REF!</definedName>
    <definedName name="___________Pa3">#REF!</definedName>
    <definedName name="___________Pa4">#REF!</definedName>
    <definedName name="___________Po2">#REF!</definedName>
    <definedName name="___________R32JH">#REF!</definedName>
    <definedName name="___________R64JH">#REF!</definedName>
    <definedName name="___________R84JH">#REF!</definedName>
    <definedName name="___________REP43">#REF!</definedName>
    <definedName name="___________ST166">#REF!</definedName>
    <definedName name="___________TEP44">#REF!</definedName>
    <definedName name="___________THF12">#REF!</definedName>
    <definedName name="___________TPE1132">#REF!</definedName>
    <definedName name="___________TPE12">#REF!</definedName>
    <definedName name="___________TPE1331">#REF!</definedName>
    <definedName name="___________TPE1702">#REF!</definedName>
    <definedName name="___________TPE1703">#REF!</definedName>
    <definedName name="___________TPE1704">#REF!</definedName>
    <definedName name="___________TPE1706">#REF!</definedName>
    <definedName name="___________TPE1708">#REF!</definedName>
    <definedName name="___________TPE1710">#REF!</definedName>
    <definedName name="___________TPE1735">#REF!</definedName>
    <definedName name="___________TPE1763">#REF!</definedName>
    <definedName name="___________TPE1790">#REF!</definedName>
    <definedName name="___________TPE8016">#REF!</definedName>
    <definedName name="___________TPE8020">#REF!</definedName>
    <definedName name="___________TPE8025">#REF!</definedName>
    <definedName name="___________TPF12">#REF!</definedName>
    <definedName name="___________TPN1002">#REF!</definedName>
    <definedName name="___________TPN1003">#REF!</definedName>
    <definedName name="___________TPN1004">#REF!</definedName>
    <definedName name="___________TPN1006">#REF!</definedName>
    <definedName name="___________TPN1008">#REF!</definedName>
    <definedName name="___________TPN1202">#REF!</definedName>
    <definedName name="___________TPN1203">#REF!</definedName>
    <definedName name="___________TPN1204">#REF!</definedName>
    <definedName name="___________TPN1206">#REF!</definedName>
    <definedName name="___________TPN1208">#REF!</definedName>
    <definedName name="___________TPN16012">#REF!</definedName>
    <definedName name="___________TPN1602">#REF!</definedName>
    <definedName name="___________TPN1603">#REF!</definedName>
    <definedName name="___________TPN1604">#REF!</definedName>
    <definedName name="___________TPN1606">#REF!</definedName>
    <definedName name="___________TPN1608">#REF!</definedName>
    <definedName name="___________TUZ22">#REF!</definedName>
    <definedName name="___________TUZ36">#REF!</definedName>
    <definedName name="___________TZ2110">#REF!</definedName>
    <definedName name="___________TZ212">#REF!</definedName>
    <definedName name="___________TZ214">#REF!</definedName>
    <definedName name="___________TZ216">#REF!</definedName>
    <definedName name="___________TZ268">#REF!</definedName>
    <definedName name="___________TZ323">#REF!</definedName>
    <definedName name="___________TZ324">#REF!</definedName>
    <definedName name="___________TZ32510">#REF!</definedName>
    <definedName name="__________ADH12">#REF!</definedName>
    <definedName name="__________ADM12">#REF!</definedName>
    <definedName name="__________ADM4">#REF!</definedName>
    <definedName name="__________AIU1">#REF!</definedName>
    <definedName name="__________AIU2">#REF!</definedName>
    <definedName name="__________AIU3">#REF!</definedName>
    <definedName name="__________BAZ10">#REF!</definedName>
    <definedName name="__________BLO20">#REF!</definedName>
    <definedName name="__________C2254JH">#REF!</definedName>
    <definedName name="__________C908J">#REF!</definedName>
    <definedName name="__________CAN28">#REF!</definedName>
    <definedName name="__________Cod1">#REF!</definedName>
    <definedName name="__________CUA44">#REF!</definedName>
    <definedName name="__________LA124">#REF!</definedName>
    <definedName name="__________LAC18">#REF!</definedName>
    <definedName name="__________Pa1">#REF!</definedName>
    <definedName name="__________Pa2">#REF!</definedName>
    <definedName name="__________Pa3">#REF!</definedName>
    <definedName name="__________Pa4">#REF!</definedName>
    <definedName name="__________Po2">#REF!</definedName>
    <definedName name="__________r">#REF!</definedName>
    <definedName name="__________R32JH">#REF!</definedName>
    <definedName name="__________R64JH">#REF!</definedName>
    <definedName name="__________R84JH">#REF!</definedName>
    <definedName name="__________REP43">#REF!</definedName>
    <definedName name="__________ST166">#REF!</definedName>
    <definedName name="__________SY106">#REF!</definedName>
    <definedName name="__________SY86">#REF!</definedName>
    <definedName name="__________TEP44">#REF!</definedName>
    <definedName name="__________THF12">#REF!</definedName>
    <definedName name="__________TPE1132">#REF!</definedName>
    <definedName name="__________TPE12">#REF!</definedName>
    <definedName name="__________TPE1331">#REF!</definedName>
    <definedName name="__________TPE1702">#REF!</definedName>
    <definedName name="__________TPE1703">#REF!</definedName>
    <definedName name="__________TPE1704">#REF!</definedName>
    <definedName name="__________TPE1706">#REF!</definedName>
    <definedName name="__________TPE1708">#REF!</definedName>
    <definedName name="__________TPE1710">#REF!</definedName>
    <definedName name="__________TPE1735">#REF!</definedName>
    <definedName name="__________TPE1763">#REF!</definedName>
    <definedName name="__________TPE1790">#REF!</definedName>
    <definedName name="__________TPE8016">#REF!</definedName>
    <definedName name="__________TPE8020">#REF!</definedName>
    <definedName name="__________TPE8025">#REF!</definedName>
    <definedName name="__________TPF12">#REF!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2110">#REF!</definedName>
    <definedName name="__________TZ212">#REF!</definedName>
    <definedName name="__________TZ214">#REF!</definedName>
    <definedName name="__________TZ216">#REF!</definedName>
    <definedName name="__________TZ268">#REF!</definedName>
    <definedName name="__________TZ323">#REF!</definedName>
    <definedName name="__________TZ324">#REF!</definedName>
    <definedName name="__________TZ32510">#REF!</definedName>
    <definedName name="_________ADH12">#REF!</definedName>
    <definedName name="_________ADM12">#REF!</definedName>
    <definedName name="_________ADM4">#REF!</definedName>
    <definedName name="_________AIU1">#REF!</definedName>
    <definedName name="_________AIU2">#REF!</definedName>
    <definedName name="_________AIU3">#REF!</definedName>
    <definedName name="_________BAZ10">#REF!</definedName>
    <definedName name="_________BLO20">#REF!</definedName>
    <definedName name="_________C2254JH">#REF!</definedName>
    <definedName name="_________C908J">#REF!</definedName>
    <definedName name="_________CAN28">#REF!</definedName>
    <definedName name="_________Cod1">#REF!</definedName>
    <definedName name="_________CUA44">#REF!</definedName>
    <definedName name="_________LA124">#REF!</definedName>
    <definedName name="_________LAC18">#REF!</definedName>
    <definedName name="_________Pa1">#REF!</definedName>
    <definedName name="_________Pa2">#REF!</definedName>
    <definedName name="_________Pa3">#REF!</definedName>
    <definedName name="_________Pa4">#REF!</definedName>
    <definedName name="_________Po2">#REF!</definedName>
    <definedName name="_________r">#REF!</definedName>
    <definedName name="_________R32JH">#REF!</definedName>
    <definedName name="_________R64JH">#REF!</definedName>
    <definedName name="_________R84JH">#REF!</definedName>
    <definedName name="_________REP43">#REF!</definedName>
    <definedName name="_________ST166">#REF!</definedName>
    <definedName name="_________TEP44">#REF!</definedName>
    <definedName name="_________THF12">#REF!</definedName>
    <definedName name="_________TPE1132">#REF!</definedName>
    <definedName name="_________TPE12">#REF!</definedName>
    <definedName name="_________TPE1331">#REF!</definedName>
    <definedName name="_________TPE1702">#REF!</definedName>
    <definedName name="_________TPE1703">#REF!</definedName>
    <definedName name="_________TPE1704">#REF!</definedName>
    <definedName name="_________TPE1706">#REF!</definedName>
    <definedName name="_________TPE1708">#REF!</definedName>
    <definedName name="_________TPE1710">#REF!</definedName>
    <definedName name="_________TPE1735">#REF!</definedName>
    <definedName name="_________TPE1763">#REF!</definedName>
    <definedName name="_________TPE1790">#REF!</definedName>
    <definedName name="_________TPE8016">#REF!</definedName>
    <definedName name="_________TPE8020">#REF!</definedName>
    <definedName name="_________TPE8025">#REF!</definedName>
    <definedName name="_________TPF12">#REF!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2110">#REF!</definedName>
    <definedName name="_________TZ212">#REF!</definedName>
    <definedName name="_________TZ214">#REF!</definedName>
    <definedName name="_________TZ216">#REF!</definedName>
    <definedName name="_________TZ268">#REF!</definedName>
    <definedName name="_________TZ323">#REF!</definedName>
    <definedName name="_________TZ324">#REF!</definedName>
    <definedName name="_________TZ32510">#REF!</definedName>
    <definedName name="________ADH12">#REF!</definedName>
    <definedName name="________ADM12">#REF!</definedName>
    <definedName name="________ADM4">#REF!</definedName>
    <definedName name="________AIU1">#REF!</definedName>
    <definedName name="________AIU2">#REF!</definedName>
    <definedName name="________AIU3">#REF!</definedName>
    <definedName name="________BAZ10">#REF!</definedName>
    <definedName name="________BLO20">#REF!</definedName>
    <definedName name="________C2254JH">#REF!</definedName>
    <definedName name="________C908J">#REF!</definedName>
    <definedName name="________CAN28">#REF!</definedName>
    <definedName name="________Cod1">#REF!</definedName>
    <definedName name="________CUA44">#REF!</definedName>
    <definedName name="________LA124">#REF!</definedName>
    <definedName name="________LAC18">#REF!</definedName>
    <definedName name="________Pa1">#REF!</definedName>
    <definedName name="________Pa2">#REF!</definedName>
    <definedName name="________Pa3">#REF!</definedName>
    <definedName name="________Pa4">#REF!</definedName>
    <definedName name="________Po2">#REF!</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32JH">#REF!</definedName>
    <definedName name="________r4r" localSheetId="1" hidden="1">{"via1",#N/A,TRUE,"general";"via2",#N/A,TRUE,"general";"via3",#N/A,TRUE,"general"}</definedName>
    <definedName name="________r4r" hidden="1">{"via1",#N/A,TRUE,"general";"via2",#N/A,TRUE,"general";"via3",#N/A,TRUE,"general"}</definedName>
    <definedName name="________R64JH">#REF!</definedName>
    <definedName name="________R84JH">#REF!</definedName>
    <definedName name="________REP43">#REF!</definedName>
    <definedName name="________ST166">#REF!</definedName>
    <definedName name="________TEP44">#REF!</definedName>
    <definedName name="________THF12">#REF!</definedName>
    <definedName name="________TPE1132">#REF!</definedName>
    <definedName name="________TPE12">#REF!</definedName>
    <definedName name="________TPE1331">#REF!</definedName>
    <definedName name="________TPE1702">#REF!</definedName>
    <definedName name="________TPE1703">#REF!</definedName>
    <definedName name="________TPE1704">#REF!</definedName>
    <definedName name="________TPE1706">#REF!</definedName>
    <definedName name="________TPE1708">#REF!</definedName>
    <definedName name="________TPE1710">#REF!</definedName>
    <definedName name="________TPE1735">#REF!</definedName>
    <definedName name="________TPE1763">#REF!</definedName>
    <definedName name="________TPE1790">#REF!</definedName>
    <definedName name="________TPE8016">#REF!</definedName>
    <definedName name="________TPE8020">#REF!</definedName>
    <definedName name="________TPE8025">#REF!</definedName>
    <definedName name="________TPF12">#REF!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2110">#REF!</definedName>
    <definedName name="________TZ212">#REF!</definedName>
    <definedName name="________TZ213">#REF!</definedName>
    <definedName name="________TZ214">#REF!</definedName>
    <definedName name="________TZ216">#REF!</definedName>
    <definedName name="________TZ268">#REF!</definedName>
    <definedName name="________TZ323">#REF!</definedName>
    <definedName name="________TZ324">#REF!</definedName>
    <definedName name="________TZ32510">#REF!</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DH12">#REF!</definedName>
    <definedName name="_______ADM12">#REF!</definedName>
    <definedName name="_______ADM4">#REF!</definedName>
    <definedName name="_______AIU1">#REF!</definedName>
    <definedName name="_______AIU2">#REF!</definedName>
    <definedName name="_______AIU3">#REF!</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AZ10">#REF!</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LO20">#REF!</definedName>
    <definedName name="_______C2254JH">#REF!</definedName>
    <definedName name="_______C908J">#REF!</definedName>
    <definedName name="_______CAN28">#REF!</definedName>
    <definedName name="_______Cod1">#REF!</definedName>
    <definedName name="_______CUA44">#REF!</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LA124">#REF!</definedName>
    <definedName name="_______LAC18">#REF!</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o2">#REF!</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32JH">#REF!</definedName>
    <definedName name="_______r4r" localSheetId="1" hidden="1">{"via1",#N/A,TRUE,"general";"via2",#N/A,TRUE,"general";"via3",#N/A,TRUE,"general"}</definedName>
    <definedName name="_______r4r" hidden="1">{"via1",#N/A,TRUE,"general";"via2",#N/A,TRUE,"general";"via3",#N/A,TRUE,"general"}</definedName>
    <definedName name="_______R64JH">#REF!</definedName>
    <definedName name="_______R84JH">#REF!</definedName>
    <definedName name="_______REP43">#REF!</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ST166">#REF!</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TEP44">#REF!</definedName>
    <definedName name="_______THF12">#REF!</definedName>
    <definedName name="_______TPE1132">#REF!</definedName>
    <definedName name="_______TPE12">#REF!</definedName>
    <definedName name="_______TPE1331">#REF!</definedName>
    <definedName name="_______TPE1702">#REF!</definedName>
    <definedName name="_______TPE1703">#REF!</definedName>
    <definedName name="_______TPE1704">#REF!</definedName>
    <definedName name="_______TPE1706">#REF!</definedName>
    <definedName name="_______TPE1708">#REF!</definedName>
    <definedName name="_______TPE1710">#REF!</definedName>
    <definedName name="_______TPE1735">#REF!</definedName>
    <definedName name="_______TPE1763">#REF!</definedName>
    <definedName name="_______TPE1790">#REF!</definedName>
    <definedName name="_______TPE8016">#REF!</definedName>
    <definedName name="_______TPE8020">#REF!</definedName>
    <definedName name="_______TPE8025">#REF!</definedName>
    <definedName name="_______TPF12">#REF!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13">#REF!</definedName>
    <definedName name="_______TZ131">#REF!</definedName>
    <definedName name="_______TZ132">#REF!</definedName>
    <definedName name="_______TZ133">#REF!</definedName>
    <definedName name="_______TZ134">#REF!</definedName>
    <definedName name="_______TZ135">#REF!</definedName>
    <definedName name="_______TZ136">#REF!</definedName>
    <definedName name="_______TZ137">#REF!</definedName>
    <definedName name="_______TZ138">#REF!</definedName>
    <definedName name="_______TZ2110">#REF!</definedName>
    <definedName name="_______TZ212">#REF!</definedName>
    <definedName name="_______TZ213">#REF!</definedName>
    <definedName name="_______TZ214">#REF!</definedName>
    <definedName name="_______TZ216">#REF!</definedName>
    <definedName name="_______TZ268">#REF!</definedName>
    <definedName name="_______TZ323">#REF!</definedName>
    <definedName name="_______TZ324">#REF!</definedName>
    <definedName name="_______TZ32510">#REF!</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DH12">#REF!</definedName>
    <definedName name="______ADM12">#REF!</definedName>
    <definedName name="______ADM4">#REF!</definedName>
    <definedName name="______AIU1">#REF!</definedName>
    <definedName name="______AIU2">#REF!</definedName>
    <definedName name="______AIU3">#REF!</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AZ10">#REF!</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LO20">#REF!</definedName>
    <definedName name="______C2254JH">#REF!</definedName>
    <definedName name="______C908J">#REF!</definedName>
    <definedName name="______CAN28">#REF!</definedName>
    <definedName name="______Cod1">#REF!</definedName>
    <definedName name="______CUA44">#REF!</definedName>
    <definedName name="______ETF315">#REF!</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LA124">#REF!</definedName>
    <definedName name="______LAC18">#REF!</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o2">#REF!</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32JH">#REF!</definedName>
    <definedName name="______R43JH">#REF!</definedName>
    <definedName name="______r4r" localSheetId="1" hidden="1">{"via1",#N/A,TRUE,"general";"via2",#N/A,TRUE,"general";"via3",#N/A,TRUE,"general"}</definedName>
    <definedName name="______r4r" hidden="1">{"via1",#N/A,TRUE,"general";"via2",#N/A,TRUE,"general";"via3",#N/A,TRUE,"general"}</definedName>
    <definedName name="______R63JH">#REF!</definedName>
    <definedName name="______R64JH">#REF!</definedName>
    <definedName name="______R84JH">#REF!</definedName>
    <definedName name="______REP43">#REF!</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ST166">#REF!</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TEP44">#REF!</definedName>
    <definedName name="______THF12">#REF!</definedName>
    <definedName name="______TPE1132">#REF!</definedName>
    <definedName name="______TPE12">#REF!</definedName>
    <definedName name="______TPE1331">#REF!</definedName>
    <definedName name="______TPE1702">#REF!</definedName>
    <definedName name="______TPE1703">#REF!</definedName>
    <definedName name="______TPE1704">#REF!</definedName>
    <definedName name="______TPE1706">#REF!</definedName>
    <definedName name="______TPE1708">#REF!</definedName>
    <definedName name="______TPE1710">#REF!</definedName>
    <definedName name="______TPE1735">#REF!</definedName>
    <definedName name="______TPE1763">#REF!</definedName>
    <definedName name="______TPE1790">#REF!</definedName>
    <definedName name="______TPE8016">#REF!</definedName>
    <definedName name="______TPE8020">#REF!</definedName>
    <definedName name="______TPE8025">#REF!</definedName>
    <definedName name="______TPF12">#REF!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UZ22">#REF!</definedName>
    <definedName name="______TUZ36">#REF!</definedName>
    <definedName name="______TZ13">#REF!</definedName>
    <definedName name="______TZ131">#REF!</definedName>
    <definedName name="______TZ132">#REF!</definedName>
    <definedName name="______TZ133">#REF!</definedName>
    <definedName name="______TZ134">#REF!</definedName>
    <definedName name="______TZ135">#REF!</definedName>
    <definedName name="______TZ136">#REF!</definedName>
    <definedName name="______TZ137">#REF!</definedName>
    <definedName name="______TZ138">#REF!</definedName>
    <definedName name="______TZ2110">#REF!</definedName>
    <definedName name="______TZ212">#REF!</definedName>
    <definedName name="______TZ213">#REF!</definedName>
    <definedName name="______TZ214">#REF!</definedName>
    <definedName name="______TZ216">#REF!</definedName>
    <definedName name="______TZ262">#REF!</definedName>
    <definedName name="______TZ268">#REF!</definedName>
    <definedName name="______TZ323">#REF!</definedName>
    <definedName name="______TZ324">#REF!</definedName>
    <definedName name="______TZ32510">#REF!</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DH12">#REF!</definedName>
    <definedName name="_____ADM12">#REF!</definedName>
    <definedName name="_____ADM4">#REF!</definedName>
    <definedName name="_____ADP1">#REF!</definedName>
    <definedName name="_____AIU1">#REF!</definedName>
    <definedName name="_____AIU2">#REF!</definedName>
    <definedName name="_____AIU3">#REF!</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AZ10">#REF!</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LO20">#REF!</definedName>
    <definedName name="_____C2254JH">#REF!</definedName>
    <definedName name="_____C2256JH">#REF!</definedName>
    <definedName name="_____C452JH">#REF!</definedName>
    <definedName name="_____C903L">#REF!</definedName>
    <definedName name="_____C908J">#REF!</definedName>
    <definedName name="_____CAN28">#REF!</definedName>
    <definedName name="_____Cod1">#REF!</definedName>
    <definedName name="_____CUA44">#REF!</definedName>
    <definedName name="_____EEF110">#REF!</definedName>
    <definedName name="_____ETF315">#REF!</definedName>
    <definedName name="_____FYB02">#REF!</definedName>
    <definedName name="_____FYB03">#REF!</definedName>
    <definedName name="_____FYB10">#REF!</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LA124">#REF!</definedName>
    <definedName name="_____LAC18">#REF!</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o2">#REF!</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32JH">#REF!</definedName>
    <definedName name="_____R42JH">#REF!</definedName>
    <definedName name="_____R43JH">#REF!</definedName>
    <definedName name="_____r4r" localSheetId="1" hidden="1">{"via1",#N/A,TRUE,"general";"via2",#N/A,TRUE,"general";"via3",#N/A,TRUE,"general"}</definedName>
    <definedName name="_____r4r" hidden="1">{"via1",#N/A,TRUE,"general";"via2",#N/A,TRUE,"general";"via3",#N/A,TRUE,"general"}</definedName>
    <definedName name="_____R63BB">#REF!</definedName>
    <definedName name="_____R63JH">#REF!</definedName>
    <definedName name="_____R64JH">#REF!</definedName>
    <definedName name="_____R84JH">#REF!</definedName>
    <definedName name="_____REP43">#REF!</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ST166">#REF!</definedName>
    <definedName name="_____ST186">#REF!</definedName>
    <definedName name="_____ST206">#REF!</definedName>
    <definedName name="_____ST86">#REF!</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HF12">#REF!</definedName>
    <definedName name="_____TPE1132">#REF!</definedName>
    <definedName name="_____TPE1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F12">#REF!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UZ22">#REF!</definedName>
    <definedName name="_____TUZ36">#REF!</definedName>
    <definedName name="_____TZ13">#REF!</definedName>
    <definedName name="_____TZ131">#REF!</definedName>
    <definedName name="_____TZ132">#REF!</definedName>
    <definedName name="_____TZ133">#REF!</definedName>
    <definedName name="_____TZ134">#REF!</definedName>
    <definedName name="_____TZ135">#REF!</definedName>
    <definedName name="_____TZ136">#REF!</definedName>
    <definedName name="_____TZ137">#REF!</definedName>
    <definedName name="_____TZ138">#REF!</definedName>
    <definedName name="_____TZ2110">#REF!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DH12">#REF!</definedName>
    <definedName name="____ADM12">#REF!</definedName>
    <definedName name="____ADM2">#REF!</definedName>
    <definedName name="____ADM3">#REF!</definedName>
    <definedName name="____ADM4">#REF!</definedName>
    <definedName name="____ADP1">#REF!</definedName>
    <definedName name="____AIU1">#REF!</definedName>
    <definedName name="____AIU2">#REF!</definedName>
    <definedName name="____AIU3">#REF!</definedName>
    <definedName name="____B104445">#REF!</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AZ10">#REF!</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LO20">#REF!</definedName>
    <definedName name="____C2254JH">#REF!</definedName>
    <definedName name="____C2256JH">#REF!</definedName>
    <definedName name="____C452JH">#REF!</definedName>
    <definedName name="____C903L">#REF!</definedName>
    <definedName name="____C908J">#REF!</definedName>
    <definedName name="____CAN28">#REF!</definedName>
    <definedName name="____Cod1">#REF!</definedName>
    <definedName name="____CUA44">#REF!</definedName>
    <definedName name="____EEF110">#REF!</definedName>
    <definedName name="____ETF315">#REF!</definedName>
    <definedName name="____FYB02">#REF!</definedName>
    <definedName name="____FYB03">#REF!</definedName>
    <definedName name="____FYB04">#REF!</definedName>
    <definedName name="____FYB08">#REF!</definedName>
    <definedName name="____FYB10">#REF!</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LAC18">#REF!</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o2">#REF!</definedName>
    <definedName name="____R" localSheetId="1"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R1210JH">#REF!</definedName>
    <definedName name="____R32EL">#REF!</definedName>
    <definedName name="____R32JH">#REF!</definedName>
    <definedName name="____R42JH">#REF!</definedName>
    <definedName name="____R43JH">#REF!</definedName>
    <definedName name="____r4r" localSheetId="1" hidden="1">{"via1",#N/A,TRUE,"general";"via2",#N/A,TRUE,"general";"via3",#N/A,TRUE,"general"}</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P43">#REF!</definedName>
    <definedName name="____RES64">#REF!</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R114">#REF!</definedName>
    <definedName name="____TUZ22">#REF!</definedName>
    <definedName name="____TUZ36">#REF!</definedName>
    <definedName name="____TZ13">#REF!</definedName>
    <definedName name="____TZ131">#REF!</definedName>
    <definedName name="____TZ132">#REF!</definedName>
    <definedName name="____TZ133">#REF!</definedName>
    <definedName name="____TZ134">#REF!</definedName>
    <definedName name="____TZ135">#REF!</definedName>
    <definedName name="____TZ136">#REF!</definedName>
    <definedName name="____TZ137">#REF!</definedName>
    <definedName name="____TZ138">#REF!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DH12">#REF!</definedName>
    <definedName name="___ADM12">#REF!</definedName>
    <definedName name="___ADM2">#REF!</definedName>
    <definedName name="___ADM3">#REF!</definedName>
    <definedName name="___ADM4">#REF!</definedName>
    <definedName name="___ADP1">#REF!</definedName>
    <definedName name="___AIU1">#REF!</definedName>
    <definedName name="___AIU2">#REF!</definedName>
    <definedName name="___AIU3">#REF!</definedName>
    <definedName name="___B104445">#REF!</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AZ10">#REF!</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LO20">#REF!</definedName>
    <definedName name="___C2254JH">#REF!</definedName>
    <definedName name="___C2256JH">#REF!</definedName>
    <definedName name="___C452JH">#REF!</definedName>
    <definedName name="___C903L">#REF!</definedName>
    <definedName name="___C908J">#REF!</definedName>
    <definedName name="___CAN28">#REF!</definedName>
    <definedName name="___Cod1">#REF!</definedName>
    <definedName name="___CUA44">#REF!</definedName>
    <definedName name="___EEF110">#REF!</definedName>
    <definedName name="___ETF315">#REF!</definedName>
    <definedName name="___FYB02">#REF!</definedName>
    <definedName name="___FYB03">#REF!</definedName>
    <definedName name="___FYB04">#REF!</definedName>
    <definedName name="___FYB08">#REF!</definedName>
    <definedName name="___FYB10">#REF!</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LA124">#REF!</definedName>
    <definedName name="___LAC18">#REF!</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o2">#REF!</definedName>
    <definedName name="___R" localSheetId="1"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R1210JH">#REF!</definedName>
    <definedName name="___R32EL">#REF!</definedName>
    <definedName name="___R32JH">#REF!</definedName>
    <definedName name="___R42JH">#REF!</definedName>
    <definedName name="___R43JH">#REF!</definedName>
    <definedName name="___r4r" localSheetId="1" hidden="1">{"via1",#N/A,TRUE,"general";"via2",#N/A,TRUE,"general";"via3",#N/A,TRUE,"general"}</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ED32">#REF!</definedName>
    <definedName name="___REP21">#REF!</definedName>
    <definedName name="___REP42">#REF!</definedName>
    <definedName name="___REP43">#REF!</definedName>
    <definedName name="___RES64">#REF!</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Y106">#REF!</definedName>
    <definedName name="___SY86">#REF!</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R114">#REF!</definedName>
    <definedName name="___TUZ22">#REF!</definedName>
    <definedName name="___TUZ36">#REF!</definedName>
    <definedName name="___TZ13">#REF!</definedName>
    <definedName name="___TZ131">#REF!</definedName>
    <definedName name="___TZ132">#REF!</definedName>
    <definedName name="___TZ133">#REF!</definedName>
    <definedName name="___TZ134">#REF!</definedName>
    <definedName name="___TZ135">#REF!</definedName>
    <definedName name="___TZ136">#REF!</definedName>
    <definedName name="___TZ137">#REF!</definedName>
    <definedName name="___TZ138">#REF!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 hidden="1">[1]G.G!#REF!</definedName>
    <definedName name="__1234" hidden="1">[1]G.G!#REF!</definedName>
    <definedName name="__123Graph_A" hidden="1">[2]AIU!$D$338:$D$357</definedName>
    <definedName name="__123Graph_Acaja" hidden="1">[2]EVA!$D$39:$AD$39</definedName>
    <definedName name="__123Graph_ACart_AnticAdic" hidden="1">[2]EVA!$F$95:$I$95</definedName>
    <definedName name="__123Graph_AFACTURAC" hidden="1">[2]Program!$B$120:$Y$120</definedName>
    <definedName name="__123Graph_AGraph2" hidden="1">[2]AIU!$D$338:$D$357</definedName>
    <definedName name="__123Graph_Bcaja" hidden="1">[2]EVA!$D$56:$AD$56</definedName>
    <definedName name="__123Graph_BCart_AnticAdic" hidden="1">[2]EVA!$F$96:$I$96</definedName>
    <definedName name="__123Graph_C" hidden="1">#REF!</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 hidden="1">#REF!</definedName>
    <definedName name="__123Graph_ECart_AnticAdic" hidden="1">[2]EVA!$F$99:$I$99</definedName>
    <definedName name="__123Graph_F" hidden="1">#REF!</definedName>
    <definedName name="__123Graph_LBL_ACart_AnticAdic" hidden="1">[2]EVA!$J$95:$K$95</definedName>
    <definedName name="__123Graph_LBL_Ccaja" hidden="1">[2]EVA!$D$58:$AD$58</definedName>
    <definedName name="__123Graph_LBL_DCart_AnticAdic" hidden="1">[2]EVA!$F$98:$I$98</definedName>
    <definedName name="__123Graph_X" hidden="1">[2]AIU!$C$338:$C$357</definedName>
    <definedName name="__123Graph_Xcaja" hidden="1">[2]EVA!$D$6:$AD$6</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DH12">#REF!</definedName>
    <definedName name="__ADM12">#REF!</definedName>
    <definedName name="__ADM2">#REF!</definedName>
    <definedName name="__ADM3">#REF!</definedName>
    <definedName name="__ADM34">#REF!</definedName>
    <definedName name="__ADM4">#REF!</definedName>
    <definedName name="__ADP1">#REF!</definedName>
    <definedName name="__AFC1">#REF!</definedName>
    <definedName name="__AFC3">#REF!</definedName>
    <definedName name="__AFC5">#REF!</definedName>
    <definedName name="__AIU1">#REF!</definedName>
    <definedName name="__AIU2">#REF!</definedName>
    <definedName name="__AIU3">#REF!</definedName>
    <definedName name="__AIU5">#REF!</definedName>
    <definedName name="__B104445">#REF!</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AZ10">#REF!</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LO20">#REF!</definedName>
    <definedName name="__C2254JH">#REF!</definedName>
    <definedName name="__C2256JH">#REF!</definedName>
    <definedName name="__C452JH">#REF!</definedName>
    <definedName name="__C903L">#REF!</definedName>
    <definedName name="__C908J">#REF!</definedName>
    <definedName name="__CAC1">#REF!</definedName>
    <definedName name="__CAC3">#REF!</definedName>
    <definedName name="__CAC5">#REF!</definedName>
    <definedName name="__CAN28">#REF!</definedName>
    <definedName name="__Cod1">#REF!</definedName>
    <definedName name="__CUA44">#REF!</definedName>
    <definedName name="__EEF110">#REF!</definedName>
    <definedName name="__ETF315">#REF!</definedName>
    <definedName name="__FYB02">#REF!</definedName>
    <definedName name="__FYB03">#REF!</definedName>
    <definedName name="__FYB04">#REF!</definedName>
    <definedName name="__FYB08">#REF!</definedName>
    <definedName name="__FYB10">#REF!</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LA124">#REF!</definedName>
    <definedName name="__LAC18">#REF!</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o2">#REF!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localSheetId="1" hidden="1">{"via1",#N/A,TRUE,"general";"via2",#N/A,TRUE,"general";"via3",#N/A,TRUE,"general"}</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ED32">#REF!</definedName>
    <definedName name="__REP21">#REF!</definedName>
    <definedName name="__REP32">#REF!</definedName>
    <definedName name="__REP42">#REF!</definedName>
    <definedName name="__REP43">#REF!</definedName>
    <definedName name="__RES64">#REF!</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ST106">#REF!</definedName>
    <definedName name="__ST126">#REF!</definedName>
    <definedName name="__ST146">#REF!</definedName>
    <definedName name="__ST166">#REF!</definedName>
    <definedName name="__ST186">#REF!</definedName>
    <definedName name="__ST206">#REF!</definedName>
    <definedName name="__ST8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TAP2">#REF!</definedName>
    <definedName name="__TEE1">#REF!</definedName>
    <definedName name="__TEE2">#REF!</definedName>
    <definedName name="__TEE32">#REF!</definedName>
    <definedName name="__TEE33">#REF!</definedName>
    <definedName name="__TEP44">#REF!</definedName>
    <definedName name="__TES44">#REF!</definedName>
    <definedName name="__TES64">#REF!</definedName>
    <definedName name="__TES66">#REF!</definedName>
    <definedName name="__THF12">#REF!</definedName>
    <definedName name="__THF128">#REF!</definedName>
    <definedName name="__TNL24">#REF!</definedName>
    <definedName name="__TNL27">#REF!</definedName>
    <definedName name="__TNL30">#REF!</definedName>
    <definedName name="__TNL33">#REF!</definedName>
    <definedName name="__TNL36">#REF!</definedName>
    <definedName name="__TNL39">#REF!</definedName>
    <definedName name="__TNL42">#REF!</definedName>
    <definedName name="__TNL45">#REF!</definedName>
    <definedName name="__TNL48">#REF!</definedName>
    <definedName name="__TNL51">#REF!</definedName>
    <definedName name="__TNL54">#REF!</definedName>
    <definedName name="__TNL60">#REF!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N1611">#REF!</definedName>
    <definedName name="__TR114">#REF!</definedName>
    <definedName name="__TUZ22">#REF!</definedName>
    <definedName name="__TUZ36">#REF!</definedName>
    <definedName name="__TZ13">#REF!</definedName>
    <definedName name="__TZ131">#REF!</definedName>
    <definedName name="__TZ132">#REF!</definedName>
    <definedName name="__TZ133">#REF!</definedName>
    <definedName name="__TZ134">#REF!</definedName>
    <definedName name="__TZ135">#REF!</definedName>
    <definedName name="__TZ136">#REF!</definedName>
    <definedName name="__TZ137">#REF!</definedName>
    <definedName name="__TZ138">#REF!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NL27">#REF!</definedName>
    <definedName name="__UNL30">#REF!</definedName>
    <definedName name="__UNL33">#REF!</definedName>
    <definedName name="__UNL36">#REF!</definedName>
    <definedName name="__UNL39">#REF!</definedName>
    <definedName name="__UNL42">#REF!</definedName>
    <definedName name="__UNL45">#REF!</definedName>
    <definedName name="__UNL48">#REF!</definedName>
    <definedName name="__UNL51">#REF!</definedName>
    <definedName name="__UNL54">#REF!</definedName>
    <definedName name="__UNL60">#REF!</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23" hidden="1">[1]G.G!#REF!</definedName>
    <definedName name="_1Sin_nombre">#REF!</definedName>
    <definedName name="_30__AIU">#REF!</definedName>
    <definedName name="_7Sin_nombre">#REF!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_1" localSheetId="1" hidden="1">{#N/A,#N/A,TRUE,"1842CWN0"}</definedName>
    <definedName name="_A1_1" hidden="1">{#N/A,#N/A,TRUE,"1842CWN0"}</definedName>
    <definedName name="_A1_2" localSheetId="1" hidden="1">{#N/A,#N/A,TRUE,"1842CWN0"}</definedName>
    <definedName name="_A1_2" hidden="1">{#N/A,#N/A,TRUE,"1842CWN0"}</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AS1_1" localSheetId="1" hidden="1">{#N/A,#N/A,TRUE,"INGENIERIA";#N/A,#N/A,TRUE,"COMPRAS";#N/A,#N/A,TRUE,"DIRECCION";#N/A,#N/A,TRUE,"RESUMEN"}</definedName>
    <definedName name="_AAS1_1" hidden="1">{#N/A,#N/A,TRUE,"INGENIERIA";#N/A,#N/A,TRUE,"COMPRAS";#N/A,#N/A,TRUE,"DIRECCION";#N/A,#N/A,TRUE,"RESUMEN"}</definedName>
    <definedName name="_AAS1_2" localSheetId="1" hidden="1">{#N/A,#N/A,TRUE,"INGENIERIA";#N/A,#N/A,TRUE,"COMPRAS";#N/A,#N/A,TRUE,"DIRECCION";#N/A,#N/A,TRUE,"RESUMEN"}</definedName>
    <definedName name="_AAS1_2" hidden="1">{#N/A,#N/A,TRUE,"INGENIERIA";#N/A,#N/A,TRUE,"COMPRAS";#N/A,#N/A,TRUE,"DIRECCION";#N/A,#N/A,TRUE,"RESUMEN"}</definedName>
    <definedName name="_ABC1" localSheetId="1" hidden="1">{#N/A,#N/A,TRUE,"1842CWN0"}</definedName>
    <definedName name="_ABC1" hidden="1">{#N/A,#N/A,TRUE,"1842CWN0"}</definedName>
    <definedName name="_ABC1_1" localSheetId="1" hidden="1">{#N/A,#N/A,TRUE,"1842CWN0"}</definedName>
    <definedName name="_ABC1_1" hidden="1">{#N/A,#N/A,TRUE,"1842CWN0"}</definedName>
    <definedName name="_ABC1_2" localSheetId="1" hidden="1">{#N/A,#N/A,TRUE,"1842CWN0"}</definedName>
    <definedName name="_ABC1_2" hidden="1">{#N/A,#N/A,TRUE,"1842CWN0"}</definedName>
    <definedName name="_abc2" localSheetId="1" hidden="1">{#N/A,#N/A,TRUE,"1842CWN0"}</definedName>
    <definedName name="_abc2" hidden="1">{#N/A,#N/A,TRUE,"1842CWN0"}</definedName>
    <definedName name="_abc2_1" localSheetId="1" hidden="1">{#N/A,#N/A,TRUE,"1842CWN0"}</definedName>
    <definedName name="_abc2_1" hidden="1">{#N/A,#N/A,TRUE,"1842CWN0"}</definedName>
    <definedName name="_abc2_2" localSheetId="1" hidden="1">{#N/A,#N/A,TRUE,"1842CWN0"}</definedName>
    <definedName name="_abc2_2" hidden="1">{#N/A,#N/A,TRUE,"1842CWN0"}</definedName>
    <definedName name="_ADH12">#REF!</definedName>
    <definedName name="_ADM12">#REF!</definedName>
    <definedName name="_ADM2">#REF!</definedName>
    <definedName name="_ADM3">#REF!</definedName>
    <definedName name="_ADM34">#REF!</definedName>
    <definedName name="_ADM4">#REF!</definedName>
    <definedName name="_ADP1">#REF!</definedName>
    <definedName name="_AFC1">#REF!</definedName>
    <definedName name="_AFC3">#REF!</definedName>
    <definedName name="_AFC5">#REF!</definedName>
    <definedName name="_AIU1">#REF!</definedName>
    <definedName name="_AIU2">#REF!</definedName>
    <definedName name="_AIU3">#REF!</definedName>
    <definedName name="_AIU4">#REF!</definedName>
    <definedName name="_ANTCORR">#REF!</definedName>
    <definedName name="_ANTICOR">#REF!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104445">#REF!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77441">#REF!</definedName>
    <definedName name="_b8" localSheetId="1" hidden="1">{"via1",#N/A,TRUE,"general";"via2",#N/A,TRUE,"general";"via3",#N/A,TRUE,"general"}</definedName>
    <definedName name="_b8" hidden="1">{"via1",#N/A,TRUE,"general";"via2",#N/A,TRUE,"general";"via3",#N/A,TRUE,"general"}</definedName>
    <definedName name="_BAZ10">#REF!</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C2254JH">#REF!</definedName>
    <definedName name="_C2256JH">#REF!</definedName>
    <definedName name="_C452JH">#REF!</definedName>
    <definedName name="_C903L">#REF!</definedName>
    <definedName name="_C908J">#REF!</definedName>
    <definedName name="_CAC1">#REF!</definedName>
    <definedName name="_CAC3">#REF!</definedName>
    <definedName name="_CAC5">#REF!</definedName>
    <definedName name="_CAN28">#REF!</definedName>
    <definedName name="_CERCHAALQ">#REF!</definedName>
    <definedName name="_CO123">#REF!</definedName>
    <definedName name="_CO137">#REF!</definedName>
    <definedName name="_Cod1">#REF!</definedName>
    <definedName name="_CUA44">#REF!</definedName>
    <definedName name="_D84">#REF!</definedName>
    <definedName name="_dasd" hidden="1">'[3]46W9'!#REF!</definedName>
    <definedName name="_DIANM">#REF!</definedName>
    <definedName name="_Dist_Bin" hidden="1">[4]MPC3I4!$A$2040:$DD$3161</definedName>
    <definedName name="_Dist_Values" hidden="1">[4]MPC3I4!$2552:$3906</definedName>
    <definedName name="_EEF110">#REF!</definedName>
    <definedName name="_ENTTEMP">#REF!</definedName>
    <definedName name="_ESMMETAL">#REF!</definedName>
    <definedName name="_ETF315">#REF!</definedName>
    <definedName name="_f">#REF!</definedName>
    <definedName name="_Fill" hidden="1">#REF!</definedName>
    <definedName name="_xlnm._FilterDatabase" localSheetId="1" hidden="1">APUS!#REF!</definedName>
    <definedName name="_xlnm._FilterDatabase" localSheetId="0" hidden="1">'RESUMEN APUS'!$A$7:$D$7</definedName>
    <definedName name="_xlnm._FilterDatabase" hidden="1">[5]Presupuesto_Via_distribuidora!$A$9:$H$344</definedName>
    <definedName name="_FYB02">#REF!</definedName>
    <definedName name="_FYB03">#REF!</definedName>
    <definedName name="_FYB04">#REF!</definedName>
    <definedName name="_FYB08">#REF!</definedName>
    <definedName name="_FYB10">#REF!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GOLDENS">#REF!</definedName>
    <definedName name="_IGOLIMP">#REF!</definedName>
    <definedName name="_J" localSheetId="1" hidden="1">{"TAB1",#N/A,TRUE,"GENERAL";"TAB2",#N/A,TRUE,"GENERAL";"TAB3",#N/A,TRUE,"GENERAL";"TAB4",#N/A,TRUE,"GENERAL";"TAB5",#N/A,TRUE,"GENERAL"}</definedName>
    <definedName name="_J"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C18">#REF!</definedName>
    <definedName name="_LARG">#REF!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ATMIX">#REF!</definedName>
    <definedName name="_mdc1">#REF!</definedName>
    <definedName name="_mdc2">#REF!</definedName>
    <definedName name="_MOR13">#REF!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NTDIST">#REF!</definedName>
    <definedName name="_Parse_Out" hidden="1">#REF!</definedName>
    <definedName name="_pl1">#REF!</definedName>
    <definedName name="_pl2">#REF!</definedName>
    <definedName name="_PLASTNEG">#REF!</definedName>
    <definedName name="_Po2">#REF!</definedName>
    <definedName name="_Po3">#REF!</definedName>
    <definedName name="_r" hidden="1">#REF!</definedName>
    <definedName name="_R108BB">#REF!</definedName>
    <definedName name="_R1210JH">#REF!</definedName>
    <definedName name="_R126EXBB">#REF!</definedName>
    <definedName name="_R32EL">#REF!</definedName>
    <definedName name="_R32JH">#REF!</definedName>
    <definedName name="_R42JH">#REF!</definedName>
    <definedName name="_R43JH">#REF!</definedName>
    <definedName name="_r4r" localSheetId="1"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ED32">#REF!</definedName>
    <definedName name="_REGCORT1">#REF!</definedName>
    <definedName name="_Regression_Int" hidden="1">1</definedName>
    <definedName name="_REP21">#REF!</definedName>
    <definedName name="_REP32">#REF!</definedName>
    <definedName name="_REP42">#REF!</definedName>
    <definedName name="_REP43">#REF!</definedName>
    <definedName name="_RES64">#REF!</definedName>
    <definedName name="_rtu6" localSheetId="1" hidden="1">{"via1",#N/A,TRUE,"general";"via2",#N/A,TRUE,"general";"via3",#N/A,TRUE,"general"}</definedName>
    <definedName name="_rtu6" hidden="1">{"via1",#N/A,TRUE,"general";"via2",#N/A,TRUE,"general";"via3",#N/A,TRUE,"general"}</definedName>
    <definedName name="_s" hidden="1">#REF!</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IKADUR">#REF!</definedName>
    <definedName name="_SMMLV">#REF!</definedName>
    <definedName name="_Sort" hidden="1">#REF!</definedName>
    <definedName name="_Sort1" hidden="1">#REF!</definedName>
    <definedName name="_ST106">#REF!</definedName>
    <definedName name="_ST126">#REF!</definedName>
    <definedName name="_ST146">#REF!</definedName>
    <definedName name="_ST166">#REF!</definedName>
    <definedName name="_ST186">#REF!</definedName>
    <definedName name="_ST206">#REF!</definedName>
    <definedName name="_ST246">#REF!</definedName>
    <definedName name="_ST86">#REF!</definedName>
    <definedName name="_STP146">#REF!</definedName>
    <definedName name="_supert">#REF!</definedName>
    <definedName name="_SUPERTM2">#REF!</definedName>
    <definedName name="_SY104">#REF!</definedName>
    <definedName name="_SY106">#REF!</definedName>
    <definedName name="_SY124">#REF!</definedName>
    <definedName name="_SY126">#REF!</definedName>
    <definedName name="_SY14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32JH">#REF!</definedName>
    <definedName name="_T33JH">#REF!</definedName>
    <definedName name="_t4" localSheetId="1" hidden="1">{"via1",#N/A,TRUE,"general";"via2",#N/A,TRUE,"general";"via3",#N/A,TRUE,"general"}</definedName>
    <definedName name="_t4" hidden="1">{"via1",#N/A,TRUE,"general";"via2",#N/A,TRUE,"general";"via3",#N/A,TRUE,"general"}</definedName>
    <definedName name="_T42JH">#REF!</definedName>
    <definedName name="_T43JH">#REF!</definedName>
    <definedName name="_T44JH">#REF!</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2JH">#REF!</definedName>
    <definedName name="_T63JH">#REF!</definedName>
    <definedName name="_T64JH">#REF!</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66JH">#REF!</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4JH">#REF!</definedName>
    <definedName name="_t88" localSheetId="1" hidden="1">{"via1",#N/A,TRUE,"general";"via2",#N/A,TRUE,"general";"via3",#N/A,TRUE,"general"}</definedName>
    <definedName name="_t88" hidden="1">{"via1",#N/A,TRUE,"general";"via2",#N/A,TRUE,"general";"via3",#N/A,TRUE,"general"}</definedName>
    <definedName name="_T88EB">#REF!</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LA">#REF!</definedName>
    <definedName name="_Table1_Out" hidden="1">#REF!</definedName>
    <definedName name="_Table2_In2" hidden="1">#REF!</definedName>
    <definedName name="_Table2_Out" hidden="1">#REF!</definedName>
    <definedName name="_TACOM">#REF!</definedName>
    <definedName name="_TACOR">#REF!</definedName>
    <definedName name="_TAP2">#REF!</definedName>
    <definedName name="_TAPAM">#REF!</definedName>
    <definedName name="_TASP1">#REF!</definedName>
    <definedName name="_TASP2">#REF!</definedName>
    <definedName name="_TASR4">#REF!</definedName>
    <definedName name="_TEE1">#REF!</definedName>
    <definedName name="_TEE2">#REF!</definedName>
    <definedName name="_TEE32">#REF!</definedName>
    <definedName name="_TEE33">#REF!</definedName>
    <definedName name="_TEJAB">#REF!</definedName>
    <definedName name="_TEJAJ">#REF!</definedName>
    <definedName name="_TELEP">#REF!</definedName>
    <definedName name="_TEP22">#REF!</definedName>
    <definedName name="_TEP33">#REF!</definedName>
    <definedName name="_TEP44">#REF!</definedName>
    <definedName name="_TES44">#REF!</definedName>
    <definedName name="_TES64">#REF!</definedName>
    <definedName name="_TES66">#REF!</definedName>
    <definedName name="_TGALV">#REF!</definedName>
    <definedName name="_TH10J">#REF!</definedName>
    <definedName name="_THF12">#REF!</definedName>
    <definedName name="_THF128">#REF!</definedName>
    <definedName name="_THF6JH">#REF!</definedName>
    <definedName name="_THF6RO">#REF!</definedName>
    <definedName name="_THF8JH">#REF!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#REF!</definedName>
    <definedName name="_TNOV12">#REF!</definedName>
    <definedName name="_TNOV16">#REF!</definedName>
    <definedName name="_TNOV18">#REF!</definedName>
    <definedName name="_TNOV20">#REF!</definedName>
    <definedName name="_TNOV4">#REF!</definedName>
    <definedName name="_TNOV6">#REF!</definedName>
    <definedName name="_TNOV8">#REF!</definedName>
    <definedName name="_TNV24">#REF!</definedName>
    <definedName name="_TORNI">#REF!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12">#REF!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#REF!</definedName>
    <definedName name="_TPN1632">#REF!</definedName>
    <definedName name="_TPN2096">#REF!</definedName>
    <definedName name="_TPVCME">#REF!</definedName>
    <definedName name="_TPVCP1">#REF!</definedName>
    <definedName name="_TR114">#REF!</definedName>
    <definedName name="_TRANAG">#REF!</definedName>
    <definedName name="_TRANAR">#REF!</definedName>
    <definedName name="_TRANS">#REF!</definedName>
    <definedName name="_TRITM">#REF!</definedName>
    <definedName name="_TRITU">#REF!</definedName>
    <definedName name="_TTEAGR">#REF!</definedName>
    <definedName name="_TUAC12">#REF!</definedName>
    <definedName name="_tub91">#REF!</definedName>
    <definedName name="_TUBGALV2">#REF!</definedName>
    <definedName name="_TUBS3">#REF!</definedName>
    <definedName name="_TUBS4">#REF!</definedName>
    <definedName name="_TUBS6">#REF!</definedName>
    <definedName name="_TUZ22">#REF!</definedName>
    <definedName name="_TUZ36">#REF!</definedName>
    <definedName name="_TZ13">#REF!</definedName>
    <definedName name="_TZ131">#REF!</definedName>
    <definedName name="_TZ132">#REF!</definedName>
    <definedName name="_TZ133">#REF!</definedName>
    <definedName name="_TZ134">#REF!</definedName>
    <definedName name="_TZ135">#REF!</definedName>
    <definedName name="_TZ136">#REF!</definedName>
    <definedName name="_TZ137">#REF!</definedName>
    <definedName name="_TZ138">#REF!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ALU">#REF!</definedName>
    <definedName name="_UDD06">#REF!</definedName>
    <definedName name="_UDD08">#REF!</definedName>
    <definedName name="_UNI32">#REF!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URAP10">#REF!</definedName>
    <definedName name="_URAP2">#REF!</definedName>
    <definedName name="_URAP3">#REF!</definedName>
    <definedName name="_URAP4">#REF!</definedName>
    <definedName name="_URAP6">#REF!</definedName>
    <definedName name="_UREP215">#REF!</definedName>
    <definedName name="_UREP3">#REF!</definedName>
    <definedName name="_UREP4">#REF!</definedName>
    <definedName name="_UREP6">#REF!</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ALMA4">#REF!</definedName>
    <definedName name="_VALVFL2">#REF!</definedName>
    <definedName name="_VALVFLAC">#REF!</definedName>
    <definedName name="_VCEL2">#REF!</definedName>
    <definedName name="_VCEL3">#REF!</definedName>
    <definedName name="_VCELA3">#REF!</definedName>
    <definedName name="_VEN02">#REF!</definedName>
    <definedName name="_vfv4" localSheetId="1" hidden="1">{"via1",#N/A,TRUE,"general";"via2",#N/A,TRUE,"general";"via3",#N/A,TRUE,"general"}</definedName>
    <definedName name="_vfv4" hidden="1">{"via1",#N/A,TRUE,"general";"via2",#N/A,TRUE,"general";"via3",#N/A,TRUE,"general"}</definedName>
    <definedName name="_VIAJE">#REF!</definedName>
    <definedName name="_VIBGA">#REF!</definedName>
    <definedName name="_VIBRCOM">#REF!</definedName>
    <definedName name="_VIBRE">#REF!</definedName>
    <definedName name="_VIDRI">#REF!</definedName>
    <definedName name="_VOLQUET">#REF!</definedName>
    <definedName name="_VOLQUETA">#REF!</definedName>
    <definedName name="_WASHP">#REF!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22EL">#REF!</definedName>
    <definedName name="_Y22JH">#REF!</definedName>
    <definedName name="_y3" localSheetId="1" hidden="1">{"via1",#N/A,TRUE,"general";"via2",#N/A,TRUE,"general";"via3",#N/A,TRUE,"general"}</definedName>
    <definedName name="_y3" hidden="1">{"via1",#N/A,TRUE,"general";"via2",#N/A,TRUE,"general";"via3",#N/A,TRUE,"general"}</definedName>
    <definedName name="_Y33JH">#REF!</definedName>
    <definedName name="_y4" localSheetId="1" hidden="1">{"via1",#N/A,TRUE,"general";"via2",#N/A,TRUE,"general";"via3",#N/A,TRUE,"general"}</definedName>
    <definedName name="_y4" hidden="1">{"via1",#N/A,TRUE,"general";"via2",#N/A,TRUE,"general";"via3",#N/A,TRUE,"general"}</definedName>
    <definedName name="_Y44EL">#REF!</definedName>
    <definedName name="_Y44JH">#REF!</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b5016">#REF!</definedName>
    <definedName name="A" localSheetId="1" hidden="1">{#N/A,#N/A,FALSE,"GRAFICO";#N/A,#N/A,FALSE,"CAJA (2)";#N/A,#N/A,FALSE,"TERCEROS-PROMEDIO";#N/A,#N/A,FALSE,"CAJA";#N/A,#N/A,FALSE,"INGRESOS1995-2003";#N/A,#N/A,FALSE,"GASTOS1995-2003"}</definedName>
    <definedName name="A" hidden="1">{#N/A,#N/A,FALSE,"GRAFICO";#N/A,#N/A,FALSE,"CAJA (2)";#N/A,#N/A,FALSE,"TERCEROS-PROMEDIO";#N/A,#N/A,FALSE,"CAJA";#N/A,#N/A,FALSE,"INGRESOS1995-2003";#N/A,#N/A,FALSE,"GASTOS1995-2003"}</definedName>
    <definedName name="A.A..A" localSheetId="1" hidden="1">{"total",#N/A,FALSE,"TD 0% ";"total",#N/A,FALSE,"TD 12%";"total",#N/A,FALSE,"TD 10%"}</definedName>
    <definedName name="A.A..A" hidden="1">{"total",#N/A,FALSE,"TD 0% ";"total",#N/A,FALSE,"TD 12%";"total",#N/A,FALSE,"TD 10%"}</definedName>
    <definedName name="A_FYB02">#REF!</definedName>
    <definedName name="A_impresión_IM">#REF!</definedName>
    <definedName name="A_T33JH">#REF!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40FI">#REF!</definedName>
    <definedName name="A40LI">#REF!</definedName>
    <definedName name="A58CO">#REF!</definedName>
    <definedName name="A58COGAL">#REF!</definedName>
    <definedName name="A6058FIG">#REF!</definedName>
    <definedName name="A60FI">#REF!</definedName>
    <definedName name="A60FI1">#REF!</definedName>
    <definedName name="AA" localSheetId="1" hidden="1">{#N/A,#N/A,TRUE,"INGENIERIA";#N/A,#N/A,TRUE,"COMPRAS";#N/A,#N/A,TRUE,"DIRECCION";#N/A,#N/A,TRUE,"RESUMEN"}</definedName>
    <definedName name="AA" hidden="1">{#N/A,#N/A,TRUE,"INGENIERIA";#N/A,#N/A,TRUE,"COMPRAS";#N/A,#N/A,TRUE,"DIRECCION";#N/A,#N/A,TRUE,"RESUMEN"}</definedName>
    <definedName name="AA_1" localSheetId="1" hidden="1">{#N/A,#N/A,TRUE,"INGENIERIA";#N/A,#N/A,TRUE,"COMPRAS";#N/A,#N/A,TRUE,"DIRECCION";#N/A,#N/A,TRUE,"RESUMEN"}</definedName>
    <definedName name="AA_1" hidden="1">{#N/A,#N/A,TRUE,"INGENIERIA";#N/A,#N/A,TRUE,"COMPRAS";#N/A,#N/A,TRUE,"DIRECCION";#N/A,#N/A,TRUE,"RESUMEN"}</definedName>
    <definedName name="AA_2" localSheetId="1" hidden="1">{#N/A,#N/A,TRUE,"INGENIERIA";#N/A,#N/A,TRUE,"COMPRAS";#N/A,#N/A,TRUE,"DIRECCION";#N/A,#N/A,TRUE,"RESUMEN"}</definedName>
    <definedName name="AA_2" hidden="1">{#N/A,#N/A,TRUE,"INGENIERIA";#N/A,#N/A,TRUE,"COMPRAS";#N/A,#N/A,TRUE,"DIRECCION";#N/A,#N/A,TRUE,"RESUMEN"}</definedName>
    <definedName name="aaa" localSheetId="1" hidden="1">{#N/A,#N/A,FALSE,"Aging Summary";#N/A,#N/A,FALSE,"Ratio Analysis";#N/A,#N/A,FALSE,"Test 120 Day Accts";#N/A,#N/A,FALSE,"Tickmarks"}</definedName>
    <definedName name="aaa" hidden="1">{#N/A,#N/A,FALSE,"Aging Summary";#N/A,#N/A,FALSE,"Ratio Analysis";#N/A,#N/A,FALSE,"Test 120 Day Accts";#N/A,#N/A,FALSE,"Tickmarks"}</definedName>
    <definedName name="aaaa" localSheetId="1"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_1" localSheetId="1" hidden="1">{#N/A,#N/A,TRUE,"INGENIERIA";#N/A,#N/A,TRUE,"COMPRAS";#N/A,#N/A,TRUE,"DIRECCION";#N/A,#N/A,TRUE,"RESUMEN"}</definedName>
    <definedName name="AAS_1" hidden="1">{#N/A,#N/A,TRUE,"INGENIERIA";#N/A,#N/A,TRUE,"COMPRAS";#N/A,#N/A,TRUE,"DIRECCION";#N/A,#N/A,TRUE,"RESUMEN"}</definedName>
    <definedName name="AAS_2" localSheetId="1" hidden="1">{#N/A,#N/A,TRUE,"INGENIERIA";#N/A,#N/A,TRUE,"COMPRAS";#N/A,#N/A,TRUE,"DIRECCION";#N/A,#N/A,TRUE,"RESUMEN"}</definedName>
    <definedName name="AAS_2" hidden="1">{#N/A,#N/A,TRUE,"INGENIERIA";#N/A,#N/A,TRUE,"COMPRAS";#N/A,#N/A,TRUE,"DIRECCION";#N/A,#N/A,TRUE,"RESUMEN"}</definedName>
    <definedName name="AB">#REF!</definedName>
    <definedName name="ABCD" hidden="1">#REF!</definedName>
    <definedName name="ABCDE" hidden="1">#REF!</definedName>
    <definedName name="ABG">#REF!</definedName>
    <definedName name="ABONO">#REF!</definedName>
    <definedName name="AC">#REF!</definedName>
    <definedName name="AC60FIG">#REF!</definedName>
    <definedName name="ACARREO">#REF!</definedName>
    <definedName name="ACARREO_INTERNO_AGREGADOS">#REF!</definedName>
    <definedName name="ACARREO_INTERNO_CEMENTO">#REF!</definedName>
    <definedName name="ACARREO_INTERNO_CONCRETOPREPARADO">#REF!</definedName>
    <definedName name="ACARREOINTERNO_AGREGADOS">#REF!</definedName>
    <definedName name="ACARREOINTERNO_CEMENTO">#REF!</definedName>
    <definedName name="ACARRH">#REF!</definedName>
    <definedName name="AccessDatabase" hidden="1">"A:\SAIN.mdb"</definedName>
    <definedName name="ace">#REF!</definedName>
    <definedName name="ACERFIG">#REF!</definedName>
    <definedName name="Acero_60.000_psi__incluye_figurada">[6]Insumos!$D$20</definedName>
    <definedName name="ACERO_APU_S_T_I">#REF!</definedName>
    <definedName name="ACERO_APU_STI">#REF!</definedName>
    <definedName name="ACERO_REFUERZO_STI">#REF!</definedName>
    <definedName name="Acero60000Fig">#REF!</definedName>
    <definedName name="ACOM">#REF!</definedName>
    <definedName name="ACOND">#REF!</definedName>
    <definedName name="ACONDP">#REF!</definedName>
    <definedName name="ACOPLE3">#REF!</definedName>
    <definedName name="ACOPLE4">#REF!</definedName>
    <definedName name="ACOPLE6">#REF!</definedName>
    <definedName name="ACPM">#REF!</definedName>
    <definedName name="Acta">#REF!</definedName>
    <definedName name="Acta1">#REF!</definedName>
    <definedName name="ACTAAJUSTE3" localSheetId="1" hidden="1">{"via1",#N/A,TRUE,"general";"via2",#N/A,TRUE,"general";"via3",#N/A,TRUE,"general"}</definedName>
    <definedName name="ACTAAJUSTE3" hidden="1">{"via1",#N/A,TRUE,"general";"via2",#N/A,TRUE,"general";"via3",#N/A,TRUE,"general"}</definedName>
    <definedName name="actividad">#REF!</definedName>
    <definedName name="actividades">#REF!</definedName>
    <definedName name="acueducto">#REF!</definedName>
    <definedName name="ACwvu.TAB1." hidden="1">[5]Presupuesto_Via_distribuidora!#REF!</definedName>
    <definedName name="ACwvu.TAB2." hidden="1">[5]Presupuesto_Via_distribuidora!#REF!</definedName>
    <definedName name="ACwvu.TAB3." hidden="1">[5]Presupuesto_Via_distribuidora!#REF!</definedName>
    <definedName name="ACwvu.TAB4." hidden="1">[5]Presupuesto_Via_distribuidora!#REF!</definedName>
    <definedName name="ACwvu.TAB5." hidden="1">[5]Presupuesto_Via_distribuidora!#REF!</definedName>
    <definedName name="ad">#REF!</definedName>
    <definedName name="ADAFASFSFS" hidden="1">{#N/A,#N/A,FALSE,"GRAFICO";#N/A,#N/A,FALSE,"CAJA (2)";#N/A,#N/A,FALSE,"TERCEROS-PROMEDIO";#N/A,#N/A,FALSE,"CAJA";#N/A,#N/A,FALSE,"INGRESOS1995-2003";#N/A,#N/A,FALSE,"GASTOS1995-2003"}</definedName>
    <definedName name="ADDDS" hidden="1">{#N/A,#N/A,FALSE,"GRAFICO";#N/A,#N/A,FALSE,"CAJA (2)";#N/A,#N/A,FALSE,"TERCEROS-PROMEDIO";#N/A,#N/A,FALSE,"CAJA";#N/A,#N/A,FALSE,"INGRESOS1995-2003";#N/A,#N/A,FALSE,"GASTOS1995-2003"}</definedName>
    <definedName name="ADFGSDB" localSheetId="1" hidden="1">{"via1",#N/A,TRUE,"general";"via2",#N/A,TRUE,"general";"via3",#N/A,TRUE,"general"}</definedName>
    <definedName name="ADFGSDB" hidden="1">{"via1",#N/A,TRUE,"general";"via2",#N/A,TRUE,"general";"via3",#N/A,TRUE,"general"}</definedName>
    <definedName name="ADHEPO">#REF!</definedName>
    <definedName name="ADHEPOX">#REF!</definedName>
    <definedName name="ADHES">#REF!</definedName>
    <definedName name="ADIMPER">#REF!</definedName>
    <definedName name="ADMIN">#REF!</definedName>
    <definedName name="ADMINISTRA">#REF!</definedName>
    <definedName name="ADMINISTRACION">#REF!</definedName>
    <definedName name="Administración">'[6]A.I.U'!$I$110</definedName>
    <definedName name="ADMM">#REF!</definedName>
    <definedName name="ADMON">#REF!</definedName>
    <definedName name="ADMPU1">#REF!</definedName>
    <definedName name="ADMPU12">#REF!</definedName>
    <definedName name="adoquin">#REF!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1" hidden="1">{"via1",#N/A,TRUE,"general";"via2",#N/A,TRUE,"general";"via3",#N/A,TRUE,"general"}</definedName>
    <definedName name="aefa" hidden="1">{"via1",#N/A,TRUE,"general";"via2",#N/A,TRUE,"general";"via3",#N/A,TRUE,"general"}</definedName>
    <definedName name="AF">#REF!</definedName>
    <definedName name="AFDFFFF"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FSDFD" hidden="1">{"PYGS",#N/A,FALSE,"PYG";"ACTIS",#N/A,FALSE,"BCE_GRAL-ACTIVO";"PASIS",#N/A,FALSE,"BCE_GRAL-PASIVO-PATRIM";"CAJAS",#N/A,FALSE,"CAJA"}</definedName>
    <definedName name="AFILIADOS">[7]AFILIADOS!$A$1:$G$89</definedName>
    <definedName name="AFIRMADO">#REF!</definedName>
    <definedName name="Afranio">#REF!</definedName>
    <definedName name="AFYB02">#REF!</definedName>
    <definedName name="AG">#REF!</definedName>
    <definedName name="agdsgg" localSheetId="1" hidden="1">{"via1",#N/A,TRUE,"general";"via2",#N/A,TRUE,"general";"via3",#N/A,TRUE,"general"}</definedName>
    <definedName name="agdsgg" hidden="1">{"via1",#N/A,TRUE,"general";"via2",#N/A,TRUE,"general";"via3",#N/A,TRUE,"general"}</definedName>
    <definedName name="AGRANU">#REF!</definedName>
    <definedName name="AGRICOLA">#REF!</definedName>
    <definedName name="Agua">[6]Insumos!$D$34</definedName>
    <definedName name="AH">#REF!</definedName>
    <definedName name="AHPF1">#REF!</definedName>
    <definedName name="AHPF12">#REF!</definedName>
    <definedName name="AI">#REF!</definedName>
    <definedName name="AIU">#REF!</definedName>
    <definedName name="AIU.">#REF!</definedName>
    <definedName name="AIU_">#REF!</definedName>
    <definedName name="AIU_1">#REF!</definedName>
    <definedName name="AIU_2">#REF!</definedName>
    <definedName name="aiun">#REF!</definedName>
    <definedName name="AJ">#REF!</definedName>
    <definedName name="Ajizal">#REF!</definedName>
    <definedName name="AK">#REF!</definedName>
    <definedName name="AL">#REF!</definedName>
    <definedName name="alambre">#REF!</definedName>
    <definedName name="Alambre_negro_no._18">[6]Insumos!$D$24</definedName>
    <definedName name="ALAMBRE_PUA_CALIBRE14">#REF!</definedName>
    <definedName name="ALANR">#REF!</definedName>
    <definedName name="alcantarillado">#REF!</definedName>
    <definedName name="ale">#REF!</definedName>
    <definedName name="ALGALV">#REF!</definedName>
    <definedName name="ALIV487">#REF!</definedName>
    <definedName name="Almacenista">[6]CUADRILLAS!$B$19</definedName>
    <definedName name="ALPUA">#REF!</definedName>
    <definedName name="AM">#REF!</definedName>
    <definedName name="Ambien" hidden="1">#REF!</definedName>
    <definedName name="AN">#REF!</definedName>
    <definedName name="ANALISIS">#REF!</definedName>
    <definedName name="ANDAM">#REF!</definedName>
    <definedName name="ANDAMIO_MULTIDIRECCIONAL">#REF!</definedName>
    <definedName name="ANDRESVARGAS" localSheetId="1" hidden="1">{"via1",#N/A,TRUE,"general";"via2",#N/A,TRUE,"general";"via3",#N/A,TRUE,"general"}</definedName>
    <definedName name="ANDRESVARGAS" hidden="1">{"via1",#N/A,TRUE,"general";"via2",#N/A,TRUE,"general";"via3",#N/A,TRUE,"general"}</definedName>
    <definedName name="ANG2X2">#REF!</definedName>
    <definedName name="ANGULO">#REF!</definedName>
    <definedName name="anscount" hidden="1">1</definedName>
    <definedName name="antisol">#REF!</definedName>
    <definedName name="ANTRA">#REF!</definedName>
    <definedName name="AÑO">#REF!</definedName>
    <definedName name="AO">#REF!</definedName>
    <definedName name="AP">#REF!</definedName>
    <definedName name="Ap_con_2000">[6]CONCRETOS!$E$27</definedName>
    <definedName name="Ap_con_3000">[6]CONCRETOS!$E$28</definedName>
    <definedName name="Ap_Mor">[6]CONCRETOS!$E$30</definedName>
    <definedName name="APU">#REF!</definedName>
    <definedName name="APU_ACERO_STI">#REF!</definedName>
    <definedName name="APU_AUX">'[8]4.1-APU Aux'!$B$5:$H$134</definedName>
    <definedName name="APU_AUXILIARES">'[9]APU AUXILIARES'!$A:$G</definedName>
    <definedName name="APU_AUXILIARES_1">'[10]APU AUXILIARES 1'!$A:$G</definedName>
    <definedName name="APU_AUXILIARES_3">#REF!</definedName>
    <definedName name="APU_AUXILIARES_4">#REF!</definedName>
    <definedName name="APU_AUXILIARES_5">#REF!</definedName>
    <definedName name="APU_AUXILIARES_6">#REF!</definedName>
    <definedName name="APU_AXULIARES_2">'[10]APU AUXILIARES 2'!$A$1:$G$1104</definedName>
    <definedName name="APU_MVR">#REF!</definedName>
    <definedName name="APU_UNION">'[11]4-APU'!$B$4:$H$788</definedName>
    <definedName name="APUMOD">'[12]4-APU'!$C$5:$I$736</definedName>
    <definedName name="APUSENDEROSVILLALILIAM">#REF!</definedName>
    <definedName name="APUVNR">'[13]4-APU'!$B$5:$H$998</definedName>
    <definedName name="AQ">#REF!</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_con_2000">[6]CONCRETOS!$E$221</definedName>
    <definedName name="Ar_con_3000">[6]CONCRETOS!$E$222</definedName>
    <definedName name="Ar_Mor">[6]CONCRETOS!$E$224</definedName>
    <definedName name="ARANA">#REF!</definedName>
    <definedName name="ARAND">#REF!</definedName>
    <definedName name="ARAND1">#REF!</definedName>
    <definedName name="ARAND7">#REF!</definedName>
    <definedName name="arbol">#REF!</definedName>
    <definedName name="arbolunmetro">#REF!</definedName>
    <definedName name="are">#REF!</definedName>
    <definedName name="Área_de_Cantidades">#REF!</definedName>
    <definedName name="_xlnm.Extract">#REF!</definedName>
    <definedName name="_xlnm.Print_Area" localSheetId="1">APUS!$A$1:$F$1890</definedName>
    <definedName name="_xlnm.Print_Area" localSheetId="0">'RESUMEN APUS'!$A$1:$D$103</definedName>
    <definedName name="_xlnm.Print_Area">#REF!</definedName>
    <definedName name="Area_de_Impresion_2">#REF!</definedName>
    <definedName name="areaprotegida">#REF!</definedName>
    <definedName name="ARELC">#REF!</definedName>
    <definedName name="ARELF">#REF!</definedName>
    <definedName name="ARENA">#REF!</definedName>
    <definedName name="ARENA_CONCRETO">#REF!</definedName>
    <definedName name="Arena_fina">[6]Insumos!$D$25</definedName>
    <definedName name="Arena_lavada_de_peña">[6]Insumos!$D$26</definedName>
    <definedName name="ARENA_PEGA">#REF!</definedName>
    <definedName name="ARENC">#REF!</definedName>
    <definedName name="ARENF">#REF!</definedName>
    <definedName name="ARENI">#REF!</definedName>
    <definedName name="ARENILLA">#REF!</definedName>
    <definedName name="ARENP">#REF!</definedName>
    <definedName name="ARENREV">#REF!</definedName>
    <definedName name="AREPE">#REF!</definedName>
    <definedName name="AROTAP">#REF!</definedName>
    <definedName name="ARRENDAM1" localSheetId="1"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hidden="1">{#N/A,#N/A,FALSE,"Aging Summary";#N/A,#N/A,FALSE,"Ratio Analysis";#N/A,#N/A,FALSE,"Test 120 Day Accts";#N/A,#N/A,FALSE,"Tickmarks"}</definedName>
    <definedName name="ARTURO">#REF!</definedName>
    <definedName name="AS">#REF!</definedName>
    <definedName name="AS2DocOpenMode" hidden="1">"AS2DocumentEdit"</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esor_de_Tráfico">[6]CUADRILLAS!#REF!</definedName>
    <definedName name="ASFALT">#REF!</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T">#REF!</definedName>
    <definedName name="AU">#REF!</definedName>
    <definedName name="aui">#REF!</definedName>
    <definedName name="auxilio">'[6]F. P. AIU'!$B$49</definedName>
    <definedName name="AV">#REF!</definedName>
    <definedName name="AW">#REF!</definedName>
    <definedName name="AX">#REF!</definedName>
    <definedName name="ay">#REF!</definedName>
    <definedName name="ayu">#REF!</definedName>
    <definedName name="AYUDA">#REF!</definedName>
    <definedName name="AYUDA_">#REF!</definedName>
    <definedName name="ayudante">[6]CUADRILLAS!$G$8</definedName>
    <definedName name="AYUDAR">#REF!</definedName>
    <definedName name="AYUDE">#REF!</definedName>
    <definedName name="AYUDR">#REF!</definedName>
    <definedName name="AZ">#REF!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{"PYGS",#N/A,FALSE,"PYG";"ACTIS",#N/A,FALSE,"BCE_GRAL-ACTIVO";"PASIS",#N/A,FALSE,"BCE_GRAL-PASIVO-PATRIM";"CAJAS",#N/A,FALSE,"CAJA"}</definedName>
    <definedName name="B" hidden="1">{"PYGS",#N/A,FALSE,"PYG";"ACTIS",#N/A,FALSE,"BCE_GRAL-ACTIVO";"PASIS",#N/A,FALSE,"BCE_GRAL-PASIVO-PATRIM";"CAJAS",#N/A,FALSE,"CAJA"}</definedName>
    <definedName name="b2.37">#REF!</definedName>
    <definedName name="BA">#REF!</definedName>
    <definedName name="band">#REF!</definedName>
    <definedName name="bandera">#REF!</definedName>
    <definedName name="Barreras_plasticas_de_Aproximación__Maletines_tipo_Newjersy__o_similar">[6]Insumos!$D$43</definedName>
    <definedName name="Base">#REF!</definedName>
    <definedName name="Base_datos_IM">#REF!</definedName>
    <definedName name="BASE_GRANULAR">#REF!</definedName>
    <definedName name="_xlnm.Database">#REF!</definedName>
    <definedName name="BASEG">#REF!</definedName>
    <definedName name="BASEGRANULAR">#REF!</definedName>
    <definedName name="BASEPRE">#REF!</definedName>
    <definedName name="BB">#REF!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IR">#REF!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NEFIC">[14]BENEFIC!$D$2:$L$252</definedName>
    <definedName name="Beneficiarios">#REF!</definedName>
    <definedName name="BF">#REF!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#REF!</definedName>
    <definedName name="BI">#REF!</definedName>
    <definedName name="bicel">#REF!</definedName>
    <definedName name="BIOS">#REF!</definedName>
    <definedName name="BISCO">#REF!</definedName>
    <definedName name="BJ">#REF!</definedName>
    <definedName name="BK">#REF!</definedName>
    <definedName name="BL">#REF!</definedName>
    <definedName name="BLOCON">#REF!</definedName>
    <definedName name="BLOCT">#REF!</definedName>
    <definedName name="BLOQ">#REF!</definedName>
    <definedName name="BLOQC">#REF!</definedName>
    <definedName name="bloque">#REF!</definedName>
    <definedName name="BLOQUECONCRETO_15_20_40">#REF!</definedName>
    <definedName name="BLQ15X20X40">#REF!</definedName>
    <definedName name="BM">#REF!</definedName>
    <definedName name="BMHIDRO">#REF!</definedName>
    <definedName name="BN">#REF!</definedName>
    <definedName name="BO">#REF!</definedName>
    <definedName name="BOBCAT">#REF!</definedName>
    <definedName name="BOCT2HP">#REF!</definedName>
    <definedName name="BOCT5HP">#REF!</definedName>
    <definedName name="BOMBA">#REF!</definedName>
    <definedName name="BOMSUM">#REF!</definedName>
    <definedName name="boquilla">#REF!</definedName>
    <definedName name="BORDE1">#REF!</definedName>
    <definedName name="BORDE2">#REF!</definedName>
    <definedName name="BORDE3">#REF!</definedName>
    <definedName name="Bordevia">#REF!</definedName>
    <definedName name="BOTAD">#REF!</definedName>
    <definedName name="BOTADA">#REF!</definedName>
    <definedName name="BOTES">#REF!</definedName>
    <definedName name="BP">#REF!</definedName>
    <definedName name="BQ">#REF!</definedName>
    <definedName name="BQ15X20X40">#REF!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ida">#REF!</definedName>
    <definedName name="BRISCH804">#REF!</definedName>
    <definedName name="BROCADIAM">#REF!</definedName>
    <definedName name="BROCH">#REF!</definedName>
    <definedName name="BS">#REF!</definedName>
    <definedName name="bsb" localSheetId="1" hidden="1">{"via1",#N/A,TRUE,"general";"via2",#N/A,TRUE,"general";"via3",#N/A,TRUE,"general"}</definedName>
    <definedName name="bsb" hidden="1">{"via1",#N/A,TRUE,"general";"via2",#N/A,TRUE,"general";"via3",#N/A,TRUE,"general"}</definedName>
    <definedName name="BSOL64">#REF!</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UM113HP">#REF!</definedName>
    <definedName name="BSUM2HP">#REF!</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#REF!</definedName>
    <definedName name="BUENO">#REF!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iltIn_Print_Titles___0">#REF!</definedName>
    <definedName name="BuiltIn_Print_Titles___0___0">#REF!</definedName>
    <definedName name="BUJESOL2">#REF!</definedName>
    <definedName name="buld">#REF!</definedName>
    <definedName name="Buldozer__Potencia_al_volante_de_140_HP__motor_de_2200_RPM__longitud_de_hoja_4_80_m.">'[6]Equipo y transporte'!$D$21</definedName>
    <definedName name="BULL">#REF!</definedName>
    <definedName name="BULLDOZ">#REF!</definedName>
    <definedName name="BUSQ_INSUMOS">'[15]4.2-Insumos'!#REF!</definedName>
    <definedName name="BV">#REF!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X">#REF!</definedName>
    <definedName name="by" localSheetId="1" hidden="1">{"via1",#N/A,TRUE,"general";"via2",#N/A,TRUE,"general";"via3",#N/A,TRUE,"general"}</definedName>
    <definedName name="by" hidden="1">{"via1",#N/A,TRUE,"general";"via2",#N/A,TRUE,"general";"via3",#N/A,TRUE,"general"}</definedName>
    <definedName name="BZ">#REF!</definedName>
    <definedName name="C.F.">#REF!</definedName>
    <definedName name="C.I.">#REF!</definedName>
    <definedName name="C_">#REF!</definedName>
    <definedName name="C_min">#REF!</definedName>
    <definedName name="C90445L">#REF!</definedName>
    <definedName name="CA">#REF!</definedName>
    <definedName name="caa">#REF!</definedName>
    <definedName name="CAB">#REF!</definedName>
    <definedName name="CABAL">#REF!</definedName>
    <definedName name="CABALLETE">#REF!</definedName>
    <definedName name="CABALLETE_UPVC">#REF!</definedName>
    <definedName name="cade">[6]CUADRILLAS!$B$12</definedName>
    <definedName name="CADIZA">#REF!</definedName>
    <definedName name="CAJAC">#REF!</definedName>
    <definedName name="CAJAV">#REF!</definedName>
    <definedName name="CAJMI">#REF!</definedName>
    <definedName name="camara">#REF!</definedName>
    <definedName name="CAMBIO">#REF!</definedName>
    <definedName name="camioneta">'[6]Equipo y transporte'!$D$26</definedName>
    <definedName name="Camioneta_D_300">'[6]Equipo y transporte'!$D$24</definedName>
    <definedName name="CAN28M">#REF!</definedName>
    <definedName name="CANAL">#REF!</definedName>
    <definedName name="CANAL6">#REF!</definedName>
    <definedName name="cang">#REF!</definedName>
    <definedName name="CANGU">#REF!</definedName>
    <definedName name="CANGURO">#REF!</definedName>
    <definedName name="Cantidad">#REF!</definedName>
    <definedName name="CAP">#REF!</definedName>
    <definedName name="CAPASA">#REF!</definedName>
    <definedName name="capt">#REF!</definedName>
    <definedName name="Car_con_2000">[6]CONCRETOS!$E$420</definedName>
    <definedName name="Car_con_3000">[6]CONCRETOS!$E$421</definedName>
    <definedName name="Car_Mor">[6]CONCRETOS!$E$423</definedName>
    <definedName name="caracterizacion">[6]Caracterización!$G$82</definedName>
    <definedName name="carg">#REF!</definedName>
    <definedName name="CARGAD">#REF!</definedName>
    <definedName name="CARGADOR">#REF!</definedName>
    <definedName name="CARGUER">#REF!</definedName>
    <definedName name="CARRETERA">#REF!</definedName>
    <definedName name="CARRO">#REF!</definedName>
    <definedName name="Carrotanque_1000_gl">'[6]Equipo y transporte'!$D$16</definedName>
    <definedName name="CARRTA">#REF!</definedName>
    <definedName name="Casa">#REF!</definedName>
    <definedName name="CASCA">#REF!</definedName>
    <definedName name="cata">#REF!</definedName>
    <definedName name="CATA1">#REF!</definedName>
    <definedName name="CATALIZADOR">#REF!</definedName>
    <definedName name="CATASEG">#REF!</definedName>
    <definedName name="Catastro">#REF!</definedName>
    <definedName name="Catastros">#REF!</definedName>
    <definedName name="Cb">#REF!</definedName>
    <definedName name="CBR">#REF!</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#REF!</definedName>
    <definedName name="CD454JH">#REF!</definedName>
    <definedName name="cdcd" hidden="1">#REF!</definedName>
    <definedName name="cdcdc" localSheetId="1" hidden="1">{"via1",#N/A,TRUE,"general";"via2",#N/A,TRUE,"general";"via3",#N/A,TRUE,"general"}</definedName>
    <definedName name="cdcdc" hidden="1">{"via1",#N/A,TRUE,"general";"via2",#N/A,TRUE,"general";"via3",#N/A,TRUE,"general"}</definedName>
    <definedName name="CE">#REF!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m">#REF!</definedName>
    <definedName name="CEMEG">#REF!</definedName>
    <definedName name="Cemento_gris__Inlcuye_tranporte_interno_en_obra_cargue_y_descargue">[6]Insumos!$D$30</definedName>
    <definedName name="CEMENTOGRIS_SACO50KG">#REF!</definedName>
    <definedName name="centro" localSheetId="1"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 hidden="1">{#N/A,#N/A,FALSE,"PROPON.2001"}</definedName>
    <definedName name="CERAMICA_COMUN">#REF!</definedName>
    <definedName name="cesped">#REF!</definedName>
    <definedName name="CEXP">#REF!</definedName>
    <definedName name="CF">#REF!</definedName>
    <definedName name="CG">#REF!</definedName>
    <definedName name="CH">#REF!</definedName>
    <definedName name="CHAME">#REF!</definedName>
    <definedName name="CHAP">#REF!</definedName>
    <definedName name="CHAPA">#REF!</definedName>
    <definedName name="CHAPA_YALE_EXTERIOR">#REF!</definedName>
    <definedName name="CHAPA_YALEBAÑOINTERIOR">#REF!</definedName>
    <definedName name="CHAPA10">#REF!</definedName>
    <definedName name="CHAPA12">#REF!</definedName>
    <definedName name="CHAPA14">#REF!</definedName>
    <definedName name="CHAPA16">#REF!</definedName>
    <definedName name="CHAPA20">#REF!</definedName>
    <definedName name="CHAPA24">#REF!</definedName>
    <definedName name="CHAPA30">#REF!</definedName>
    <definedName name="CHAPA36">#REF!</definedName>
    <definedName name="CHAPB">#REF!</definedName>
    <definedName name="CHAPETA_TENSOR">#REF!</definedName>
    <definedName name="CHARN">#REF!</definedName>
    <definedName name="CHARN20">#REF!</definedName>
    <definedName name="CHD1110JH">#REF!</definedName>
    <definedName name="CHD1112JH">#REF!</definedName>
    <definedName name="CHD118JH">#REF!</definedName>
    <definedName name="CHD2210JH">#REF!</definedName>
    <definedName name="CHD2212JH">#REF!</definedName>
    <definedName name="CHD224JH">#REF!</definedName>
    <definedName name="CHD4510JH">#REF!</definedName>
    <definedName name="CHD4512JH">#REF!</definedName>
    <definedName name="CHD453JH">#REF!</definedName>
    <definedName name="CHD456JH">#REF!</definedName>
    <definedName name="CHD458JH">#REF!</definedName>
    <definedName name="CHD9010JH">#REF!</definedName>
    <definedName name="CHD9012JH">#REF!</definedName>
    <definedName name="CHD903JH">#REF!</definedName>
    <definedName name="CHD904JH">#REF!</definedName>
    <definedName name="CHD906JH">#REF!</definedName>
    <definedName name="Chi_con_2000">[6]CONCRETOS!$E$619</definedName>
    <definedName name="Chi_con_3000">[6]CONCRETOS!$E$620</definedName>
    <definedName name="Chi_Mor">[6]CONCRETOS!$E$622</definedName>
    <definedName name="CHIPARB">#REF!</definedName>
    <definedName name="CI">#REF!</definedName>
    <definedName name="CINPOAZ">#REF!</definedName>
    <definedName name="CINPVC">#REF!</definedName>
    <definedName name="Cinta_Plastica__PELIGRO_NO_PASE">[6]Insumos!$D$44</definedName>
    <definedName name="CINTAO22">#REF!</definedName>
    <definedName name="Circuito">#REF!</definedName>
    <definedName name="civ" localSheetId="1" hidden="1">{#N/A,#N/A,TRUE,"1842CWN0"}</definedName>
    <definedName name="civ" hidden="1">{#N/A,#N/A,TRUE,"1842CWN0"}</definedName>
    <definedName name="civ_1" localSheetId="1" hidden="1">{#N/A,#N/A,TRUE,"1842CWN0"}</definedName>
    <definedName name="civ_1" hidden="1">{#N/A,#N/A,TRUE,"1842CWN0"}</definedName>
    <definedName name="civ_2" localSheetId="1" hidden="1">{#N/A,#N/A,TRUE,"1842CWN0"}</definedName>
    <definedName name="civ_2" hidden="1">{#N/A,#N/A,TRUE,"1842CWN0"}</definedName>
    <definedName name="CJ">#REF!</definedName>
    <definedName name="CK">#REF!</definedName>
    <definedName name="CL">#REF!</definedName>
    <definedName name="clav">#REF!</definedName>
    <definedName name="CLAVO">#REF!</definedName>
    <definedName name="CLAVO1">#REF!</definedName>
    <definedName name="clcl">#REF!</definedName>
    <definedName name="CM">#REF!</definedName>
    <definedName name="CMMO">#REF!</definedName>
    <definedName name="CMMOA">#REF!</definedName>
    <definedName name="CN">#REF!</definedName>
    <definedName name="cnmi2">#REF!</definedName>
    <definedName name="CO">#REF!</definedName>
    <definedName name="CO1110JH">#REF!</definedName>
    <definedName name="CO1112JH">#REF!</definedName>
    <definedName name="CO1116JH">#REF!</definedName>
    <definedName name="CO112JH">#REF!</definedName>
    <definedName name="CO113JH">#REF!</definedName>
    <definedName name="CO118JH">#REF!</definedName>
    <definedName name="CO2210JH">#REF!</definedName>
    <definedName name="CO2212JH">#REF!</definedName>
    <definedName name="CO2216JH">#REF!</definedName>
    <definedName name="CO222JH">#REF!</definedName>
    <definedName name="CO223JH">#REF!</definedName>
    <definedName name="CO226JH">#REF!</definedName>
    <definedName name="CO22JH">#REF!</definedName>
    <definedName name="CO23JH">#REF!</definedName>
    <definedName name="CO345BD">#REF!</definedName>
    <definedName name="CO390BD">#REF!</definedName>
    <definedName name="CO4510JH">#REF!</definedName>
    <definedName name="CO4512JH">#REF!</definedName>
    <definedName name="CO452JH">#REF!</definedName>
    <definedName name="CO454JH">#REF!</definedName>
    <definedName name="CO456JH">#REF!</definedName>
    <definedName name="CO458JH">#REF!</definedName>
    <definedName name="CO45S2">#REF!</definedName>
    <definedName name="CO45S3">#REF!</definedName>
    <definedName name="CO45S4">#REF!</definedName>
    <definedName name="CO45S6">#REF!</definedName>
    <definedName name="CO490BD">#REF!</definedName>
    <definedName name="CO645BD">#REF!</definedName>
    <definedName name="CO690BD">#REF!</definedName>
    <definedName name="CO890BD">#REF!</definedName>
    <definedName name="CO9010JH">#REF!</definedName>
    <definedName name="CO9012JH">#REF!</definedName>
    <definedName name="CO9016JH">#REF!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A390">#REF!</definedName>
    <definedName name="COAA490">#REF!</definedName>
    <definedName name="coche">#REF!</definedName>
    <definedName name="COCHE_DIA">#REF!</definedName>
    <definedName name="Cod">#REF!</definedName>
    <definedName name="Cod._SDS">#REF!</definedName>
    <definedName name="cod_programa">#REF!</definedName>
    <definedName name="cod_proyecto">#REF!</definedName>
    <definedName name="COD224JH">#REF!</definedName>
    <definedName name="COD456UC">#REF!</definedName>
    <definedName name="COD458JH">#REF!</definedName>
    <definedName name="COD458UC">#REF!</definedName>
    <definedName name="COD902JH">#REF!</definedName>
    <definedName name="COD903JH">#REF!</definedName>
    <definedName name="COD904JH">#REF!</definedName>
    <definedName name="COD904UC">#REF!</definedName>
    <definedName name="COD906JH">#REF!</definedName>
    <definedName name="COD906UC">#REF!</definedName>
    <definedName name="COD90UC">#REF!</definedName>
    <definedName name="CODAC90">#REF!</definedName>
    <definedName name="CODHG90">#REF!</definedName>
    <definedName name="CÓDIGOS_EQUIPOS">'[9]INSUMOS EQUIPOS'!$A$8:$A$107</definedName>
    <definedName name="CÓDIGOS_MANO_DE_OBRA">'[9]INSUMOS MANO DE OBRA'!$A$8:$A$63</definedName>
    <definedName name="CÓDIGOS_SERVICIOS">'[9]INSUMOS SERVICIOS'!$A$12:$A$53</definedName>
    <definedName name="CÓDIGOS_TRANSPORTES">'[9]INSUMOS TRANSPORTES'!$A$8:$A$47</definedName>
    <definedName name="CODO906JH">#REF!</definedName>
    <definedName name="CODOS">#REF!</definedName>
    <definedName name="codos2">#REF!</definedName>
    <definedName name="COLLDE">#REF!</definedName>
    <definedName name="COLLDE3">#REF!</definedName>
    <definedName name="COLLDE4">#REF!</definedName>
    <definedName name="COLLDER">#REF!</definedName>
    <definedName name="ColTap">#REF!</definedName>
    <definedName name="combsan">#REF!</definedName>
    <definedName name="COMN1">#REF!</definedName>
    <definedName name="COMP">#REF!</definedName>
    <definedName name="compneu">#REF!</definedName>
    <definedName name="COMPR">#REF!</definedName>
    <definedName name="COMPRE">#REF!</definedName>
    <definedName name="COMPRESOR">#REF!</definedName>
    <definedName name="Compresor_80HP__con_martillo">'[6]Equipo y transporte'!$D$25</definedName>
    <definedName name="COMPRNEU">#REF!</definedName>
    <definedName name="COMPUERTA10">#REF!</definedName>
    <definedName name="COMPUERTA11">#REF!</definedName>
    <definedName name="COMPUERTA4">#REF!</definedName>
    <definedName name="COMPUERTA5">#REF!</definedName>
    <definedName name="COMPUERTA7">#REF!</definedName>
    <definedName name="COMPUERTA8">#REF!</definedName>
    <definedName name="conc">#REF!</definedName>
    <definedName name="Concentrico">#REF!</definedName>
    <definedName name="CONCRET17CONCONCRETAD">#REF!</definedName>
    <definedName name="CONCRET17SINCONCRETAD">#REF!</definedName>
    <definedName name="CONCRET21CONCONCRETAD">#REF!</definedName>
    <definedName name="CONCRET21SINCONCRETAD">#REF!</definedName>
    <definedName name="CONCRET28CONCONCRETAD">#REF!</definedName>
    <definedName name="CONCRET28SINCONCRETAD">#REF!</definedName>
    <definedName name="CONCRETCOMB">#REF!</definedName>
    <definedName name="CONCRETO">#REF!</definedName>
    <definedName name="CONCRETO17_CONCONCRETADORA">#REF!</definedName>
    <definedName name="CONCRETO17_SINCONCRETADORA">#REF!</definedName>
    <definedName name="CONCRETO17_SINCONCRETADORA_TTEMULAR">#REF!</definedName>
    <definedName name="CONCRETO21_CONCONCRETADORA">#REF!</definedName>
    <definedName name="CONCRETO21_SINCONCRETADORA">#REF!</definedName>
    <definedName name="CONCRETO21_SINCONCRETADORA_TTEMULAR">#REF!</definedName>
    <definedName name="CONCRETO24_CONCONCRETADORA">#REF!</definedName>
    <definedName name="CONCRETO24_SINCONCRETADORA">#REF!</definedName>
    <definedName name="CONCRETO24_SINCONCRETADORA_TTEMULAR">#REF!</definedName>
    <definedName name="CONCRETO28_CONCONCRETADORA">#REF!</definedName>
    <definedName name="CONCRETO28_SINCONCRETADORA">#REF!</definedName>
    <definedName name="CONCRETO28_SINCONCRETADORA_TTEMULAR">#REF!</definedName>
    <definedName name="Conexion">#REF!</definedName>
    <definedName name="CONM1">#REF!</definedName>
    <definedName name="CONM112">#REF!</definedName>
    <definedName name="CONM2">#REF!</definedName>
    <definedName name="CONMI">#REF!</definedName>
    <definedName name="CONMX">#REF!</definedName>
    <definedName name="CONOCAM">#REF!</definedName>
    <definedName name="CONREDC">#REF!</definedName>
    <definedName name="contra">#REF!</definedName>
    <definedName name="CONVENIO">#REF!</definedName>
    <definedName name="copia">#REF!</definedName>
    <definedName name="copia1">#REF!</definedName>
    <definedName name="CORED15">#REF!</definedName>
    <definedName name="Corriente">#REF!</definedName>
    <definedName name="CORTA">#REF!</definedName>
    <definedName name="CORTACER">#REF!</definedName>
    <definedName name="CORTACT">#REF!</definedName>
    <definedName name="CORTACTO">#REF!</definedName>
    <definedName name="CORTADIS">#REF!</definedName>
    <definedName name="CORTADORA_CERÁMICA">#REF!</definedName>
    <definedName name="CORTAHV">#REF!</definedName>
    <definedName name="CORTAP">#REF!</definedName>
    <definedName name="CORTCONC">#REF!</definedName>
    <definedName name="CORTPD">#REF!</definedName>
    <definedName name="COSCH3">#REF!</definedName>
    <definedName name="COSCH345">#REF!</definedName>
    <definedName name="COSTAL">#REF!</definedName>
    <definedName name="COSTAL_FIBRA">#REF!</definedName>
    <definedName name="COSTOS_DIREC">[6]Pres!$H$165</definedName>
    <definedName name="cota">#REF!</definedName>
    <definedName name="COTAS">#REF!</definedName>
    <definedName name="cotasalfs">#REF!</definedName>
    <definedName name="COTOP">#REF!</definedName>
    <definedName name="COYLL">#REF!</definedName>
    <definedName name="CP">#REF!</definedName>
    <definedName name="CP113L">#REF!</definedName>
    <definedName name="CP114L">#REF!</definedName>
    <definedName name="CP223L">#REF!</definedName>
    <definedName name="CP224L">#REF!</definedName>
    <definedName name="CP226L">#REF!</definedName>
    <definedName name="CP452L">#REF!</definedName>
    <definedName name="CP453L">#REF!</definedName>
    <definedName name="CP454L">#REF!</definedName>
    <definedName name="CP902L">#REF!</definedName>
    <definedName name="CP903L">#REF!</definedName>
    <definedName name="CP904L">#REF!</definedName>
    <definedName name="CQ">#REF!</definedName>
    <definedName name="CR">#REF!</definedName>
    <definedName name="CR22JH">#REF!</definedName>
    <definedName name="CR33HD">#REF!</definedName>
    <definedName name="CR42JH">#REF!</definedName>
    <definedName name="CR43HD">#REF!</definedName>
    <definedName name="CR43JH">#REF!</definedName>
    <definedName name="CR44JH">#REF!</definedName>
    <definedName name="CR63HD">#REF!</definedName>
    <definedName name="CR64HD">#REF!</definedName>
    <definedName name="CR66JH">#REF!</definedName>
    <definedName name="CRAS">#REF!</definedName>
    <definedName name="_xlnm.Criteria" localSheetId="1"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iterios_IM">#REF!</definedName>
    <definedName name="crt" localSheetId="1"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S">#REF!</definedName>
    <definedName name="CSIKA">#REF!</definedName>
    <definedName name="ct">#REF!</definedName>
    <definedName name="CT070KG">#REF!</definedName>
    <definedName name="CT080KG">#REF!</definedName>
    <definedName name="CT110K">#REF!</definedName>
    <definedName name="CT110KG">#REF!</definedName>
    <definedName name="CT140C">#REF!</definedName>
    <definedName name="CT140K">#REF!</definedName>
    <definedName name="CT140KG">#REF!</definedName>
    <definedName name="CT140KGM">#REF!</definedName>
    <definedName name="CT170KG">#REF!</definedName>
    <definedName name="CT175KG">#REF!</definedName>
    <definedName name="CT180K">#REF!</definedName>
    <definedName name="CT180KG">#REF!</definedName>
    <definedName name="CT210K">#REF!</definedName>
    <definedName name="CT210KG">#REF!</definedName>
    <definedName name="CT210KGM">#REF!</definedName>
    <definedName name="CT210KGMULAR">#REF!</definedName>
    <definedName name="CT245K">#REF!</definedName>
    <definedName name="CT245KG">#REF!</definedName>
    <definedName name="CT280KG">#REF!</definedName>
    <definedName name="CT280KGM">#REF!</definedName>
    <definedName name="CTC140KG">#REF!</definedName>
    <definedName name="CU">#REF!</definedName>
    <definedName name="cuad">#REF!</definedName>
    <definedName name="cuadpav">#REF!</definedName>
    <definedName name="Cuadro">#REF!</definedName>
    <definedName name="cUCA">#REF!</definedName>
    <definedName name="CUEPOZO">#REF!</definedName>
    <definedName name="CUHIDR">#REF!</definedName>
    <definedName name="CUIDADO">[7]CATASTROS!$A$2:$L$450</definedName>
    <definedName name="CUNET" localSheetId="1" hidden="1">{"via1",#N/A,TRUE,"general";"via2",#N/A,TRUE,"general";"via3",#N/A,TRUE,"general"}</definedName>
    <definedName name="CUNET" hidden="1">{"via1",#N/A,TRUE,"general";"via2",#N/A,TRUE,"general";"via3",#N/A,TRUE,"general"}</definedName>
    <definedName name="Cunetavia">#REF!</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a">#REF!</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W">#REF!</definedName>
    <definedName name="Cwvu.ComparEneMar9697." hidden="1">#REF!,#REF!,#REF!,#REF!,#REF!,#REF!</definedName>
    <definedName name="Cwvu.EneFeb." hidden="1">#REF!,#REF!</definedName>
    <definedName name="Cwvu.EneMar." hidden="1">#REF!,#REF!,#REF!,#REF!</definedName>
    <definedName name="Cwvu.Formato._.Corto." hidden="1">#REF!,#REF!,#REF!,#REF!,#REF!,#REF!,#REF!,#REF!,#REF!,#REF!,#REF!,#REF!</definedName>
    <definedName name="Cwvu.Formato._.Total." hidden="1">#REF!,#REF!,#REF!</definedName>
    <definedName name="CX">#REF!</definedName>
    <definedName name="cy">#REF!</definedName>
    <definedName name="CYLL2">#REF!</definedName>
    <definedName name="CYLL2c">#REF!</definedName>
    <definedName name="CYLL3">#REF!</definedName>
    <definedName name="CYLL4">#REF!</definedName>
    <definedName name="CYLL6">#REF!</definedName>
    <definedName name="CZ">#REF!</definedName>
    <definedName name="D" localSheetId="1" hidden="1">{"PYGT",#N/A,FALSE,"PYG";"ACTIT",#N/A,FALSE,"BCE_GRAL-ACTIVO";"PASIT",#N/A,FALSE,"BCE_GRAL-PASIVO-PATRIM";"CAJAT",#N/A,FALSE,"CAJA"}</definedName>
    <definedName name="D" hidden="1">{"PYGT",#N/A,FALSE,"PYG";"ACTIT",#N/A,FALSE,"BCE_GRAL-ACTIVO";"PASIT",#N/A,FALSE,"BCE_GRAL-PASIVO-PATRIM";"CAJAT",#N/A,FALSE,"CAJA"}</definedName>
    <definedName name="d_PH">#REF!</definedName>
    <definedName name="DA">#REF!</definedName>
    <definedName name="DADADAD" localSheetId="1" hidden="1">{#N/A,#N/A,TRUE,"CODIGO DEPENDENCIA"}</definedName>
    <definedName name="DADADAD" hidden="1">{#N/A,#N/A,TRUE,"CODIGO DEPENDENCIA"}</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B">#REF!</definedName>
    <definedName name="dbb">#REF!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SDCTV" localSheetId="1" hidden="1">{"via1",#N/A,TRUE,"general";"via2",#N/A,TRUE,"general";"via3",#N/A,TRUE,"general"}</definedName>
    <definedName name="DCSDCTV" hidden="1">{"via1",#N/A,TRUE,"general";"via2",#N/A,TRUE,"general";"via3",#N/A,TRUE,"general"}</definedName>
    <definedName name="dd" localSheetId="1" hidden="1">{#N/A,#N/A,TRUE,"INGENIERIA";#N/A,#N/A,TRUE,"COMPRAS";#N/A,#N/A,TRUE,"DIRECCION";#N/A,#N/A,TRUE,"RESUMEN"}</definedName>
    <definedName name="dd" hidden="1">{#N/A,#N/A,TRUE,"INGENIERIA";#N/A,#N/A,TRUE,"COMPRAS";#N/A,#N/A,TRUE,"DIRECCION";#N/A,#N/A,TRUE,"RESUMEN"}</definedName>
    <definedName name="dd_1" localSheetId="1" hidden="1">{#N/A,#N/A,TRUE,"INGENIERIA";#N/A,#N/A,TRUE,"COMPRAS";#N/A,#N/A,TRUE,"DIRECCION";#N/A,#N/A,TRUE,"RESUMEN"}</definedName>
    <definedName name="dd_1" hidden="1">{#N/A,#N/A,TRUE,"INGENIERIA";#N/A,#N/A,TRUE,"COMPRAS";#N/A,#N/A,TRUE,"DIRECCION";#N/A,#N/A,TRUE,"RESUMEN"}</definedName>
    <definedName name="dd_2" localSheetId="1" hidden="1">{#N/A,#N/A,TRUE,"INGENIERIA";#N/A,#N/A,TRUE,"COMPRAS";#N/A,#N/A,TRUE,"DIRECCION";#N/A,#N/A,TRUE,"RESUMEN"}</definedName>
    <definedName name="dd_2" hidden="1">{#N/A,#N/A,TRUE,"INGENIERIA";#N/A,#N/A,TRUE,"COMPRAS";#N/A,#N/A,TRUE,"DIRECCION";#N/A,#N/A,TRUE,"RESUMEN"}</definedName>
    <definedName name="ddd" localSheetId="1" hidden="1">{"via1",#N/A,TRUE,"general";"via2",#N/A,TRUE,"general";"via3",#N/A,TRUE,"general"}</definedName>
    <definedName name="ddd" hidden="1">{"via1",#N/A,TRUE,"general";"via2",#N/A,TRUE,"general";"via3",#N/A,TRUE,"general"}</definedName>
    <definedName name="DDDD" hidden="1">{#N/A,#N/A,FALSE,"GRAFICO";#N/A,#N/A,FALSE,"CAJA (2)";#N/A,#N/A,FALSE,"TERCEROS-PROMEDIO";#N/A,#N/A,FALSE,"CAJA";#N/A,#N/A,FALSE,"INGRESOS1995-2003";#N/A,#N/A,FALSE,"GASTOS1995-2003"}</definedName>
    <definedName name="ddddt" localSheetId="1" hidden="1">{"via1",#N/A,TRUE,"general";"via2",#N/A,TRUE,"general";"via3",#N/A,TRUE,"general"}</definedName>
    <definedName name="ddddt" hidden="1">{"via1",#N/A,TRUE,"general";"via2",#N/A,TRUE,"general";"via3",#N/A,TRUE,"general"}</definedName>
    <definedName name="DDE" localSheetId="1" hidden="1">{#N/A,#N/A,TRUE,"1842CWN0"}</definedName>
    <definedName name="DDE" hidden="1">{#N/A,#N/A,TRUE,"1842CWN0"}</definedName>
    <definedName name="DDE_1" localSheetId="1" hidden="1">{#N/A,#N/A,TRUE,"1842CWN0"}</definedName>
    <definedName name="DDE_1" hidden="1">{#N/A,#N/A,TRUE,"1842CWN0"}</definedName>
    <definedName name="DDE_2" localSheetId="1" hidden="1">{#N/A,#N/A,TRUE,"1842CWN0"}</definedName>
    <definedName name="DDE_2" hidden="1">{#N/A,#N/A,TRUE,"1842CWN0"}</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f">#REF!</definedName>
    <definedName name="defd" localSheetId="1" hidden="1">{"via1",#N/A,TRUE,"general";"via2",#N/A,TRUE,"general";"via3",#N/A,TRUE,"general"}</definedName>
    <definedName name="defd" hidden="1">{"via1",#N/A,TRUE,"general";"via2",#N/A,TRUE,"general";"via3",#N/A,TRUE,"general"}</definedName>
    <definedName name="delin">#REF!</definedName>
    <definedName name="Delineadores_tubulares__Colombinas">[6]Insumos!$D$42</definedName>
    <definedName name="demarc">#REF!</definedName>
    <definedName name="den_1a">#REF!</definedName>
    <definedName name="den_2da">#REF!</definedName>
    <definedName name="den_aisl">#REF!</definedName>
    <definedName name="den_ch">#REF!</definedName>
    <definedName name="den_cond">#REF!</definedName>
    <definedName name="DENSIDAD">#REF!</definedName>
    <definedName name="DESAGUE_LAVAPLATOS">#REF!</definedName>
    <definedName name="descapote" localSheetId="1" hidden="1">{"TAB1",#N/A,TRUE,"GENERAL";"TAB2",#N/A,TRUE,"GENERAL";"TAB3",#N/A,TRUE,"GENERAL";"TAB4",#N/A,TRUE,"GENERAL";"TAB5",#N/A,TRUE,"GENERAL"}</definedName>
    <definedName name="descapote" hidden="1">{"TAB1",#N/A,TRUE,"GENERAL";"TAB2",#N/A,TRUE,"GENERAL";"TAB3",#N/A,TRUE,"GENERAL";"TAB4",#N/A,TRUE,"GENERAL";"TAB5",#N/A,TRUE,"GENERAL"}</definedName>
    <definedName name="DESFRE" localSheetId="1"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#REF!</definedName>
    <definedName name="design">#REF!</definedName>
    <definedName name="design2">#REF!</definedName>
    <definedName name="DESMOLD">#REF!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E" localSheetId="1" hidden="1">{#N/A,#N/A,TRUE,"1842CWN0"}</definedName>
    <definedName name="DFDE" hidden="1">{#N/A,#N/A,TRUE,"1842CWN0"}</definedName>
    <definedName name="DFDE_1" localSheetId="1" hidden="1">{#N/A,#N/A,TRUE,"1842CWN0"}</definedName>
    <definedName name="DFDE_1" hidden="1">{#N/A,#N/A,TRUE,"1842CWN0"}</definedName>
    <definedName name="DFDE_2" localSheetId="1" hidden="1">{#N/A,#N/A,TRUE,"1842CWN0"}</definedName>
    <definedName name="DFDE_2" hidden="1">{#N/A,#N/A,TRUE,"1842CWN0"}</definedName>
    <definedName name="DFDGFG" hidden="1">{#N/A,#N/A,FALSE,"Aging Summary";#N/A,#N/A,FALSE,"Ratio Analysis";#N/A,#N/A,FALSE,"Test 120 Day Accts";#N/A,#N/A,FALSE,"Tickmarks"}</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EET" localSheetId="1" hidden="1">{#N/A,#N/A,TRUE,"INGENIERIA";#N/A,#N/A,TRUE,"COMPRAS";#N/A,#N/A,TRUE,"DIRECCION";#N/A,#N/A,TRUE,"RESUMEN"}</definedName>
    <definedName name="DFEET" hidden="1">{#N/A,#N/A,TRUE,"INGENIERIA";#N/A,#N/A,TRUE,"COMPRAS";#N/A,#N/A,TRUE,"DIRECCION";#N/A,#N/A,TRUE,"RESUMEN"}</definedName>
    <definedName name="DFEET_1" localSheetId="1" hidden="1">{#N/A,#N/A,TRUE,"INGENIERIA";#N/A,#N/A,TRUE,"COMPRAS";#N/A,#N/A,TRUE,"DIRECCION";#N/A,#N/A,TRUE,"RESUMEN"}</definedName>
    <definedName name="DFEET_1" hidden="1">{#N/A,#N/A,TRUE,"INGENIERIA";#N/A,#N/A,TRUE,"COMPRAS";#N/A,#N/A,TRUE,"DIRECCION";#N/A,#N/A,TRUE,"RESUMEN"}</definedName>
    <definedName name="DFEET_2" localSheetId="1" hidden="1">{#N/A,#N/A,TRUE,"INGENIERIA";#N/A,#N/A,TRUE,"COMPRAS";#N/A,#N/A,TRUE,"DIRECCION";#N/A,#N/A,TRUE,"RESUMEN"}</definedName>
    <definedName name="DFEET_2" hidden="1">{#N/A,#N/A,TRUE,"INGENIERIA";#N/A,#N/A,TRUE,"COMPRAS";#N/A,#N/A,TRUE,"DIRECCION";#N/A,#N/A,TRUE,"RESUMEN"}</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DGDFG">#REF!</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localSheetId="1" hidden="1">{#N/A,#N/A,TRUE,"1842CWN0"}</definedName>
    <definedName name="DGFEE" hidden="1">{#N/A,#N/A,TRUE,"1842CWN0"}</definedName>
    <definedName name="DGFEE_1" localSheetId="1" hidden="1">{#N/A,#N/A,TRUE,"1842CWN0"}</definedName>
    <definedName name="DGFEE_1" hidden="1">{#N/A,#N/A,TRUE,"1842CWN0"}</definedName>
    <definedName name="DGFEE_2" localSheetId="1" hidden="1">{#N/A,#N/A,TRUE,"1842CWN0"}</definedName>
    <definedName name="DGFEE_2" hidden="1">{#N/A,#N/A,TRUE,"1842CWN0"}</definedName>
    <definedName name="DGFG" localSheetId="1" hidden="1">{"via1",#N/A,TRUE,"general";"via2",#N/A,TRUE,"general";"via3",#N/A,TRUE,"general"}</definedName>
    <definedName name="DGFG" hidden="1">{"via1",#N/A,TRUE,"general";"via2",#N/A,TRUE,"general";"via3",#N/A,TRUE,"general"}</definedName>
    <definedName name="DGFGGHF" localSheetId="1" hidden="1">{#N/A,#N/A,TRUE,"INGENIERIA";#N/A,#N/A,TRUE,"COMPRAS";#N/A,#N/A,TRUE,"DIRECCION";#N/A,#N/A,TRUE,"RESUMEN"}</definedName>
    <definedName name="DGFGGHF" hidden="1">{#N/A,#N/A,TRUE,"INGENIERIA";#N/A,#N/A,TRUE,"COMPRAS";#N/A,#N/A,TRUE,"DIRECCION";#N/A,#N/A,TRUE,"RESUMEN"}</definedName>
    <definedName name="DGFGGHF_1" localSheetId="1" hidden="1">{#N/A,#N/A,TRUE,"INGENIERIA";#N/A,#N/A,TRUE,"COMPRAS";#N/A,#N/A,TRUE,"DIRECCION";#N/A,#N/A,TRUE,"RESUMEN"}</definedName>
    <definedName name="DGFGGHF_1" hidden="1">{#N/A,#N/A,TRUE,"INGENIERIA";#N/A,#N/A,TRUE,"COMPRAS";#N/A,#N/A,TRUE,"DIRECCION";#N/A,#N/A,TRUE,"RESUMEN"}</definedName>
    <definedName name="DGFGGHF_2" localSheetId="1" hidden="1">{#N/A,#N/A,TRUE,"INGENIERIA";#N/A,#N/A,TRUE,"COMPRAS";#N/A,#N/A,TRUE,"DIRECCION";#N/A,#N/A,TRUE,"RESUMEN"}</definedName>
    <definedName name="DGFGGHF_2" hidden="1">{#N/A,#N/A,TRUE,"INGENIERIA";#N/A,#N/A,TRUE,"COMPRAS";#N/A,#N/A,TRUE,"DIRECCION";#N/A,#N/A,TRUE,"RESUMEN"}</definedName>
    <definedName name="DGFR" localSheetId="1" hidden="1">{#N/A,#N/A,TRUE,"1842CWN0"}</definedName>
    <definedName name="DGFR" hidden="1">{#N/A,#N/A,TRUE,"1842CWN0"}</definedName>
    <definedName name="DGFR_1" localSheetId="1" hidden="1">{#N/A,#N/A,TRUE,"1842CWN0"}</definedName>
    <definedName name="DGFR_1" hidden="1">{#N/A,#N/A,TRUE,"1842CWN0"}</definedName>
    <definedName name="DGFR_2" localSheetId="1" hidden="1">{#N/A,#N/A,TRUE,"1842CWN0"}</definedName>
    <definedName name="DGFR_2" hidden="1">{#N/A,#N/A,TRUE,"1842CWN0"}</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localSheetId="1" hidden="1">{#N/A,#N/A,TRUE,"INGENIERIA";#N/A,#N/A,TRUE,"COMPRAS";#N/A,#N/A,TRUE,"DIRECCION";#N/A,#N/A,TRUE,"RESUMEN"}</definedName>
    <definedName name="DGGGHHJT" hidden="1">{#N/A,#N/A,TRUE,"INGENIERIA";#N/A,#N/A,TRUE,"COMPRAS";#N/A,#N/A,TRUE,"DIRECCION";#N/A,#N/A,TRUE,"RESUMEN"}</definedName>
    <definedName name="DGGGHHJT_1" localSheetId="1" hidden="1">{#N/A,#N/A,TRUE,"INGENIERIA";#N/A,#N/A,TRUE,"COMPRAS";#N/A,#N/A,TRUE,"DIRECCION";#N/A,#N/A,TRUE,"RESUMEN"}</definedName>
    <definedName name="DGGGHHJT_1" hidden="1">{#N/A,#N/A,TRUE,"INGENIERIA";#N/A,#N/A,TRUE,"COMPRAS";#N/A,#N/A,TRUE,"DIRECCION";#N/A,#N/A,TRUE,"RESUMEN"}</definedName>
    <definedName name="DGGGHHJT_2" localSheetId="1" hidden="1">{#N/A,#N/A,TRUE,"INGENIERIA";#N/A,#N/A,TRUE,"COMPRAS";#N/A,#N/A,TRUE,"DIRECCION";#N/A,#N/A,TRUE,"RESUMEN"}</definedName>
    <definedName name="DGGGHHJT_2" hidden="1">{#N/A,#N/A,TRUE,"INGENIERIA";#N/A,#N/A,TRUE,"COMPRAS";#N/A,#N/A,TRUE,"DIRECCION";#N/A,#N/A,TRUE,"RESUMEN"}</definedName>
    <definedName name="dghf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RR" localSheetId="1" hidden="1">{#N/A,#N/A,TRUE,"INGENIERIA";#N/A,#N/A,TRUE,"COMPRAS";#N/A,#N/A,TRUE,"DIRECCION";#N/A,#N/A,TRUE,"RESUMEN"}</definedName>
    <definedName name="DGRR" hidden="1">{#N/A,#N/A,TRUE,"INGENIERIA";#N/A,#N/A,TRUE,"COMPRAS";#N/A,#N/A,TRUE,"DIRECCION";#N/A,#N/A,TRUE,"RESUMEN"}</definedName>
    <definedName name="DGRR_1" localSheetId="1" hidden="1">{#N/A,#N/A,TRUE,"INGENIERIA";#N/A,#N/A,TRUE,"COMPRAS";#N/A,#N/A,TRUE,"DIRECCION";#N/A,#N/A,TRUE,"RESUMEN"}</definedName>
    <definedName name="DGRR_1" hidden="1">{#N/A,#N/A,TRUE,"INGENIERIA";#N/A,#N/A,TRUE,"COMPRAS";#N/A,#N/A,TRUE,"DIRECCION";#N/A,#N/A,TRUE,"RESUMEN"}</definedName>
    <definedName name="DGRR_2" localSheetId="1" hidden="1">{#N/A,#N/A,TRUE,"INGENIERIA";#N/A,#N/A,TRUE,"COMPRAS";#N/A,#N/A,TRUE,"DIRECCION";#N/A,#N/A,TRUE,"RESUMEN"}</definedName>
    <definedName name="DGRR_2" hidden="1">{#N/A,#N/A,TRUE,"INGENIERIA";#N/A,#N/A,TRUE,"COMPRAS";#N/A,#N/A,TRUE,"DIRECCION";#N/A,#N/A,TRUE,"RESUMEN"}</definedName>
    <definedName name="dgv">'[16]ITEMS DEF'!$B$6:$E$93</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hp">#REF!</definedName>
    <definedName name="DI">#REF!</definedName>
    <definedName name="DIA">#REF!</definedName>
    <definedName name="día">#REF!</definedName>
    <definedName name="DIAME">#REF!</definedName>
    <definedName name="diametros">#REF!</definedName>
    <definedName name="Diámetros">#REF!</definedName>
    <definedName name="DiametrosCodos">#REF!</definedName>
    <definedName name="DIANA">#REF!</definedName>
    <definedName name="Director_de_obra">[6]CUADRILLAS!$B$16</definedName>
    <definedName name="Disco_abrasivo_corte_de_metal_14">[6]Insumos!$D$35</definedName>
    <definedName name="DISCORT">#REF!</definedName>
    <definedName name="DISCORTE">#REF!</definedName>
    <definedName name="DISOLV">#REF!</definedName>
    <definedName name="DISOLVENTE_PINTURA">#REF!</definedName>
    <definedName name="DIST_BORDILLO_GRANADA">[10]DISTANCIAS!#REF!</definedName>
    <definedName name="DIST_BORDILLO_MARINILLA">[10]DISTANCIAS!#REF!</definedName>
    <definedName name="DIST_BORDILLO_SANCARLOS">[10]DISTANCIAS!#REF!</definedName>
    <definedName name="DIST_BORDILLO_STODOMINGO">[10]DISTANCIAS!#REF!</definedName>
    <definedName name="DISTANCIA_A_SITIO_DE_BOTADA__KM__BETANIA">[10]DISTANCIAS!$B$6</definedName>
    <definedName name="DISTANCIA_A_SITIO_DE_BOTADA__KM__HISPANIA">[10]DISTANCIAS!$B$10</definedName>
    <definedName name="DISTANCIA_A_SITIO_DE_BOTADA__KM__SALGAR">[10]DISTANCIAS!$B$12</definedName>
    <definedName name="DISTANCIA_A_SITIO_DE_CANTERA__KM__BETANIA">[10]DISTANCIAS!$B$7</definedName>
    <definedName name="DISTANCIA_A_SITIO_DE_CANTERA__KM__CIUDAD_BOLÍVAR">[10]DISTANCIAS!$B$9</definedName>
    <definedName name="DISTANCIA_A_SITIO_DE_CANTERA__KM__HISPANIA">[10]DISTANCIAS!$B$11</definedName>
    <definedName name="DISTANCIA_A_SITIO_DE_CANTERA__KM__SALGAR">[10]DISTANCIAS!$B$13</definedName>
    <definedName name="DISTANCIA_BORDILLO__KM__BETANIA">[10]DISTANCIAS!$B$15</definedName>
    <definedName name="DISTANCIA_BORDILLO__KM__CIUDAD_BOLIVAR">[10]DISTANCIAS!$B$16</definedName>
    <definedName name="DISTANCIA_BORDILLO__KM__HISPANIA">[10]DISTANCIAS!$B$17</definedName>
    <definedName name="DISTANCIA_BORDILLO__KM__SALGAR">[10]DISTANCIAS!$B$18</definedName>
    <definedName name="DISTRIBUCION" localSheetId="1"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K">#REF!</definedName>
    <definedName name="DL">#REF!</definedName>
    <definedName name="DM">#REF!</definedName>
    <definedName name="DN">#REF!</definedName>
    <definedName name="DO">#REF!</definedName>
    <definedName name="Domiciliaria">#REF!</definedName>
    <definedName name="dos">#REF!</definedName>
    <definedName name="DP">#REF!</definedName>
    <definedName name="DQ">#REF!</definedName>
    <definedName name="dr">#REF!</definedName>
    <definedName name="dren4">#REF!</definedName>
    <definedName name="dry" localSheetId="1" hidden="1">{"via1",#N/A,TRUE,"general";"via2",#N/A,TRUE,"general";"via3",#N/A,TRUE,"general"}</definedName>
    <definedName name="dry" hidden="1">{"via1",#N/A,TRUE,"general";"via2",#N/A,TRUE,"general";"via3",#N/A,TRUE,"general"}</definedName>
    <definedName name="DS">#REF!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DSDSD" hidden="1">{"TAB1",#N/A,TRUE,"GENERAL";"TAB2",#N/A,TRUE,"GENERAL";"TAB3",#N/A,TRUE,"GENERAL";"TAB4",#N/A,TRUE,"GENERAL";"TAB5",#N/A,TRUE,"GENERAL"}</definedName>
    <definedName name="dsdsdsdsddsddsdddsdsdsdsdsdsdsdsdsdsdsdsds" hidden="1">'[17]46W9'!#REF!</definedName>
    <definedName name="DSDSSDSDF" hidden="1">{#N/A,#N/A,FALSE,"GRAFICO";#N/A,#N/A,FALSE,"CAJA (2)";#N/A,#N/A,FALSE,"TERCEROS-PROMEDIO";#N/A,#N/A,FALSE,"CAJA";#N/A,#N/A,FALSE,"INGRESOS1995-2003";#N/A,#N/A,FALSE,"GASTOS1995-2003"}</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hidden="1">{"via1",#N/A,TRUE,"general";"via2",#N/A,TRUE,"general";"via3",#N/A,TRUE,"general"}</definedName>
    <definedName name="DU">#REF!</definedName>
    <definedName name="DUCTO">#REF!</definedName>
    <definedName name="duracion">[6]Hoja1!$B$13</definedName>
    <definedName name="DV">#REF!</definedName>
    <definedName name="DW">#REF!</definedName>
    <definedName name="DWPRICE" hidden="1">#REF!</definedName>
    <definedName name="DX">#REF!</definedName>
    <definedName name="dxfgg" localSheetId="1" hidden="1">{"via1",#N/A,TRUE,"general";"via2",#N/A,TRUE,"general";"via3",#N/A,TRUE,"general"}</definedName>
    <definedName name="dxfgg" hidden="1">{"via1",#N/A,TRUE,"general";"via2",#N/A,TRUE,"general";"via3",#N/A,TRUE,"general"}</definedName>
    <definedName name="DY">#REF!</definedName>
    <definedName name="DZ">#REF!</definedName>
    <definedName name="E">#REF!</definedName>
    <definedName name="e3e33" localSheetId="1" hidden="1">{"via1",#N/A,TRUE,"general";"via2",#N/A,TRUE,"general";"via3",#N/A,TRUE,"general"}</definedName>
    <definedName name="e3e33" hidden="1">{"via1",#N/A,TRUE,"general";"via2",#N/A,TRUE,"general";"via3",#N/A,TRUE,"general"}</definedName>
    <definedName name="EA">#REF!</definedName>
    <definedName name="EB">#REF!</definedName>
    <definedName name="Ebitda" localSheetId="1"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#REF!</definedName>
    <definedName name="ED">#REF!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#REF!</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 hidden="1">{"PYGT",#N/A,FALSE,"PYG";"ACTIT",#N/A,FALSE,"BCE_GRAL-ACTIVO";"PASIT",#N/A,FALSE,"BCE_GRAL-PASIVO-PATRIM";"CAJAT",#N/A,FALSE,"CAJA"}</definedName>
    <definedName name="EEEEE"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FDD" hidden="1">{#N/A,#N/A,FALSE,"GRAFICO";#N/A,#N/A,FALSE,"CAJA (2)";#N/A,#N/A,FALSE,"TERCEROS-PROMEDIO";#N/A,#N/A,FALSE,"CAJA";#N/A,#N/A,FALSE,"INGRESOS1995-2003";#N/A,#N/A,FALSE,"GASTOS1995-2003"}</definedName>
    <definedName name="eeerfd" localSheetId="1"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#REF!</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I">#REF!</definedName>
    <definedName name="EJ">#REF!</definedName>
    <definedName name="EK">#REF!</definedName>
    <definedName name="EL">#REF!</definedName>
    <definedName name="electricosAPUS">#REF!</definedName>
    <definedName name="ELENOVCAM11">#REF!</definedName>
    <definedName name="ELENOVCAM15">#REF!</definedName>
    <definedName name="EM">#REF!</definedName>
    <definedName name="EMPAQ">#REF!</definedName>
    <definedName name="EMPAQ15">#REF!</definedName>
    <definedName name="emul">#REF!</definedName>
    <definedName name="EN">#REF!</definedName>
    <definedName name="ENCHAPECERAMICO_PARED">#REF!</definedName>
    <definedName name="Ene">#REF!</definedName>
    <definedName name="Ene_C">#REF!</definedName>
    <definedName name="EneFeb">#REF!</definedName>
    <definedName name="ENSAY">#REF!</definedName>
    <definedName name="ENTIDADES">[9]ENTIDADES!$A$6:$A$130</definedName>
    <definedName name="EO">#REF!</definedName>
    <definedName name="EP">#REF!</definedName>
    <definedName name="EQ">#REF!</definedName>
    <definedName name="EQPL">#REF!</definedName>
    <definedName name="EQSOLD">#REF!</definedName>
    <definedName name="EQSOLDAR">#REF!</definedName>
    <definedName name="eqw" localSheetId="1"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D" hidden="1">{#N/A,#N/A,FALSE,"GRAFICO";#N/A,#N/A,FALSE,"CAJA (2)";#N/A,#N/A,FALSE,"TERCEROS-PROMEDIO";#N/A,#N/A,FALSE,"CAJA";#N/A,#N/A,FALSE,"INGRESOS1995-2003";#N/A,#N/A,FALSE,"GASTOS1995-2003"}</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#REF!</definedName>
    <definedName name="ESCA1000">#REF!</definedName>
    <definedName name="ESCALON">#REF!</definedName>
    <definedName name="ESCENARIO" localSheetId="1"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MALT">#REF!</definedName>
    <definedName name="ESMALTE3_1_ANTICORRO">#REF!</definedName>
    <definedName name="Esp_PC">#REF!</definedName>
    <definedName name="ESPA25">#REF!</definedName>
    <definedName name="ESPA251">#REF!</definedName>
    <definedName name="ESPA257">#REF!</definedName>
    <definedName name="ESTAC">#REF!</definedName>
    <definedName name="ESTACION">#REF!</definedName>
    <definedName name="Estación">#REF!</definedName>
    <definedName name="ESTADO">#REF!</definedName>
    <definedName name="ESTADO_ACUEDUCTO">#REF!</definedName>
    <definedName name="ESTADO_ALCANTARILLADO">#REF!</definedName>
    <definedName name="Estadocamara">#REF!</definedName>
    <definedName name="estadotramite">#REF!</definedName>
    <definedName name="ESTATOT">#REF!</definedName>
    <definedName name="este" localSheetId="1" hidden="1">{"PYGT",#N/A,FALSE,"PYG";"ACTIT",#N/A,FALSE,"BCE_GRAL-ACTIVO";"PASIT",#N/A,FALSE,"BCE_GRAL-PASIVO-PATRIM";"CAJAT",#N/A,FALSE,"CAJA"}</definedName>
    <definedName name="este" hidden="1">{"PYGT",#N/A,FALSE,"PYG";"ACTIT",#N/A,FALSE,"BCE_GRAL-ACTIVO";"PASIT",#N/A,FALSE,"BCE_GRAL-PASIVO-PATRIM";"CAJAT",#N/A,FALSE,"CAJA"}</definedName>
    <definedName name="ESTEWW" localSheetId="1"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OP">#REF!</definedName>
    <definedName name="estre" localSheetId="1"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1" hidden="1">{#N/A,#N/A,TRUE,"INGENIERIA";#N/A,#N/A,TRUE,"COMPRAS";#N/A,#N/A,TRUE,"DIRECCION";#N/A,#N/A,TRUE,"RESUMEN"}</definedName>
    <definedName name="ESTRUCTURA" hidden="1">{#N/A,#N/A,TRUE,"INGENIERIA";#N/A,#N/A,TRUE,"COMPRAS";#N/A,#N/A,TRUE,"DIRECCION";#N/A,#N/A,TRUE,"RESUMEN"}</definedName>
    <definedName name="ESTRUCTURA_1" localSheetId="1" hidden="1">{#N/A,#N/A,TRUE,"INGENIERIA";#N/A,#N/A,TRUE,"COMPRAS";#N/A,#N/A,TRUE,"DIRECCION";#N/A,#N/A,TRUE,"RESUMEN"}</definedName>
    <definedName name="ESTRUCTURA_1" hidden="1">{#N/A,#N/A,TRUE,"INGENIERIA";#N/A,#N/A,TRUE,"COMPRAS";#N/A,#N/A,TRUE,"DIRECCION";#N/A,#N/A,TRUE,"RESUMEN"}</definedName>
    <definedName name="ESTRUCTURA_2" localSheetId="1" hidden="1">{#N/A,#N/A,TRUE,"INGENIERIA";#N/A,#N/A,TRUE,"COMPRAS";#N/A,#N/A,TRUE,"DIRECCION";#N/A,#N/A,TRUE,"RESUMEN"}</definedName>
    <definedName name="ESTRUCTURA_2" hidden="1">{#N/A,#N/A,TRUE,"INGENIERIA";#N/A,#N/A,TRUE,"COMPRAS";#N/A,#N/A,TRUE,"DIRECCION";#N/A,#N/A,TRUE,"RESUMEN"}</definedName>
    <definedName name="ET">#REF!</definedName>
    <definedName name="ETER810">#REF!</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#REF!</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c">#REF!</definedName>
    <definedName name="Excel_BuiltIn__FilterDatabase">#REF!</definedName>
    <definedName name="Excel_BuiltIn_Database">#REF!</definedName>
    <definedName name="Excel_BuiltIn_Print_Area">#REF!</definedName>
    <definedName name="Excel_BuiltIn_Print_Area_1_1">#REF!</definedName>
    <definedName name="Excel_BuiltIn_Print_Area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Titles">#REF!</definedName>
    <definedName name="Excentrico">#REF!</definedName>
    <definedName name="Existencia">#REF!</definedName>
    <definedName name="extra">#REF!</definedName>
    <definedName name="EY">#REF!</definedName>
    <definedName name="EZ">#REF!</definedName>
    <definedName name="FA">#REF!</definedName>
    <definedName name="FAC" hidden="1">#REF!</definedName>
    <definedName name="FACT">#REF!</definedName>
    <definedName name="Factor_1.55">#REF!</definedName>
    <definedName name="FACTOR_PRESTACIONAL">#REF!</definedName>
    <definedName name="Factor1.55">#REF!</definedName>
    <definedName name="Factor2.1">#REF!</definedName>
    <definedName name="fafssdfasfd">#REF!</definedName>
    <definedName name="FASFF" hidden="1">{"Parcial",#N/A,FALSE,"GastFuncionamiento";"Parcial2",#N/A,FALSE,"GastFuncionamiento";"Total",#N/A,FALSE,"GastFuncionamiento"}</definedName>
    <definedName name="FB">#REF!</definedName>
    <definedName name="FD">#REF!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FDFDFD" hidden="1">{"via1",#N/A,TRUE,"general";"via2",#N/A,TRUE,"general";"via3",#N/A,TRUE,"general"}</definedName>
    <definedName name="FDFDSF" hidden="1">{#N/A,#N/A,FALSE,"GRAFICO";#N/A,#N/A,FALSE,"CAJA (2)";#N/A,#N/A,FALSE,"TERCEROS-PROMEDIO";#N/A,#N/A,FALSE,"CAJA";#N/A,#N/A,FALSE,"INGRESOS1995-2003";#N/A,#N/A,FALSE,"GASTOS1995-2003"}</definedName>
    <definedName name="fdg" localSheetId="1" hidden="1">{"via1",#N/A,TRUE,"general";"via2",#N/A,TRUE,"general";"via3",#N/A,TRUE,"general"}</definedName>
    <definedName name="fdg" hidden="1">{"via1",#N/A,TRUE,"general";"via2",#N/A,TRUE,"general";"via3",#N/A,TRUE,"general"}</definedName>
    <definedName name="FDGASDFASD">#REF!</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DDGD" hidden="1">{#N/A,#N/A,FALSE,"Aging Summary";#N/A,#N/A,FALSE,"Ratio Analysis";#N/A,#N/A,FALSE,"Test 120 Day Accts";#N/A,#N/A,FALSE,"Tickmarks"}</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#REF!</definedName>
    <definedName name="Feb">#REF!</definedName>
    <definedName name="Feb_C">#REF!</definedName>
    <definedName name="FECHA">#REF!</definedName>
    <definedName name="FECHA_ELABORACION">#REF!</definedName>
    <definedName name="FECHA_ELABORACIÓN">#REF!</definedName>
    <definedName name="ferfer" localSheetId="1" hidden="1">{"via1",#N/A,TRUE,"general";"via2",#N/A,TRUE,"general";"via3",#N/A,TRUE,"general"}</definedName>
    <definedName name="ferfer" hidden="1">{"via1",#N/A,TRUE,"general";"via2",#N/A,TRUE,"general";"via3",#N/A,TRUE,"general"}</definedName>
    <definedName name="FFDFDFDAAAA"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fff" localSheetId="1" hidden="1">{"via1",#N/A,TRUE,"general";"via2",#N/A,TRUE,"general";"via3",#N/A,TRUE,"general"}</definedName>
    <definedName name="fff" hidden="1">{"via1",#N/A,TRUE,"general";"via2",#N/A,TRUE,"general";"via3",#N/A,TRUE,"general"}</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d" localSheetId="1" hidden="1">{"via1",#N/A,TRUE,"general";"via2",#N/A,TRUE,"general";"via3",#N/A,TRUE,"general"}</definedName>
    <definedName name="ffffd" hidden="1">{"via1",#N/A,TRUE,"general";"via2",#N/A,TRUE,"general";"via3",#N/A,TRUE,"general"}</definedName>
    <definedName name="FFFFF" hidden="1">{"PYGT",#N/A,FALSE,"PYG";"ACTIT",#N/A,FALSE,"BCE_GRAL-ACTIVO";"PASIT",#N/A,FALSE,"BCE_GRAL-PASIVO-PATRIM";"CAJAT",#N/A,FALSE,"CAJA"}</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#REF!</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G" hidden="1">{"PYGT",#N/A,FALSE,"PYG";"ACTIT",#N/A,FALSE,"BCE_GRAL-ACTIVO";"PASIT",#N/A,FALSE,"BCE_GRAL-PASIVO-PATRIM";"CAJAT",#N/A,FALSE,"CAJA"}</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_1" localSheetId="1" hidden="1">{#N/A,#N/A,TRUE,"1842CWN0"}</definedName>
    <definedName name="fhg_1" hidden="1">{#N/A,#N/A,TRUE,"1842CWN0"}</definedName>
    <definedName name="fhg_2" localSheetId="1" hidden="1">{#N/A,#N/A,TRUE,"1842CWN0"}</definedName>
    <definedName name="fhg_2" hidden="1">{#N/A,#N/A,TRUE,"1842CWN0"}</definedName>
    <definedName name="fhgh" localSheetId="1" hidden="1">{"via1",#N/A,TRUE,"general";"via2",#N/A,TRUE,"general";"via3",#N/A,TRUE,"general"}</definedName>
    <definedName name="fhgh" hidden="1">{"via1",#N/A,TRUE,"general";"via2",#N/A,TRUE,"general";"via3",#N/A,TRUE,"general"}</definedName>
    <definedName name="FHHGHG" hidden="1">{#N/A,#N/A,FALSE,"GRAFICO";#N/A,#N/A,FALSE,"CAJA (2)";#N/A,#N/A,FALSE,"TERCEROS-PROMEDIO";#N/A,#N/A,FALSE,"CAJA";#N/A,#N/A,FALSE,"INGRESOS1995-2003";#N/A,#N/A,FALSE,"GASTOS1995-2003"}</definedName>
    <definedName name="fhpltyunh" localSheetId="1" hidden="1">{"via1",#N/A,TRUE,"general";"via2",#N/A,TRUE,"general";"via3",#N/A,TRUE,"general"}</definedName>
    <definedName name="fhpltyunh" hidden="1">{"via1",#N/A,TRUE,"general";"via2",#N/A,TRUE,"general";"via3",#N/A,TRUE,"general"}</definedName>
    <definedName name="fi">#REF!</definedName>
    <definedName name="FIBRAPROP">#REF!</definedName>
    <definedName name="FIDUCIASOCTUBRE" localSheetId="1" hidden="1">{#N/A,#N/A,FALSE,"Aging Summary";#N/A,#N/A,FALSE,"Ratio Analysis";#N/A,#N/A,FALSE,"Test 120 Day Accts";#N/A,#N/A,FALSE,"Tickmarks"}</definedName>
    <definedName name="FIDUCIASOCTUBRE" hidden="1">{#N/A,#N/A,FALSE,"Aging Summary";#N/A,#N/A,FALSE,"Ratio Analysis";#N/A,#N/A,FALSE,"Test 120 Day Accts";#N/A,#N/A,FALSE,"Tickmarks"}</definedName>
    <definedName name="FIELT">#REF!</definedName>
    <definedName name="filt">#REF!</definedName>
    <definedName name="FILTRANTES">#REF!</definedName>
    <definedName name="final">#REF!</definedName>
    <definedName name="FINI">#REF!</definedName>
    <definedName name="FJ">#REF!</definedName>
    <definedName name="FK">#REF!</definedName>
    <definedName name="fkdfkdfj">#REF!</definedName>
    <definedName name="FL">#REF!</definedName>
    <definedName name="Flasher_luminoso_para_barricadas">[6]Insumos!$D$45</definedName>
    <definedName name="FLETE20KM">#REF!</definedName>
    <definedName name="FLETEMAT">#REF!</definedName>
    <definedName name="FLUID">#REF!</definedName>
    <definedName name="FM">#REF!</definedName>
    <definedName name="FN">#REF!</definedName>
    <definedName name="FO">#REF!</definedName>
    <definedName name="FORCUE">#REF!</definedName>
    <definedName name="form">#REF!</definedName>
    <definedName name="FORM3">#REF!</definedName>
    <definedName name="FORMA">#REF!</definedName>
    <definedName name="FORMAC">#REF!</definedName>
    <definedName name="FORMALE">#REF!</definedName>
    <definedName name="formaleta_madera">'[6]Equipo y transporte'!$D$14</definedName>
    <definedName name="FORMALETALOSA_FONDO_010_020_TABLA">#REF!</definedName>
    <definedName name="FORMALETALOSA_FONDO_020_040_TELERA">#REF!</definedName>
    <definedName name="FORMALETAMURO_015_030_ALTURA1">#REF!</definedName>
    <definedName name="FORMALETAMURO_015_030_ALTURA250">#REF!</definedName>
    <definedName name="FORMALETAMURO_020_040_ALTURA3">#REF!</definedName>
    <definedName name="FORMALETAMURO_020_040_ALTURA6m_andamios">#REF!</definedName>
    <definedName name="FORMAME">#REF!</definedName>
    <definedName name="FORMATO_5">#REF!</definedName>
    <definedName name="FORMC">#REF!</definedName>
    <definedName name="FORMC15">#REF!</definedName>
    <definedName name="FORMCON">#REF!</definedName>
    <definedName name="FORMCUELL">#REF!</definedName>
    <definedName name="FORMH">#REF!</definedName>
    <definedName name="FORMH1">#REF!</definedName>
    <definedName name="FORMH15">#REF!</definedName>
    <definedName name="FORMM">#REF!</definedName>
    <definedName name="FORMSUM">#REF!</definedName>
    <definedName name="Formulario">+#REF!</definedName>
    <definedName name="formularioCantidades">#REF!</definedName>
    <definedName name="FP">#REF!</definedName>
    <definedName name="FPrestacional">#REF!+#REF!</definedName>
    <definedName name="FQ">#REF!</definedName>
    <definedName name="FR">#REF!</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EV" localSheetId="1" hidden="1">{"PYGT",#N/A,FALSE,"PYG";"ACTIT",#N/A,FALSE,"BCE_GRAL-ACTIVO";"PASIT",#N/A,FALSE,"BCE_GRAL-PASIVO-PATRIM";"CAJAT",#N/A,FALSE,"CAJA"}</definedName>
    <definedName name="FREV" hidden="1">{"PYGT",#N/A,FALSE,"PYG";"ACTIT",#N/A,FALSE,"BCE_GRAL-ACTIVO";"PASIT",#N/A,FALSE,"BCE_GRAL-PASIVO-PATRIM";"CAJAT",#N/A,FALSE,"CAJA"}</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#REF!</definedName>
    <definedName name="FSFSFSDF" hidden="1">{#N/A,#N/A,FALSE,"GRAFICO";#N/A,#N/A,FALSE,"CAJA (2)";#N/A,#N/A,FALSE,"TERCEROS-PROMEDIO";#N/A,#N/A,FALSE,"CAJA";#N/A,#N/A,FALSE,"INGRESOS1995-2003";#N/A,#N/A,FALSE,"GASTOS1995-2003"}</definedName>
    <definedName name="FSFSFSFSDFSDF"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FT">#REF!</definedName>
    <definedName name="FU">#REF!</definedName>
    <definedName name="fue">#REF!</definedName>
    <definedName name="FV">#REF!</definedName>
    <definedName name="FW">#REF!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X">#REF!</definedName>
    <definedName name="FY">#REF!</definedName>
    <definedName name="FZ">#REF!</definedName>
    <definedName name="g">#REF!</definedName>
    <definedName name="GA">#REF!</definedName>
    <definedName name="GASO">#REF!</definedName>
    <definedName name="Gastos" localSheetId="1"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#REF!</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g" localSheetId="1" hidden="1">{"via1",#N/A,TRUE,"general";"via2",#N/A,TRUE,"general";"via3",#N/A,TRUE,"general"}</definedName>
    <definedName name="geg" hidden="1">{"via1",#N/A,TRUE,"general";"via2",#N/A,TRUE,"general";"via3",#N/A,TRUE,"general"}</definedName>
    <definedName name="geo">#REF!</definedName>
    <definedName name="geodren">#REF!</definedName>
    <definedName name="geomalla">#REF!</definedName>
    <definedName name="GEOT">#REF!</definedName>
    <definedName name="GEOT25">#REF!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GHFHGHGH" hidden="1">{"PYGT",#N/A,FALSE,"PYG";"ACTIT",#N/A,FALSE,"BCE_GRAL-ACTIVO";"PASIT",#N/A,FALSE,"BCE_GRAL-PASIVO-PATRIM";"CAJAT",#N/A,FALSE,"CAJA"}</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HHGH" hidden="1">{#N/A,#N/A,FALSE,"GRAFICO";#N/A,#N/A,FALSE,"CAJA (2)";#N/A,#N/A,FALSE,"TERCEROS-PROMEDIO";#N/A,#N/A,FALSE,"CAJA";#N/A,#N/A,FALSE,"INGRESOS1995-2003";#N/A,#N/A,FALSE,"GASTOS1995-2003"}</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HGHGH" hidden="1">{#N/A,#N/A,FALSE,"GRAFICO";#N/A,#N/A,FALSE,"CAJA (2)";#N/A,#N/A,FALSE,"TERCEROS-PROMEDIO";#N/A,#N/A,FALSE,"CAJA";#N/A,#N/A,FALSE,"INGRESOS1995-2003";#N/A,#N/A,FALSE,"GASTOS1995-2003"}</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I">#REF!</definedName>
    <definedName name="giova">#REF!</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L">#REF!</definedName>
    <definedName name="GM">#REF!</definedName>
    <definedName name="gmvsa">#REF!</definedName>
    <definedName name="GN">#REF!</definedName>
    <definedName name="GO">#REF!</definedName>
    <definedName name="GP">#REF!</definedName>
    <definedName name="GPS">#REF!</definedName>
    <definedName name="GQ">#REF!</definedName>
    <definedName name="G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MA">#REF!</definedName>
    <definedName name="GRAP">#REF!</definedName>
    <definedName name="grapas">#REF!</definedName>
    <definedName name="GRAV2">#REF!</definedName>
    <definedName name="GRAV3">#REF!</definedName>
    <definedName name="GRAV4">#REF!</definedName>
    <definedName name="Grava">[6]Insumos!$D$27</definedName>
    <definedName name="GRAVILLA">#REF!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IFDUC">#REF!</definedName>
    <definedName name="GRIFERIA">#REF!</definedName>
    <definedName name="GRIFERIA_DUCHA">#REF!</definedName>
    <definedName name="GRIFERIA_LAVAPLATOS">#REF!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HHG" hidden="1">{#N/A,#N/A,FALSE,"Aging Summary";#N/A,#N/A,FALSE,"Ratio Analysis";#N/A,#N/A,FALSE,"Test 120 Day Accts";#N/A,#N/A,FALSE,"Tickmarks"}</definedName>
    <definedName name="GU">#REF!</definedName>
    <definedName name="GUADAÑ">#REF!</definedName>
    <definedName name="guia">#REF!</definedName>
    <definedName name="GV">#REF!</definedName>
    <definedName name="GW">#REF!</definedName>
    <definedName name="GX">#REF!</definedName>
    <definedName name="GY">#REF!</definedName>
    <definedName name="GZ">#REF!</definedName>
    <definedName name="H">#REF!</definedName>
    <definedName name="h75mh">#REF!</definedName>
    <definedName name="h9h" localSheetId="1" hidden="1">{"via1",#N/A,TRUE,"general";"via2",#N/A,TRUE,"general";"via3",#N/A,TRUE,"general"}</definedName>
    <definedName name="h9h" hidden="1">{"via1",#N/A,TRUE,"general";"via2",#N/A,TRUE,"general";"via3",#N/A,TRUE,"general"}</definedName>
    <definedName name="HA">#REF!</definedName>
    <definedName name="HABITANTES">#REF!</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B">#REF!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78MH">#REF!</definedName>
    <definedName name="HD">#REF!</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#REF!</definedName>
    <definedName name="HERRCAJA">#REF!</definedName>
    <definedName name="HF">#REF!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GH" hidden="1">{"'PACÍFICO12'!$A$1:$E$6"}</definedName>
    <definedName name="HGHGHG" hidden="1">{"PYGT",#N/A,FALSE,"PYG";"ACTIT",#N/A,FALSE,"BCE_GRAL-ACTIVO";"PASIT",#N/A,FALSE,"BCE_GRAL-PASIVO-PATRIM";"CAJAT",#N/A,FALSE,"CAJA"}</definedName>
    <definedName name="HGHGHGH" hidden="1">{"PYGT",#N/A,FALSE,"PYG";"ACTIT",#N/A,FALSE,"BCE_GRAL-ACTIVO";"PASIT",#N/A,FALSE,"BCE_GRAL-PASIVO-PATRIM";"CAJAT",#N/A,FALSE,"CAJA"}</definedName>
    <definedName name="HGHGHJGJJJ" hidden="1">{"PYGT",#N/A,FALSE,"PYG";"ACTIT",#N/A,FALSE,"BCE_GRAL-ACTIVO";"PASIT",#N/A,FALSE,"BCE_GRAL-PASIVO-PATRIM";"CAJAT",#N/A,FALSE,"CAJA"}</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hidden="1">'[17]46W9'!#REF!</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#REF!</definedName>
    <definedName name="Hid">#REF!</definedName>
    <definedName name="HIDRO4">#REF!</definedName>
    <definedName name="HIDRO6">#REF!</definedName>
    <definedName name="HIDRO8">#REF!</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#REF!</definedName>
    <definedName name="hkjhjkhkhk">#REF!</definedName>
    <definedName name="HL">#REF!</definedName>
    <definedName name="HM">#REF!</definedName>
    <definedName name="HM3EB">#REF!</definedName>
    <definedName name="HM3JH">#REF!</definedName>
    <definedName name="HMHF3">#REF!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#REF!</definedName>
    <definedName name="hoha" localSheetId="1" hidden="1">{"PYGT",#N/A,FALSE,"PYG";"ACTIT",#N/A,FALSE,"BCE_GRAL-ACTIVO";"PASIT",#N/A,FALSE,"BCE_GRAL-PASIVO-PATRIM";"CAJAT",#N/A,FALSE,"CAJA"}</definedName>
    <definedName name="hoha" hidden="1">{"PYGT",#N/A,FALSE,"PYG";"ACTIT",#N/A,FALSE,"BCE_GRAL-ACTIVO";"PASIT",#N/A,FALSE,"BCE_GRAL-PASIVO-PATRIM";"CAJAT",#N/A,FALSE,"CAJA"}</definedName>
    <definedName name="horat">#REF!</definedName>
    <definedName name="HP">#REF!</definedName>
    <definedName name="HQ">#REF!</definedName>
    <definedName name="HR">#REF!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#REF!</definedName>
    <definedName name="HT75MH">#REF!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H">#REF!</definedName>
    <definedName name="HTML_CodePage" hidden="1">1252</definedName>
    <definedName name="HTML_Control" localSheetId="1" hidden="1">{"'PACÍFICO12'!$A$1:$E$6"}</definedName>
    <definedName name="HTML_Control" hidden="1">{"'PACÍFICO12'!$A$1:$E$6"}</definedName>
    <definedName name="HTML_Control2" hidden="1">{"'Parámetros'!$A$3:$C$3"}</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3" hidden="1">TRUE</definedName>
    <definedName name="HTML_OBDlg4" hidden="1">TRUE</definedName>
    <definedName name="HTML_OS" hidden="1">0</definedName>
    <definedName name="HTML_PathFile" hidden="1">"\\Sap1002264\c\COMPAQ\HTML.htm"</definedName>
    <definedName name="HTML_PathTemplate" hidden="1">"C:\Verificacion\&lt;!--##Table##--&gt;"</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U">#REF!</definedName>
    <definedName name="HV">#REF!</definedName>
    <definedName name="HW">#REF!</definedName>
    <definedName name="HX">#REF!</definedName>
    <definedName name="HY">#REF!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irs" localSheetId="1" hidden="1">{"via1",#N/A,TRUE,"general";"via2",#N/A,TRUE,"general";"via3",#N/A,TRUE,"general"}</definedName>
    <definedName name="hytirs" hidden="1">{"via1",#N/A,TRUE,"general";"via2",#N/A,TRUE,"general";"via3",#N/A,TRUE,"general"}</definedName>
    <definedName name="hyy">#REF!</definedName>
    <definedName name="HZ">#REF!</definedName>
    <definedName name="I" localSheetId="1" hidden="1">{"PYGT",#N/A,FALSE,"PYG";"ACTIT",#N/A,FALSE,"BCE_GRAL-ACTIVO";"PASIT",#N/A,FALSE,"BCE_GRAL-PASIVO-PATRIM";"CAJAT",#N/A,FALSE,"CAJA"}</definedName>
    <definedName name="I" hidden="1">{"PYGT",#N/A,FALSE,"PYG";"ACTIT",#N/A,FALSE,"BCE_GRAL-ACTIVO";"PASIT",#N/A,FALSE,"BCE_GRAL-PASIVO-PATRIM";"CAJAT",#N/A,FALSE,"CAJA"}</definedName>
    <definedName name="I21b55">#REF!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A">#REF!</definedName>
    <definedName name="IB">#REF!</definedName>
    <definedName name="IC">#REF!</definedName>
    <definedName name="ID">#REF!</definedName>
    <definedName name="IE">#REF!</definedName>
    <definedName name="IF">#REF!</definedName>
    <definedName name="IG">#REF!</definedName>
    <definedName name="IGOLDENSO">#REF!</definedName>
    <definedName name="IH">#REF!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J">#REF!</definedName>
    <definedName name="IK">#REF!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 hidden="1">#REF!</definedName>
    <definedName name="IM" hidden="1">#REF!</definedName>
    <definedName name="Impacto">#REF!</definedName>
    <definedName name="IMPER">#REF!</definedName>
    <definedName name="IMPERMEA">#REF!</definedName>
    <definedName name="IMPRE">#REF!</definedName>
    <definedName name="Imprevistos">'[6]A.I.U'!$I$111</definedName>
    <definedName name="IMPRI">#REF!</definedName>
    <definedName name="IN" hidden="1">#REF!</definedName>
    <definedName name="INCLUS">#REF!</definedName>
    <definedName name="indicador">#REF!</definedName>
    <definedName name="inf">#REF!</definedName>
    <definedName name="informe">#REF!</definedName>
    <definedName name="Ingeniero">#REF!</definedName>
    <definedName name="Ingeniero_ambiental">[6]CUADRILLAS!$B$17</definedName>
    <definedName name="Inspector_de_Obra">[6]CUADRILLAS!$B$15</definedName>
    <definedName name="INSU">#REF!</definedName>
    <definedName name="INSUMOS">[18]Insumos!$D$2:$I$457</definedName>
    <definedName name="INSUMOS_ENSAYOS">#REF!</definedName>
    <definedName name="INSUMOS_EQUIPOS">'[9]INSUMOS EQUIPOS'!$A$1:$D$107</definedName>
    <definedName name="INSUMOS_MANO_DE_OBRA">'[9]INSUMOS MANO DE OBRA'!$A$1:$I$63</definedName>
    <definedName name="INSUMOS_MATERIALES">'[9]INSUMOS MATERIALES'!$A$1:$D$528</definedName>
    <definedName name="INSUMOS_SERVICIOS">'[9]INSUMOS SERVICIOS'!$A$1:$D$53</definedName>
    <definedName name="INSUMOS_TRANSPORTES">'[9]INSUMOS TRANSPORTES'!$A$1:$D$47</definedName>
    <definedName name="INSUMOS2">'[13]4.2-Insumos'!$B$7:$H$166</definedName>
    <definedName name="InTap">#REF!</definedName>
    <definedName name="INTERv">#REF!</definedName>
    <definedName name="INTERVENTORIA" hidden="1">[1]G.G!#REF!</definedName>
    <definedName name="interventoria_2" hidden="1">#REF!</definedName>
    <definedName name="IntVal">#REF!</definedName>
    <definedName name="IO">#REF!</definedName>
    <definedName name="IP">#REF!</definedName>
    <definedName name="IQ">#REF!</definedName>
    <definedName name="IR">#REF!</definedName>
    <definedName name="irrigador">#REF!</definedName>
    <definedName name="IS">#REF!</definedName>
    <definedName name="IT">#REF!</definedName>
    <definedName name="ITEM1">#REF!</definedName>
    <definedName name="ITEM2">#REF!</definedName>
    <definedName name="ITEM3">#REF!</definedName>
    <definedName name="ItemCodos">#REF!</definedName>
    <definedName name="Items">[15]Items!$A$2:$D$72</definedName>
    <definedName name="ITEMS_DEF">'[13]ITEMS DEF'!$B$6:$E$91</definedName>
    <definedName name="Iterar">#REF!</definedName>
    <definedName name="IU">#REF!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W">#REF!</definedName>
    <definedName name="IX">#REF!</definedName>
    <definedName name="IY">#REF!</definedName>
    <definedName name="iyuiuyi" localSheetId="1" hidden="1">{"via1",#N/A,TRUE,"general";"via2",#N/A,TRUE,"general";"via3",#N/A,TRUE,"general"}</definedName>
    <definedName name="iyuiuyi" hidden="1">{"via1",#N/A,TRUE,"general";"via2",#N/A,TRUE,"general";"via3",#N/A,TRUE,"general"}</definedName>
    <definedName name="IZ">#REF!</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fjkd">#REF!</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dhdh" hidden="1">[5]Presupuesto_Via_distribuidora!#REF!</definedName>
    <definedName name="JETB3">#REF!</definedName>
    <definedName name="JETB4">#REF!</definedName>
    <definedName name="JETB6">#REF!</definedName>
    <definedName name="JETB8">#REF!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HHHH">#REF!</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Ago">#REF!</definedName>
    <definedName name="JulAgo_C">#REF!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localSheetId="1" hidden="1">{"PYGT",#N/A,FALSE,"PYG";"ACTIT",#N/A,FALSE,"BCE_GRAL-ACTIVO";"PASIT",#N/A,FALSE,"BCE_GRAL-PASIVO-PATRIM";"CAJAT",#N/A,FALSE,"CAJA"}</definedName>
    <definedName name="K" hidden="1">{"PYGT",#N/A,FALSE,"PYG";"ACTIT",#N/A,FALSE,"BCE_GRAL-ACTIVO";"PASIT",#N/A,FALSE,"BCE_GRAL-PASIVO-PATRIM";"CAJAT",#N/A,FALSE,"CAJA"}</definedName>
    <definedName name="KDL" localSheetId="1" hidden="1">{#N/A,#N/A,TRUE,"1842CWN0"}</definedName>
    <definedName name="KDL" hidden="1">{#N/A,#N/A,TRUE,"1842CWN0"}</definedName>
    <definedName name="KDL_1" localSheetId="1" hidden="1">{#N/A,#N/A,TRUE,"1842CWN0"}</definedName>
    <definedName name="KDL_1" hidden="1">{#N/A,#N/A,TRUE,"1842CWN0"}</definedName>
    <definedName name="KDL_2" localSheetId="1" hidden="1">{#N/A,#N/A,TRUE,"1842CWN0"}</definedName>
    <definedName name="KDL_2" hidden="1">{#N/A,#N/A,TRUE,"1842CWN0"}</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1" hidden="1">{"via1",#N/A,TRUE,"general";"via2",#N/A,TRUE,"general";"via3",#N/A,TRUE,"general"}</definedName>
    <definedName name="kikik" hidden="1">{"via1",#N/A,TRUE,"general";"via2",#N/A,TRUE,"general";"via3",#N/A,TRUE,"general"}</definedName>
    <definedName name="KITDES">#REF!</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O" hidden="1">#REF!</definedName>
    <definedName name="krtrk" localSheetId="1" hidden="1">{"via1",#N/A,TRUE,"general";"via2",#N/A,TRUE,"general";"via3",#N/A,TRUE,"general"}</definedName>
    <definedName name="krtrk" hidden="1">{"via1",#N/A,TRUE,"general";"via2",#N/A,TRUE,"general";"via3",#N/A,TRUE,"general"}</definedName>
    <definedName name="KSYP106">#REF!</definedName>
    <definedName name="KSYP126">#REF!</definedName>
    <definedName name="KSYP86">#REF!</definedName>
    <definedName name="KTORESCA">#REF!</definedName>
    <definedName name="KU">#REF!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a">#REF!</definedName>
    <definedName name="LACC34">#REF!</definedName>
    <definedName name="LADRI1520">#REF!</definedName>
    <definedName name="LAMINA_MDF">#REF!</definedName>
    <definedName name="LARGU">#REF!</definedName>
    <definedName name="LARGUE">#REF!</definedName>
    <definedName name="LARGUERO">#REF!</definedName>
    <definedName name="LCONSIS">#REF!</definedName>
    <definedName name="LECHA">#REF!</definedName>
    <definedName name="LECHOS">#REF!</definedName>
    <definedName name="lechosdos">#REF!</definedName>
    <definedName name="Lestrategicas">#REF!</definedName>
    <definedName name="LIGA">#REF!</definedName>
    <definedName name="LIMO_DELAZONA">#REF!</definedName>
    <definedName name="LIMP">#REF!</definedName>
    <definedName name="LIMP14">#REF!</definedName>
    <definedName name="lineas">#REF!</definedName>
    <definedName name="LisaCodSAO">#REF!</definedName>
    <definedName name="lista">#REF!</definedName>
    <definedName name="Listacanti">#REF!</definedName>
    <definedName name="ListaCantidad">#REF!</definedName>
    <definedName name="listado1" hidden="1">{#N/A,#N/A,FALSE,"PROPON.2001"}</definedName>
    <definedName name="ListaItem">#REF!</definedName>
    <definedName name="listaprecios">#REF!</definedName>
    <definedName name="ListaUni">#REF!</definedName>
    <definedName name="LIST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KM">#REF!</definedName>
    <definedName name="LLAC1">#REF!</definedName>
    <definedName name="LLAC12">#REF!</definedName>
    <definedName name="LLANTAS">#REF!</definedName>
    <definedName name="LLAP1">#REF!</definedName>
    <definedName name="LLAP12">#REF!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 localSheetId="1"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alfs">#REF!</definedName>
    <definedName name="lplpl" localSheetId="1" hidden="1">{"via1",#N/A,TRUE,"general";"via2",#N/A,TRUE,"general";"via3",#N/A,TRUE,"general"}</definedName>
    <definedName name="lplpl" hidden="1">{"via1",#N/A,TRUE,"general";"via2",#N/A,TRUE,"general";"via3",#N/A,TRUE,"general"}</definedName>
    <definedName name="LUBRI">#REF!</definedName>
    <definedName name="Lubricante">#REF!</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PVC">#REF!</definedName>
    <definedName name="LUPVT">#REF!</definedName>
    <definedName name="luz">#REF!</definedName>
    <definedName name="M">#REF!</definedName>
    <definedName name="M120K">#REF!</definedName>
    <definedName name="M240K">#REF!</definedName>
    <definedName name="M280K">#REF!</definedName>
    <definedName name="MA34K">#REF!</definedName>
    <definedName name="MACMPN3">#REF!</definedName>
    <definedName name="MADCEP">#REF!</definedName>
    <definedName name="MADCJ">#REF!</definedName>
    <definedName name="MADCONS110">#REF!</definedName>
    <definedName name="MADE110">#REF!</definedName>
    <definedName name="Maestro_de_Obra">[6]CUADRILLAS!$B$13</definedName>
    <definedName name="mafdsf" localSheetId="1" hidden="1">{"via1",#N/A,TRUE,"general";"via2",#N/A,TRUE,"general";"via3",#N/A,TRUE,"general"}</definedName>
    <definedName name="mafdsf" hidden="1">{"via1",#N/A,TRUE,"general";"via2",#N/A,TRUE,"general";"via3",#N/A,TRUE,"general"}</definedName>
    <definedName name="malla">#REF!</definedName>
    <definedName name="MALLAELC">#REF!</definedName>
    <definedName name="MALO">#REF!</definedName>
    <definedName name="mama" hidden="1">#REF!</definedName>
    <definedName name="MANGAGR">#REF!</definedName>
    <definedName name="MANGUER">#REF!</definedName>
    <definedName name="MANOME">#REF!</definedName>
    <definedName name="MANTO">#REF!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r">#REF!</definedName>
    <definedName name="Mar_C">#REF!</definedName>
    <definedName name="MARABA">#REF!</definedName>
    <definedName name="MarAbr">#REF!</definedName>
    <definedName name="MARAVILLA" localSheetId="1" hidden="1">{"PRES REHAB ARM-PER POR ITEMS  KM A KM",#N/A,TRUE,"Rehabilitacion Arm-Per"}</definedName>
    <definedName name="MARAVILLA" hidden="1">{"PRES REHAB ARM-PER POR ITEMS  KM A KM",#N/A,TRUE,"Rehabilitacion Arm-Per"}</definedName>
    <definedName name="MARCOTAP">#REF!</definedName>
    <definedName name="MARIA" hidden="1">{#N/A,#N/A,FALSE,"PROPON.2001"}</definedName>
    <definedName name="MarkP" localSheetId="1"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TA" hidden="1">{#N/A,#N/A,FALSE,"PROPON.2001"}</definedName>
    <definedName name="MARYLUZ" localSheetId="1" hidden="1">{"PRES REHAB ARM-PER POR ITEMS  KM A KM",#N/A,TRUE,"Rehabilitacion Arm-Per"}</definedName>
    <definedName name="MARYLUZ" hidden="1">{"PRES REHAB ARM-PER POR ITEMS  KM A KM",#N/A,TRUE,"Rehabilitacion Arm-Per"}</definedName>
    <definedName name="masor" localSheetId="1" hidden="1">{"via1",#N/A,TRUE,"general";"via2",#N/A,TRUE,"general";"via3",#N/A,TRUE,"general"}</definedName>
    <definedName name="masor" hidden="1">{"via1",#N/A,TRUE,"general";"via2",#N/A,TRUE,"general";"via3",#N/A,TRUE,"general"}</definedName>
    <definedName name="Material">#REF!</definedName>
    <definedName name="materiales">[19]MATERIALES!$B$6:$D$403</definedName>
    <definedName name="MaterialTub">#REF!</definedName>
    <definedName name="MATPR">#REF!</definedName>
    <definedName name="MATPRE">#REF!</definedName>
    <definedName name="MATRIZ">[20]MATRIZ!$1:$1048576</definedName>
    <definedName name="MATRIZ_COMFAMA">[21]MATRIZ!$B$6:$E$170</definedName>
    <definedName name="MatTuberia">#REF!</definedName>
    <definedName name="MayJun">#REF!</definedName>
    <definedName name="MayJun_C">#REF!</definedName>
    <definedName name="mc">#REF!</definedName>
    <definedName name="MC4CM">#REF!</definedName>
    <definedName name="mcb">#REF!</definedName>
    <definedName name="mcbb">#REF!</definedName>
    <definedName name="mdc2a">#REF!</definedName>
    <definedName name="mdd" localSheetId="1" hidden="1">{"via1",#N/A,TRUE,"general";"via2",#N/A,TRUE,"general";"via3",#N/A,TRUE,"general"}</definedName>
    <definedName name="mdd" hidden="1">{"via1",#N/A,TRUE,"general";"via2",#N/A,TRUE,"general";"via3",#N/A,TRUE,"general"}</definedName>
    <definedName name="med">#REF!</definedName>
    <definedName name="MEDID">#REF!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m">#REF!</definedName>
    <definedName name="MEMORIAS">[9]MEMORIAS!$A:$H</definedName>
    <definedName name="MES">#REF!</definedName>
    <definedName name="MES_COM">#REF!</definedName>
    <definedName name="MESOLD">#REF!</definedName>
    <definedName name="MESOLD131">#REF!</definedName>
    <definedName name="MESON_ACERO_INOXIDABLE">#REF!</definedName>
    <definedName name="MESON1.50">#REF!</definedName>
    <definedName name="met" localSheetId="1" hidden="1">{#N/A,#N/A,TRUE,"1842CWN0"}</definedName>
    <definedName name="met" hidden="1">{#N/A,#N/A,TRUE,"1842CWN0"}</definedName>
    <definedName name="met_1" localSheetId="1" hidden="1">{#N/A,#N/A,TRUE,"1842CWN0"}</definedName>
    <definedName name="met_1" hidden="1">{#N/A,#N/A,TRUE,"1842CWN0"}</definedName>
    <definedName name="met_2" localSheetId="1" hidden="1">{#N/A,#N/A,TRUE,"1842CWN0"}</definedName>
    <definedName name="met_2" hidden="1">{#N/A,#N/A,TRUE,"1842CWN0"}</definedName>
    <definedName name="metal" localSheetId="1" hidden="1">{#N/A,#N/A,TRUE,"1842CWN0"}</definedName>
    <definedName name="metal" hidden="1">{#N/A,#N/A,TRUE,"1842CWN0"}</definedName>
    <definedName name="metal_1" localSheetId="1" hidden="1">{#N/A,#N/A,TRUE,"1842CWN0"}</definedName>
    <definedName name="metal_1" hidden="1">{#N/A,#N/A,TRUE,"1842CWN0"}</definedName>
    <definedName name="metal_2" localSheetId="1" hidden="1">{#N/A,#N/A,TRUE,"1842CWN0"}</definedName>
    <definedName name="metal_2" hidden="1">{#N/A,#N/A,TRUE,"1842CWN0"}</definedName>
    <definedName name="Mezcladora_trompo_a_gasolina__Inc._combustible">'[6]Equipo y transporte'!$D$19</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CROVLC">#REF!</definedName>
    <definedName name="MICROVLC1">#REF!</definedName>
    <definedName name="MICROVOLC">#REF!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#REF!</definedName>
    <definedName name="MMDC">#REF!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120K">#REF!</definedName>
    <definedName name="MO240K">#REF!</definedName>
    <definedName name="MO280K">#REF!</definedName>
    <definedName name="MOCARG">#REF!</definedName>
    <definedName name="MODIF1">#REF!</definedName>
    <definedName name="MODIF1_2">#REF!</definedName>
    <definedName name="MODIF1_7">#REF!</definedName>
    <definedName name="MOdificad" hidden="1">#REF!</definedName>
    <definedName name="MOENC">#REF!</definedName>
    <definedName name="MOGRA">#REF!</definedName>
    <definedName name="MOIHF">#REF!</definedName>
    <definedName name="MOLMAN">#REF!</definedName>
    <definedName name="MOPRE">#REF!</definedName>
    <definedName name="MORTERO1_4_CONCONCRETADORA">#REF!</definedName>
    <definedName name="MORTERO1_4_SINCONCRETADORA">#REF!</definedName>
    <definedName name="MORTERO1_4_SINCONCRETADORA_TTEMULAR">#REF!</definedName>
    <definedName name="MORTERO1_4CONCONCRETAD">#REF!</definedName>
    <definedName name="MORTEROSIN">#REF!</definedName>
    <definedName name="MOTO">#REF!</definedName>
    <definedName name="MOTOB2">#REF!</definedName>
    <definedName name="MOTOBOMBA">#REF!</definedName>
    <definedName name="MOTON">#REF!</definedName>
    <definedName name="Motoniveladora_120_HP.">'[6]Equipo y transporte'!$D$10</definedName>
    <definedName name="MOTOP">#REF!</definedName>
    <definedName name="MOTOSIE">#REF!</definedName>
    <definedName name="MOVOL">#REF!</definedName>
    <definedName name="muni1">[6]Hoja1!$B$3</definedName>
    <definedName name="muni2">[6]Hoja1!$B$4</definedName>
    <definedName name="muni3">[6]Hoja1!$B$5</definedName>
    <definedName name="muni4">[6]Hoja1!$B$6</definedName>
    <definedName name="muni5">[6]Hoja1!$B$7</definedName>
    <definedName name="muni6">[6]Hoja1!$B$8</definedName>
    <definedName name="muni7">[6]Hoja1!$B$9</definedName>
    <definedName name="municipio">#REF!</definedName>
    <definedName name="municipios">#REF!</definedName>
    <definedName name="n" localSheetId="1" hidden="1">{"via1",#N/A,TRUE,"general";"via2",#N/A,TRUE,"general";"via3",#N/A,TRUE,"general"}</definedName>
    <definedName name="n" hidden="1">{"via1",#N/A,TRUE,"general";"via2",#N/A,TRUE,"general";"via3",#N/A,TRUE,"general"}</definedName>
    <definedName name="N.N">#REF!</definedName>
    <definedName name="N_metal">#REF!</definedName>
    <definedName name="NB">#REF!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ACEB">#REF!</definedName>
    <definedName name="NIACEBR">#REF!</definedName>
    <definedName name="NIACEL">#REF!</definedName>
    <definedName name="NIACER">#REF!</definedName>
    <definedName name="NIACERL">#REF!</definedName>
    <definedName name="NIACERL1">#REF!</definedName>
    <definedName name="NIAE1">#REF!</definedName>
    <definedName name="NIAE5">#REF!</definedName>
    <definedName name="NIAE6">#REF!</definedName>
    <definedName name="NIHG105">#REF!</definedName>
    <definedName name="NIHG15">#REF!</definedName>
    <definedName name="NIHG20">#REF!</definedName>
    <definedName name="NIHG35">#REF!</definedName>
    <definedName name="NIHG45">#REF!</definedName>
    <definedName name="Niqui">#REF!</definedName>
    <definedName name="NIVPRE">#REF!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 hidden="1">{"PYGT",#N/A,FALSE,"PYG";"ACTIT",#N/A,FALSE,"BCE_GRAL-ACTIVO";"PASIT",#N/A,FALSE,"BCE_GRAL-PASIVO-PATRIM";"CAJAT",#N/A,FALSE,"CAJA"}</definedName>
    <definedName name="NO" hidden="1">{"PYGT",#N/A,FALSE,"PYG";"ACTIT",#N/A,FALSE,"BCE_GRAL-ACTIVO";"PASIT",#N/A,FALSE,"BCE_GRAL-PASIVO-PATRIM";"CAJAT",#N/A,FALSE,"CAJA"}</definedName>
    <definedName name="NO.APLICA">#REF!</definedName>
    <definedName name="NO_APLICA">#REF!</definedName>
    <definedName name="nombre">#REF!</definedName>
    <definedName name="NOMBRE_PROYECTO">#REF!</definedName>
    <definedName name="Norte">#REF!</definedName>
    <definedName name="NovDic">#REF!</definedName>
    <definedName name="NUEVO">#REF!</definedName>
    <definedName name="nxn" localSheetId="1" hidden="1">{"via1",#N/A,TRUE,"general";"via2",#N/A,TRUE,"general";"via3",#N/A,TRUE,"general"}</definedName>
    <definedName name="nxn" hidden="1">{"via1",#N/A,TRUE,"general";"via2",#N/A,TRUE,"general";"via3",#N/A,TRUE,"general"}</definedName>
    <definedName name="ñ">#REF!</definedName>
    <definedName name="ñpñpñ" localSheetId="1" hidden="1">{"via1",#N/A,TRUE,"general";"via2",#N/A,TRUE,"general";"via3",#N/A,TRUE,"general"}</definedName>
    <definedName name="ñpñpñ" hidden="1">{"via1",#N/A,TRUE,"general";"via2",#N/A,TRUE,"general";"via3",#N/A,TRUE,"general"}</definedName>
    <definedName name="O">#REF!</definedName>
    <definedName name="o9o9" localSheetId="1" hidden="1">{"via1",#N/A,TRUE,"general";"via2",#N/A,TRUE,"general";"via3",#N/A,TRUE,"general"}</definedName>
    <definedName name="o9o9" hidden="1">{"via1",#N/A,TRUE,"general";"via2",#N/A,TRUE,"general";"via3",#N/A,TRUE,"general"}</definedName>
    <definedName name="OBJETO">#REF!</definedName>
    <definedName name="obra">#REF!</definedName>
    <definedName name="obre">#REF!</definedName>
    <definedName name="Observaciones">#REF!</definedName>
    <definedName name="oera" localSheetId="1" hidden="1">{#N/A,#N/A,FALSE,"Aging Summary";#N/A,#N/A,FALSE,"Ratio Analysis";#N/A,#N/A,FALSE,"Test 120 Day Accts";#N/A,#N/A,FALSE,"Tickmarks"}</definedName>
    <definedName name="oera" hidden="1">{#N/A,#N/A,FALSE,"Aging Summary";#N/A,#N/A,FALSE,"Ratio Analysis";#N/A,#N/A,FALSE,"Test 120 Day Accts";#N/A,#N/A,FALSE,"Tickmarks"}</definedName>
    <definedName name="ofi">#REF!</definedName>
    <definedName name="OFICI">#REF!</definedName>
    <definedName name="OFICI_">#REF!</definedName>
    <definedName name="ofici1">#REF!</definedName>
    <definedName name="oficial">[6]CUADRILLAS!$G$9</definedName>
    <definedName name="Oficios_Varios">[6]CUADRILLAS!$B$25</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SCAR">#REF!</definedName>
    <definedName name="P">#REF!</definedName>
    <definedName name="p0p0" localSheetId="1"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14X">#REF!</definedName>
    <definedName name="paelnque">#REF!</definedName>
    <definedName name="PAJARITA">#REF!</definedName>
    <definedName name="palenque">#REF!</definedName>
    <definedName name="Pant_NC">#REF!</definedName>
    <definedName name="PAPA">#REF!</definedName>
    <definedName name="PAPSO_INTERVENTORÍA">#REF!</definedName>
    <definedName name="PAPSO_OBRA">#REF!</definedName>
    <definedName name="par">#REF!</definedName>
    <definedName name="particulares1" localSheetId="1" hidden="1">{#N/A,#N/A,FALSE,"Aging Summary";#N/A,#N/A,FALSE,"Ratio Analysis";#N/A,#N/A,FALSE,"Test 120 Day Accts";#N/A,#N/A,FALSE,"Tickmarks"}</definedName>
    <definedName name="particulares1" hidden="1">{#N/A,#N/A,FALSE,"Aging Summary";#N/A,#N/A,FALSE,"Ratio Analysis";#N/A,#N/A,FALSE,"Test 120 Day Accts";#N/A,#N/A,FALSE,"Tickmarks"}</definedName>
    <definedName name="PASACE06">#REF!</definedName>
    <definedName name="PASACE075">#REF!</definedName>
    <definedName name="PASAHD158">#REF!</definedName>
    <definedName name="PASAMUR">#REF!</definedName>
    <definedName name="pasav">#REF!</definedName>
    <definedName name="pasavia">#REF!</definedName>
    <definedName name="PEAD">#REF!</definedName>
    <definedName name="PEGACOR_KG">#REF!</definedName>
    <definedName name="PEGCO">#REF!</definedName>
    <definedName name="Peldaño">#REF!</definedName>
    <definedName name="Periodo_Diseño">#REF!</definedName>
    <definedName name="PERM">#REF!</definedName>
    <definedName name="permisos">#REF!</definedName>
    <definedName name="PERNO">#REF!</definedName>
    <definedName name="PERSONAS">[7]PERSONAS!$A$1:$W$1284</definedName>
    <definedName name="PESOS">'[13]4.2-Insumos'!$B$7:$H$166</definedName>
    <definedName name="PIE4A6">#REF!</definedName>
    <definedName name="PIECR">#REF!</definedName>
    <definedName name="pied">#REF!</definedName>
    <definedName name="PIEDR">#REF!</definedName>
    <definedName name="PIEDRA_ENTRESUELO">#REF!</definedName>
    <definedName name="PIEDRA_GAVIÓN_4PULG_6PULG">#REF!</definedName>
    <definedName name="piedragav">#REF!</definedName>
    <definedName name="Pin">#REF!</definedName>
    <definedName name="PINANT">#REF!</definedName>
    <definedName name="PINBAR">#REF!</definedName>
    <definedName name="PINBLA">#REF!</definedName>
    <definedName name="pint">#REF!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 localSheetId="1" hidden="1">{"TAB1",#N/A,TRUE,"GENERAL";"TAB2",#N/A,TRUE,"GENERAL";"TAB3",#N/A,TRUE,"GENERAL";"TAB4",#N/A,TRUE,"GENERAL";"TAB5",#N/A,TRUE,"GENERAL"}</definedName>
    <definedName name="PL"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ELE25">#REF!</definedName>
    <definedName name="Planta_Electrica__Diesel_Gasolina">'[6]Equipo y transporte'!$D$29</definedName>
    <definedName name="PLAST">#REF!</definedName>
    <definedName name="PLASTOCRETE">#REF!</definedName>
    <definedName name="PLATINA">#REF!</definedName>
    <definedName name="Plazo">#REF!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LUMGRU">#REF!</definedName>
    <definedName name="PO">#REF!</definedName>
    <definedName name="POIUP" localSheetId="1" hidden="1">{"via1",#N/A,TRUE,"general";"via2",#N/A,TRUE,"general";"via3",#N/A,TRUE,"general"}</definedName>
    <definedName name="POIUP" hidden="1">{"via1",#N/A,TRUE,"general";"via2",#N/A,TRUE,"general";"via3",#N/A,TRUE,"general"}</definedName>
    <definedName name="POLINOMIAL1">#REF!</definedName>
    <definedName name="Polynomial">#REF!</definedName>
    <definedName name="pomch">#REF!</definedName>
    <definedName name="PoMede">#REF!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s">#REF!</definedName>
    <definedName name="post">#REF!</definedName>
    <definedName name="poste">#REF!</definedName>
    <definedName name="Poste_en_angulo_de_2_2_1_4_de_3_5m_para_señal">[6]Insumos!$D$38</definedName>
    <definedName name="pouig" localSheetId="1"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_BAN">'[12]2.3-Ppto Ban'!$B$6:$I$63</definedName>
    <definedName name="PPTO_COC">'[12]2.2-Ppto Coc'!$B$6:$I$58</definedName>
    <definedName name="PPTO_HAB">'[12]2.1-Ppto Hab'!$B$6:$I$47</definedName>
    <definedName name="PPTO_UNION">'[11]2-Presupuesto'!$B$5:$I$75</definedName>
    <definedName name="PPTO_VNR">'[13]2.1-Presupuesto VNR'!$B$6:$I$134</definedName>
    <definedName name="PPTO_VNRM">#REF!</definedName>
    <definedName name="PPTO_VNRMST">#REF!</definedName>
    <definedName name="PPTO_VNRST">#REF!</definedName>
    <definedName name="PPTO_VNU">'[22]2.2-Presupuesto VNU'!$B$5:$I$80</definedName>
    <definedName name="PptoBenef">#REF!</definedName>
    <definedName name="PptoMVR">#REF!</definedName>
    <definedName name="PPtoNorte">#REF!</definedName>
    <definedName name="pqroj" localSheetId="1" hidden="1">{"via1",#N/A,TRUE,"general";"via2",#N/A,TRUE,"general";"via3",#N/A,TRUE,"general"}</definedName>
    <definedName name="pqroj" hidden="1">{"via1",#N/A,TRUE,"general";"via2",#N/A,TRUE,"general";"via3",#N/A,TRUE,"general"}</definedName>
    <definedName name="pre">#REF!</definedName>
    <definedName name="Precio">#REF!</definedName>
    <definedName name="precio2">#REF!</definedName>
    <definedName name="PrecioS">#REF!</definedName>
    <definedName name="PRES.AGRI">#REF!</definedName>
    <definedName name="PRESIPISTO">#REF!</definedName>
    <definedName name="PRESTA">#REF!</definedName>
    <definedName name="Prestaciones_1">'[6]F. P. AIU'!$C$73</definedName>
    <definedName name="Prestaciones_2">'[6]F. P. AIU'!$B$73</definedName>
    <definedName name="PRESUPUESTO">[9]PRESUPUESTO!$A:$I</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CT">#REF!</definedName>
    <definedName name="PROF">#REF!</definedName>
    <definedName name="Profesional_SISO">[6]CUADRILLAS!$B$21</definedName>
    <definedName name="PROG" hidden="1">#REF!</definedName>
    <definedName name="programa">#REF!</definedName>
    <definedName name="programas">#REF!</definedName>
    <definedName name="PROVISIONALES" hidden="1">#REF!</definedName>
    <definedName name="proyecto">[6]Pres!$D$22</definedName>
    <definedName name="proyectos">#REF!</definedName>
    <definedName name="PRUEBAHIDROSTÁTICA_APU">#REF!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ERTA_METALICA_060_210_0015">#REF!</definedName>
    <definedName name="PULIDMAN">#REF!</definedName>
    <definedName name="PULIDORA">#REF!</definedName>
    <definedName name="PUNAC">#REF!</definedName>
    <definedName name="PUNTI">#REF!</definedName>
    <definedName name="PVC">#REF!</definedName>
    <definedName name="q" localSheetId="1" hidden="1">{"via1",#N/A,TRUE,"general";"via2",#N/A,TRUE,"general";"via3",#N/A,TRUE,"general"}</definedName>
    <definedName name="q" hidden="1">{"via1",#N/A,TRUE,"general";"via2",#N/A,TRUE,"general";"via3",#N/A,TRUE,"general"}</definedName>
    <definedName name="q_V">#REF!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QQ"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a">#REF!</definedName>
    <definedName name="rack">#REF!</definedName>
    <definedName name="RACK1">#REF!</definedName>
    <definedName name="Rajón_de_piedra_del_municipio">[6]Insumos!$D$29</definedName>
    <definedName name="Rasante">#REF!</definedName>
    <definedName name="RASF">#REF!</definedName>
    <definedName name="RE1610JH">#REF!</definedName>
    <definedName name="RE1614EB">#REF!</definedName>
    <definedName name="RE32JH">#REF!</definedName>
    <definedName name="RE43BD">#REF!</definedName>
    <definedName name="RE43JH">#REF!</definedName>
    <definedName name="RE64BD">#REF!</definedName>
    <definedName name="RE64JH">#REF!</definedName>
    <definedName name="RECIR3A">#REF!</definedName>
    <definedName name="RECIR6A">#REF!</definedName>
    <definedName name="RECUE">#REF!</definedName>
    <definedName name="RECURSO_COMFAMA">[21]RECURSO!$B$4:$D$916</definedName>
    <definedName name="RECURSOS">#REF!</definedName>
    <definedName name="Red">#REF!</definedName>
    <definedName name="REDU112">#REF!</definedName>
    <definedName name="REDUC21">#REF!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S">#REF!</definedName>
    <definedName name="REGIS1">#REF!</definedName>
    <definedName name="REGIST">#REF!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HG31">#REF!</definedName>
    <definedName name="REHJH43">#REF!</definedName>
    <definedName name="REHJH63">#REF!</definedName>
    <definedName name="REHJH64">#REF!</definedName>
    <definedName name="REHJH83">#REF!</definedName>
    <definedName name="REJHE" localSheetId="1" hidden="1">{"via1",#N/A,TRUE,"general";"via2",#N/A,TRUE,"general";"via3",#N/A,TRUE,"general"}</definedName>
    <definedName name="REJHE" hidden="1">{"via1",#N/A,TRUE,"general";"via2",#N/A,TRUE,"general";"via3",#N/A,TRUE,"general"}</definedName>
    <definedName name="REJILLA">#REF!</definedName>
    <definedName name="REJSUM">#REF!</definedName>
    <definedName name="rell">#REF!</definedName>
    <definedName name="REPJH32">#REF!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1"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_de_obra">[6]CUADRILLAS!$B$14</definedName>
    <definedName name="resist_cond">#REF!</definedName>
    <definedName name="RESU">#REF!</definedName>
    <definedName name="resumen">#REF!</definedName>
    <definedName name="RETRO">#REF!</definedName>
    <definedName name="Retroexcavadora_de_llantas">'[6]Equipo y transporte'!$D$20</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IGA">#REF!</definedName>
    <definedName name="RODDOBL">#REF!</definedName>
    <definedName name="RODILLO">#REF!</definedName>
    <definedName name="ROTOPERC">#REF!</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wvu.ComparEneMar9697." hidden="1">#REF!,#REF!</definedName>
    <definedName name="Rwvu.EneFeb." hidden="1">#REF!,#REF!</definedName>
    <definedName name="Rwvu.Formato._.Corto." hidden="1">#REF!,#REF!,#REF!,#REF!,#REF!,#REF!</definedName>
    <definedName name="Rwvu.OPEF._.96." hidden="1">#REF!,#REF!</definedName>
    <definedName name="Rwvu.OPEF._.97." hidden="1">#REF!,#REF!,#REF!</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#REF!</definedName>
    <definedName name="saa" localSheetId="1" hidden="1">{"via1",#N/A,TRUE,"general";"via2",#N/A,TRUE,"general";"via3",#N/A,TRUE,"general"}</definedName>
    <definedName name="saa" hidden="1">{"via1",#N/A,TRUE,"general";"via2",#N/A,TRUE,"general";"via3",#N/A,TRUE,"general"}</definedName>
    <definedName name="Sabaneta">#REF!</definedName>
    <definedName name="SAD" localSheetId="1" hidden="1">{"via1",#N/A,TRUE,"general";"via2",#N/A,TRUE,"general";"via3",#N/A,TRUE,"general"}</definedName>
    <definedName name="SAD" hidden="1">{"via1",#N/A,TRUE,"general";"via2",#N/A,TRUE,"general";"via3",#N/A,TRUE,"general"}</definedName>
    <definedName name="SADADD" hidden="1">{#N/A,#N/A,FALSE,"Aging Summary";#N/A,#N/A,FALSE,"Ratio Analysis";#N/A,#N/A,FALSE,"Test 120 Day Accts";#N/A,#N/A,FALSE,"Tickmarks"}</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_Prestaciones">#REF!</definedName>
    <definedName name="SALMINIMO">'[20]PPTO DIAGNOSTICO'!$I$1</definedName>
    <definedName name="SAOG7">#REF!</definedName>
    <definedName name="SAOG7OCTUBRE">#REF!</definedName>
    <definedName name="SASASASASAS" localSheetId="1" hidden="1">{"via1",#N/A,TRUE,"general";"via2",#N/A,TRUE,"general";"via3",#N/A,TRUE,"general"}</definedName>
    <definedName name="SASASASASAS" hidden="1">{"via1",#N/A,TRUE,"general";"via2",#N/A,TRUE,"general";"via3",#N/A,TRUE,"general"}</definedName>
    <definedName name="SBASG">#REF!</definedName>
    <definedName name="sbg">#REF!</definedName>
    <definedName name="sbgfbgdr" localSheetId="1" hidden="1">{"via1",#N/A,TRUE,"general";"via2",#N/A,TRUE,"general";"via3",#N/A,TRUE,"general"}</definedName>
    <definedName name="sbgfbgdr" hidden="1">{"via1",#N/A,TRUE,"general";"via2",#N/A,TRUE,"general";"via3",#N/A,TRUE,"general"}</definedName>
    <definedName name="scf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FDFDFD" hidden="1">{#N/A,#N/A,FALSE,"Items"}</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CP2015">#REF!</definedName>
    <definedName name="SECPO100">#REF!</definedName>
    <definedName name="SECPO115">#REF!</definedName>
    <definedName name="SECPO25">#REF!</definedName>
    <definedName name="SECPO50">#REF!</definedName>
    <definedName name="SECPO515">#REF!</definedName>
    <definedName name="Secretaria">[6]CUADRILLAS!$B$26</definedName>
    <definedName name="sem">#REF!</definedName>
    <definedName name="semanal">#REF!</definedName>
    <definedName name="semilla">#REF!</definedName>
    <definedName name="Señal__grupo_1_._Tablero_en_lámina_galvanizada_de_75cm_75cm__calibre_16__reflectivo_tipo_1__incluye_poste">[6]Insumos!$D$39</definedName>
    <definedName name="señv">#REF!</definedName>
    <definedName name="SEPAR">#REF!</definedName>
    <definedName name="SEPAROL">#REF!</definedName>
    <definedName name="SepOct">#REF!</definedName>
    <definedName name="SepOct_C">#REF!</definedName>
    <definedName name="septico">#REF!</definedName>
    <definedName name="servicio">#REF!</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EWAAA" hidden="1">{#N/A,#N/A,FALSE,"GRAFICO";#N/A,#N/A,FALSE,"CAJA (2)";#N/A,#N/A,FALSE,"TERCEROS-PROMEDIO";#N/A,#N/A,FALSE,"CAJA";#N/A,#N/A,FALSE,"INGRESOS1995-2003";#N/A,#N/A,FALSE,"GASTOS1995-2003"}</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b">#REF!</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21">#N/A</definedName>
    <definedName name="SI">#REF!</definedName>
    <definedName name="SIKAD">#REF!</definedName>
    <definedName name="SIKADUR_ANCHORFIX4">#REF!</definedName>
    <definedName name="SIKADUR32">#REF!</definedName>
    <definedName name="SIKAROD">#REF!</definedName>
    <definedName name="SIKAS">#REF!</definedName>
    <definedName name="SIKTL">#REF!</definedName>
    <definedName name="SILLETA63X20">#REF!</definedName>
    <definedName name="sin">#REF!</definedName>
    <definedName name="Sin_nombre">#REF!</definedName>
    <definedName name="SLPVC">#REF!</definedName>
    <definedName name="sm">#REF!</definedName>
    <definedName name="smlv">'[6]F. P. AIU'!$B$48</definedName>
    <definedName name="SMMLV">'[15]4.3-Factor Prest'!$C$37</definedName>
    <definedName name="SOFT">#REF!</definedName>
    <definedName name="SOLD">#REF!</definedName>
    <definedName name="SOLD14">#REF!</definedName>
    <definedName name="SOLDA">#REF!</definedName>
    <definedName name="SOLDEQUIP">#REF!</definedName>
    <definedName name="SOLDYSOL">#REF!</definedName>
    <definedName name="SOLPVC">#REF!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DSFSDFS" hidden="1">{#N/A,#N/A,FALSE,"Items"}</definedName>
    <definedName name="SSS">#REF!</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PN106">#REF!</definedName>
    <definedName name="STPN126">#REF!</definedName>
    <definedName name="STPN86">#REF!</definedName>
    <definedName name="stt" localSheetId="1" hidden="1">{"via1",#N/A,TRUE,"general";"via2",#N/A,TRUE,"general";"via3",#N/A,TRUE,"general"}</definedName>
    <definedName name="stt" hidden="1">{"via1",#N/A,TRUE,"general";"via2",#N/A,TRUE,"general";"via3",#N/A,TRUE,"general"}</definedName>
    <definedName name="SUBA">#REF!</definedName>
    <definedName name="SUBBASE">#REF!</definedName>
    <definedName name="SUBBASE_GRANULAR">#REF!</definedName>
    <definedName name="Subbse_Granular">[6]Insumos!$D$28</definedName>
    <definedName name="Subtotales">'[23]1. MATRIZ GRAL'!$J$110:$J$110</definedName>
    <definedName name="SUELLEN">#REF!</definedName>
    <definedName name="Sum">#REF!</definedName>
    <definedName name="suma">#REF!</definedName>
    <definedName name="SUMIN">#REF!</definedName>
    <definedName name="SUPERT">#REF!</definedName>
    <definedName name="SUPPT19">#REF!</definedName>
    <definedName name="SUPT12">#REF!</definedName>
    <definedName name="SUPT19">#REF!</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wvu.TAB1." hidden="1">[5]Presupuesto_Via_distribuidora!#REF!</definedName>
    <definedName name="Swvu.TAB2." hidden="1">[5]Presupuesto_Via_distribuidora!#REF!</definedName>
    <definedName name="Swvu.TAB3." hidden="1">[5]Presupuesto_Via_distribuidora!#REF!</definedName>
    <definedName name="Swvu.TAB4." hidden="1">[5]Presupuesto_Via_distribuidora!#REF!</definedName>
    <definedName name="Swvu.TAB5." hidden="1">[5]Presupuesto_Via_distribuidora!#REF!</definedName>
    <definedName name="SYEE104">#REF!</definedName>
    <definedName name="SYEE108">#REF!</definedName>
    <definedName name="SYEE124">#REF!</definedName>
    <definedName name="SYEE126">#REF!</definedName>
    <definedName name="SYEE144">#REF!</definedName>
    <definedName name="SYEE188">#REF!</definedName>
    <definedName name="SYEE246">#REF!</definedName>
    <definedName name="SYEE248">#REF!</definedName>
    <definedName name="SYEE276">#REF!</definedName>
    <definedName name="SYEE306">#REF!</definedName>
    <definedName name="SYEE336">#REF!</definedName>
    <definedName name="SYEE64">#REF!</definedName>
    <definedName name="SYEE84">#REF!</definedName>
    <definedName name="SZ">#REF!</definedName>
    <definedName name="t">#REF!</definedName>
    <definedName name="T_RMG">#REF!</definedName>
    <definedName name="T10HDJH">#REF!</definedName>
    <definedName name="T126JH">#REF!</definedName>
    <definedName name="T12HDJH">#REF!</definedName>
    <definedName name="T164JH">#REF!</definedName>
    <definedName name="T22JH">#REF!</definedName>
    <definedName name="T2HDJH">#REF!</definedName>
    <definedName name="T32JH">#REF!</definedName>
    <definedName name="T33JH">#REF!</definedName>
    <definedName name="T3HDJH">#REF!</definedName>
    <definedName name="T42JH">#REF!</definedName>
    <definedName name="T43JH">#REF!</definedName>
    <definedName name="T44JH">#REF!</definedName>
    <definedName name="T4HDJH">#REF!</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#REF!</definedName>
    <definedName name="T8HDJH">#REF!</definedName>
    <definedName name="TA100JH">#REF!</definedName>
    <definedName name="TabBL">#REF!</definedName>
    <definedName name="TabCIM">#REF!</definedName>
    <definedName name="Tabla">#REF!</definedName>
    <definedName name="TABLA17X20">#REF!</definedName>
    <definedName name="TABLILLA">#REF!</definedName>
    <definedName name="TabPE">#REF!</definedName>
    <definedName name="TabPVC">#REF!</definedName>
    <definedName name="tacha">#REF!</definedName>
    <definedName name="TACO_METALICO_3M_6M">#REF!</definedName>
    <definedName name="TACOM">#REF!</definedName>
    <definedName name="TACOM1">#REF!</definedName>
    <definedName name="TACOR">#REF!</definedName>
    <definedName name="TACOR_">#REF!</definedName>
    <definedName name="TADF10S">#REF!</definedName>
    <definedName name="TADF18S">#REF!</definedName>
    <definedName name="TADF24S">#REF!</definedName>
    <definedName name="TADF36">#REF!</definedName>
    <definedName name="TADF81">#REF!</definedName>
    <definedName name="TADF812S">#REF!</definedName>
    <definedName name="taladro">#REF!</definedName>
    <definedName name="TALADROPERCSENCILLO">#REF!</definedName>
    <definedName name="TALROTOP">#REF!</definedName>
    <definedName name="TANQSEP">#REF!</definedName>
    <definedName name="TANQUE">#REF!</definedName>
    <definedName name="TAPAM">#REF!</definedName>
    <definedName name="TAPAPRE">#REF!</definedName>
    <definedName name="TAPASEG">#REF!</definedName>
    <definedName name="TAPDEC1820S">#REF!</definedName>
    <definedName name="TAPDEC2427S">#REF!</definedName>
    <definedName name="TAPDEC36">#REF!</definedName>
    <definedName name="TAPDEC812">#REF!</definedName>
    <definedName name="TAPDEC812S">#REF!</definedName>
    <definedName name="TAPDEC916S">#REF!</definedName>
    <definedName name="TAPPOL">#REF!</definedName>
    <definedName name="TARP4">#REF!</definedName>
    <definedName name="TASH2_">#REF!</definedName>
    <definedName name="TASH4_">#REF!</definedName>
    <definedName name="TASP1">#REF!</definedName>
    <definedName name="TASP2">#REF!</definedName>
    <definedName name="TASP3">#REF!</definedName>
    <definedName name="TASP4">#REF!</definedName>
    <definedName name="TASP6">#REF!</definedName>
    <definedName name="TASR4">#REF!</definedName>
    <definedName name="TC" localSheetId="1"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CAMPERVER">#REF!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22JH">#REF!</definedName>
    <definedName name="TE32JH">#REF!</definedName>
    <definedName name="TE33JH">#REF!</definedName>
    <definedName name="TE42JH">#REF!</definedName>
    <definedName name="TE43JH">#REF!</definedName>
    <definedName name="TE44JH">#REF!</definedName>
    <definedName name="TE62JH">#REF!</definedName>
    <definedName name="TE63JH">#REF!</definedName>
    <definedName name="TE64JH">#REF!</definedName>
    <definedName name="TEBD33">#REF!</definedName>
    <definedName name="TEBD44">#REF!</definedName>
    <definedName name="TEE22JH">#REF!</definedName>
    <definedName name="TEE62JH">#REF!</definedName>
    <definedName name="TEEC32">#REF!</definedName>
    <definedName name="TEEHG3">#REF!</definedName>
    <definedName name="TEEP32">#REF!</definedName>
    <definedName name="TEEP753">#REF!</definedName>
    <definedName name="TEERED75X50">#REF!</definedName>
    <definedName name="TEERED90X40">#REF!</definedName>
    <definedName name="TEJA_TERMOACUSTICA_UPVC2mm">#REF!</definedName>
    <definedName name="TEJAB">#REF!</definedName>
    <definedName name="TEJAJ">#REF!</definedName>
    <definedName name="TEJATMA">#REF!</definedName>
    <definedName name="TEJAUPVC">#REF!</definedName>
    <definedName name="TEJAZINC">#REF!</definedName>
    <definedName name="TELACERR">#REF!</definedName>
    <definedName name="TELEP">#REF!</definedName>
    <definedName name="TELERA">#REF!</definedName>
    <definedName name="term">#REF!</definedName>
    <definedName name="terminadora">#REF!</definedName>
    <definedName name="terminales">#REF!</definedName>
    <definedName name="territoriales">#REF!</definedName>
    <definedName name="TESCH3">#REF!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ALV">#REF!</definedName>
    <definedName name="TGRASA">#REF!</definedName>
    <definedName name="TH10J">#REF!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tj" localSheetId="1" hidden="1">{"via1",#N/A,TRUE,"general";"via2",#N/A,TRUE,"general";"via3",#N/A,TRUE,"general"}</definedName>
    <definedName name="thtj" hidden="1">{"via1",#N/A,TRUE,"general";"via2",#N/A,TRUE,"general";"via3",#N/A,TRUE,"general"}</definedName>
    <definedName name="Tipo_Cimentación">#REF!</definedName>
    <definedName name="TIPO_DE_ALCANTARILLADO">#REF!</definedName>
    <definedName name="Tipocimentacion">#REF!</definedName>
    <definedName name="_xlnm.Print_Titles" localSheetId="0">'RESUMEN APUS'!$6:$7</definedName>
    <definedName name="_xlnm.Print_Titles">#N/A</definedName>
    <definedName name="Títulos_a_imprimir_IM">#REF!</definedName>
    <definedName name="TMMSEG">#REF!</definedName>
    <definedName name="TNOL24">#REF!</definedName>
    <definedName name="TNOL27">#REF!</definedName>
    <definedName name="TNOL30">#REF!</definedName>
    <definedName name="TNOL33">#REF!</definedName>
    <definedName name="TNOL36">#REF!</definedName>
    <definedName name="TNOV10">#REF!</definedName>
    <definedName name="TNOV12">#REF!</definedName>
    <definedName name="TNOV14">#REF!</definedName>
    <definedName name="TNOV16">#REF!</definedName>
    <definedName name="TNOV18">#REF!</definedName>
    <definedName name="TNOV20">#REF!</definedName>
    <definedName name="TNOV24">#REF!</definedName>
    <definedName name="TNOV27">#REF!</definedName>
    <definedName name="TNOV30">#REF!</definedName>
    <definedName name="TNOV33">#REF!</definedName>
    <definedName name="TNOV36">#REF!</definedName>
    <definedName name="TNOV4">#REF!</definedName>
    <definedName name="TNOV6">#REF!</definedName>
    <definedName name="TNOV8">#REF!</definedName>
    <definedName name="TODOANA">#REF!</definedName>
    <definedName name="TODOINSU">#REF!</definedName>
    <definedName name="TODOITEM">#REF!</definedName>
    <definedName name="TopEncargado">#REF!</definedName>
    <definedName name="Topo">[6]CUADRILLAS!$B$11</definedName>
    <definedName name="TOPOGR">'[15]4.3-Factor Prest'!$C$44</definedName>
    <definedName name="TORNI">#REF!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_Act01">#REF!</definedName>
    <definedName name="Tot_Act02">#REF!</definedName>
    <definedName name="Tot_Act03">#REF!</definedName>
    <definedName name="TotalOpti">#REF!</definedName>
    <definedName name="TOTALOPTIM">#REF!</definedName>
    <definedName name="TOTALOPTIMIZACION">#REF!</definedName>
    <definedName name="TOTALREPOS">#REF!</definedName>
    <definedName name="TOTALREPOSICION">#REF!</definedName>
    <definedName name="TP">#REF!</definedName>
    <definedName name="TPEAD1008">#REF!</definedName>
    <definedName name="TPFU12">#REF!</definedName>
    <definedName name="TPVCME">#REF!</definedName>
    <definedName name="TPVCP1">#REF!</definedName>
    <definedName name="TPVCP131">#REF!</definedName>
    <definedName name="TPVCR2110">#REF!</definedName>
    <definedName name="TPVCR212">#REF!</definedName>
    <definedName name="TPVCR213">#REF!</definedName>
    <definedName name="TPVCR214">#REF!</definedName>
    <definedName name="TPVCR216">#REF!</definedName>
    <definedName name="TPVCR218">#REF!</definedName>
    <definedName name="TPVCR263">#REF!</definedName>
    <definedName name="TPVCR264">#REF!</definedName>
    <definedName name="TPVCS3">#REF!</definedName>
    <definedName name="TPVCS4">#REF!</definedName>
    <definedName name="TPVCS803">#REF!</definedName>
    <definedName name="TPVTC">#REF!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mites">#REF!</definedName>
    <definedName name="tramos">#REF!</definedName>
    <definedName name="TRANA">#REF!</definedName>
    <definedName name="TRANAG">#REF!</definedName>
    <definedName name="TRANAR">#REF!</definedName>
    <definedName name="TRANC">#REF!</definedName>
    <definedName name="TRANMA">#REF!</definedName>
    <definedName name="TRANMC">#REF!</definedName>
    <definedName name="TRANS">#REF!</definedName>
    <definedName name="TRANS_AGREGADOS">#REF!</definedName>
    <definedName name="TRANS_CEMENTO">#REF!</definedName>
    <definedName name="TRANSINT">#REF!</definedName>
    <definedName name="TRANSP_CEMENTO">#REF!</definedName>
    <definedName name="TRANSPER">#REF!</definedName>
    <definedName name="TRANSPOAGREG">#REF!</definedName>
    <definedName name="TRANSPORI" hidden="1">{#N/A,#N/A,TRUE,"INGENIERIA";#N/A,#N/A,TRUE,"COMPRAS";#N/A,#N/A,TRUE,"DIRECCION";#N/A,#N/A,TRUE,"RESUMEN"}</definedName>
    <definedName name="transporte">#REF!</definedName>
    <definedName name="TRANSPORTE_CEMENTO">#REF!</definedName>
    <definedName name="TRANSPORTE_MULAR_AGREGADOS">#REF!</definedName>
    <definedName name="TRANSPORTE_MULAR_CEMENTO">#REF!</definedName>
    <definedName name="Transporte_volco">'[6]Equipo y transporte'!$D$18</definedName>
    <definedName name="TRANSPORTEMULAR_AGREGADOS">#REF!</definedName>
    <definedName name="tre">#REF!</definedName>
    <definedName name="tr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PLEX">#REF!</definedName>
    <definedName name="trit">#REF!</definedName>
    <definedName name="TRITM">#REF!</definedName>
    <definedName name="TRITU">#REF!</definedName>
    <definedName name="TRITU1">#REF!</definedName>
    <definedName name="TRITURADO_3_4">#REF!</definedName>
    <definedName name="TRITURADO3_4">#REF!</definedName>
    <definedName name="trjfgjh" localSheetId="1" hidden="1">{"via1",#N/A,TRUE,"general";"via2",#N/A,TRUE,"general";"via3",#N/A,TRUE,"general"}</definedName>
    <definedName name="trjfgjh" hidden="1">{"via1",#N/A,TRUE,"general";"via2",#N/A,TRUE,"general";"via3",#N/A,TRUE,"general"}</definedName>
    <definedName name="Tronzadora">'[6]Equipo y transporte'!$D$13</definedName>
    <definedName name="TROZADO">#REF!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#REF!</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AC10">#REF!</definedName>
    <definedName name="TUAC12">#REF!</definedName>
    <definedName name="TUAC14">#REF!</definedName>
    <definedName name="TUAC16">#REF!</definedName>
    <definedName name="TUAC4">#REF!</definedName>
    <definedName name="TUAC6">#REF!</definedName>
    <definedName name="TUB14HD">#REF!</definedName>
    <definedName name="TUB16HD">#REF!</definedName>
    <definedName name="TUB4PERF">#REF!</definedName>
    <definedName name="TUB8AC">#REF!</definedName>
    <definedName name="TUBERÍA_GALVANIZADA2PULG_calibre14">#REF!</definedName>
    <definedName name="Tubería_PVC_alcantarillado_36___Inc.Transporte">[6]Insumos!$D$36</definedName>
    <definedName name="TUBERÍASVÁLVULASACCESORIOS">#REF!</definedName>
    <definedName name="TUBNE">#REF!</definedName>
    <definedName name="Tubo_rectangular_100x40x1.5_mm">[6]Insumos!$D$67</definedName>
    <definedName name="TUBS2">#REF!</definedName>
    <definedName name="TUBS3">#REF!</definedName>
    <definedName name="TUBS4">#REF!</definedName>
    <definedName name="TUBS6">#REF!</definedName>
    <definedName name="TUBSANI4">#REF!</definedName>
    <definedName name="TUBUM218">#REF!</definedName>
    <definedName name="TUERCA">#REF!</definedName>
    <definedName name="TUERCA1">#REF!</definedName>
    <definedName name="TUERCA7">#REF!</definedName>
    <definedName name="TUHD10">#REF!</definedName>
    <definedName name="TUHD16">#REF!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s">#REF!</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Z2110UP">#REF!</definedName>
    <definedName name="TZ2116UP">#REF!</definedName>
    <definedName name="U">#REF!</definedName>
    <definedName name="U_Z">#REF!</definedName>
    <definedName name="U10JH">#REF!</definedName>
    <definedName name="U12JH">#REF!</definedName>
    <definedName name="U2JH">#REF!</definedName>
    <definedName name="U3JH">#REF!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4JH">#REF!</definedName>
    <definedName name="U6JH">#REF!</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8jh">#REF!</definedName>
    <definedName name="UALU">#REF!</definedName>
    <definedName name="uat">#REF!</definedName>
    <definedName name="UCR10HD">#REF!</definedName>
    <definedName name="UCR12HD">#REF!</definedName>
    <definedName name="UCR2HD">#REF!</definedName>
    <definedName name="UCR3HD">#REF!</definedName>
    <definedName name="UCR4HD">#REF!</definedName>
    <definedName name="UCR6HD">#REF!</definedName>
    <definedName name="UCR8HD">#REF!</definedName>
    <definedName name="uhghjkhjhk">#REF!</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jhghjh">#REF!</definedName>
    <definedName name="ULTIMA">#REF!</definedName>
    <definedName name="und">#REF!</definedName>
    <definedName name="UNIDADES">'[15]1-Resumen Ejecutivo'!$E$40</definedName>
    <definedName name="UNION_Z">#REF!</definedName>
    <definedName name="UNOV30">#REF!</definedName>
    <definedName name="UNOV36">#REF!</definedName>
    <definedName name="UNPVP1">#REF!</definedName>
    <definedName name="UNPVP2">#REF!</definedName>
    <definedName name="UNPVP3">#REF!</definedName>
    <definedName name="UNPVP4">#REF!</definedName>
    <definedName name="UNPVP5">#REF!</definedName>
    <definedName name="UNPVP6">#REF!</definedName>
    <definedName name="UNREP6HD">#REF!</definedName>
    <definedName name="UNSOLD">#REF!</definedName>
    <definedName name="UNSOLD2">#REF!</definedName>
    <definedName name="UNSOLD4">#REF!</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PVC">#REF!</definedName>
    <definedName name="URAP10">#REF!</definedName>
    <definedName name="URAP2">#REF!</definedName>
    <definedName name="URAP3">#REF!</definedName>
    <definedName name="URAP4">#REF!</definedName>
    <definedName name="URAP6">#REF!</definedName>
    <definedName name="URAP8">#REF!</definedName>
    <definedName name="UREP10">#REF!</definedName>
    <definedName name="UREP12">#REF!</definedName>
    <definedName name="UREP2">#REF!</definedName>
    <definedName name="UREP3">#REF!</definedName>
    <definedName name="UREP4">#REF!</definedName>
    <definedName name="UREP6">#REF!</definedName>
    <definedName name="UREP8">#REF!</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CM14HD14AC">#REF!</definedName>
    <definedName name="UTIL">#REF!</definedName>
    <definedName name="Utilidad">'[6]A.I.U'!$I$112</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10HD">#REF!</definedName>
    <definedName name="UU10HD2">#REF!</definedName>
    <definedName name="UU12HD">#REF!</definedName>
    <definedName name="UU12HD2">#REF!</definedName>
    <definedName name="UU12HD3">#REF!</definedName>
    <definedName name="UU2HD">#REF!</definedName>
    <definedName name="UU3HD">#REF!</definedName>
    <definedName name="UU4HD">#REF!</definedName>
    <definedName name="UU6HD">#REF!</definedName>
    <definedName name="UU6HD2">#REF!</definedName>
    <definedName name="UU8HD">#REF!</definedName>
    <definedName name="UU8HD2">#REF!</definedName>
    <definedName name="UU8HD3">#REF!</definedName>
    <definedName name="UU8HD4">#REF!</definedName>
    <definedName name="UUHD3">#REF!</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hidden="1">#REF!</definedName>
    <definedName name="VACHD4">#REF!</definedName>
    <definedName name="VACRB3">#REF!</definedName>
    <definedName name="VALAR12">#REF!</definedName>
    <definedName name="VALAR4">#REF!</definedName>
    <definedName name="VALAR8">#REF!</definedName>
    <definedName name="VALCHEB3">#REF!</definedName>
    <definedName name="VALCHEB6">#REF!</definedName>
    <definedName name="VALGUILL3">#REF!</definedName>
    <definedName name="VALGUILL6">#REF!</definedName>
    <definedName name="Valla">'[6]Apu Valla'!$G$78</definedName>
    <definedName name="VALMA3">#REF!</definedName>
    <definedName name="VALMA4">#REF!</definedName>
    <definedName name="valparaiso">#REF!</definedName>
    <definedName name="VAMAH4">#REF!</definedName>
    <definedName name="VAMAH6">#REF!</definedName>
    <definedName name="vaquita" localSheetId="1" hidden="1">{"PRES REHAB ARM-PER POR ITEMS  KM A KM",#N/A,TRUE,"Rehabilitacion Arm-Per"}</definedName>
    <definedName name="vaquita" hidden="1">{"PRES REHAB ARM-PER POR ITEMS  KM A KM",#N/A,TRUE,"Rehabilitacion Arm-Per"}</definedName>
    <definedName name="Var">#REF!</definedName>
    <definedName name="VARLI">#REF!</definedName>
    <definedName name="vas">#REF!</definedName>
    <definedName name="VBOL2">#REF!</definedName>
    <definedName name="VBOL4">#REF!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ELAVNA2JH">#REF!</definedName>
    <definedName name="VCELAVNA4JH">#REF!</definedName>
    <definedName name="VCELAVNA6JH">#REF!</definedName>
    <definedName name="VCELVNA10JH">#REF!</definedName>
    <definedName name="VCELVNA3JH">#REF!</definedName>
    <definedName name="VCELVNA6JH">#REF!</definedName>
    <definedName name="VCELVNA8JH">#REF!</definedName>
    <definedName name="VCEVNAEL3">#REF!</definedName>
    <definedName name="VCEVNAEL4">#REF!</definedName>
    <definedName name="VCSBVNAEL2">#REF!</definedName>
    <definedName name="VCSBVNAEL3">#REF!</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hiculo__Tipo_pickup">'[6]A.I.U'!$E$104</definedName>
    <definedName name="VENAJ10">#REF!</definedName>
    <definedName name="VENAJ3">#REF!</definedName>
    <definedName name="VENAJ4">#REF!</definedName>
    <definedName name="VENAJ6">#REF!</definedName>
    <definedName name="VENAJ8">#REF!</definedName>
    <definedName name="VENTI">#REF!</definedName>
    <definedName name="VENTOSAROSCA2">#REF!</definedName>
    <definedName name="VENTOSAROSCA3">#REF!</definedName>
    <definedName name="VERT">#REF!</definedName>
    <definedName name="VERTEDERO">#REF!</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JE">#REF!</definedName>
    <definedName name="Viaje_Camion600">#REF!</definedName>
    <definedName name="VIAJEMED">#REF!</definedName>
    <definedName name="VIATICOSTOPO">#REF!</definedName>
    <definedName name="VIBGA">#REF!</definedName>
    <definedName name="vibr">#REF!</definedName>
    <definedName name="VIBRA">#REF!</definedName>
    <definedName name="VIBRADOR">#REF!</definedName>
    <definedName name="Vibrador_a_gasolina">'[6]Equipo y transporte'!$D$11</definedName>
    <definedName name="VIBRADOR_CONCRETO_gasolina">#REF!</definedName>
    <definedName name="VIBRCOM">#REF!</definedName>
    <definedName name="VIBRE">#REF!</definedName>
    <definedName name="VIBRO">#REF!</definedName>
    <definedName name="vibrocompactador_de_8_t.">'[6]Equipo y transporte'!$D$12</definedName>
    <definedName name="VIBROCOMPACTADORSD70">#REF!</definedName>
    <definedName name="VIDRI">#REF!</definedName>
    <definedName name="viscosidad">#REF!</definedName>
    <definedName name="vk" localSheetId="1" hidden="1">{"via1",#N/A,TRUE,"general";"via2",#N/A,TRUE,"general";"via3",#N/A,TRUE,"general"}</definedName>
    <definedName name="vk" hidden="1">{"via1",#N/A,TRUE,"general";"via2",#N/A,TRUE,"general";"via3",#N/A,TRUE,"general"}</definedName>
    <definedName name="VLCHB3">#REF!</definedName>
    <definedName name="vnbvxb" localSheetId="1" hidden="1">{"via1",#N/A,TRUE,"general";"via2",#N/A,TRUE,"general";"via3",#N/A,TRUE,"general"}</definedName>
    <definedName name="vnbvxb" hidden="1">{"via1",#N/A,TRUE,"general";"via2",#N/A,TRUE,"general";"via3",#N/A,TRUE,"general"}</definedName>
    <definedName name="VNRM_ST">'[24]2.4-Ppto VNRM sin trat'!$B$6:$I$79</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CIM">#REF!</definedName>
    <definedName name="volm3km">#REF!</definedName>
    <definedName name="VolPE">#REF!</definedName>
    <definedName name="VolPVC">#REF!</definedName>
    <definedName name="VOLQU">#REF!</definedName>
    <definedName name="VOLQUET">#REF!</definedName>
    <definedName name="VOLQUETA">#REF!</definedName>
    <definedName name="Volqueta__6_m³">'[6]Equipo y transporte'!$D$17</definedName>
    <definedName name="VOLQUETAHORA">#REF!</definedName>
    <definedName name="VPL1RW">#REF!</definedName>
    <definedName name="VPVC2">#REF!</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1" hidden="1">{"via1",#N/A,TRUE,"general";"via2",#N/A,TRUE,"general";"via3",#N/A,TRUE,"general"}</definedName>
    <definedName name="w2w2w" hidden="1">{"via1",#N/A,TRUE,"general";"via2",#N/A,TRUE,"general";"via3",#N/A,TRUE,"general"}</definedName>
    <definedName name="WASHP">#REF!</definedName>
    <definedName name="WEERTEG">#REF!</definedName>
    <definedName name="WEEWEWE" hidden="1">{#N/A,#N/A,FALSE,"GRAFICO";#N/A,#N/A,FALSE,"CAJA (2)";#N/A,#N/A,FALSE,"TERCEROS-PROMEDIO";#N/A,#N/A,FALSE,"CAJA";#N/A,#N/A,FALSE,"INGRESOS1995-2003";#N/A,#N/A,FALSE,"GASTOS1995-2003"}</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1"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1" hidden="1">{#N/A,#N/A,TRUE,"CODIGO DEPENDENCIA"}</definedName>
    <definedName name="wrn.ar." hidden="1">{#N/A,#N/A,TRUE,"CODIGO DEPENDENCIA"}</definedName>
    <definedName name="wrn.civil._.works." localSheetId="1" hidden="1">{#N/A,#N/A,TRUE,"1842CWN0"}</definedName>
    <definedName name="wrn.civil._.works." hidden="1">{#N/A,#N/A,TRUE,"1842CWN0"}</definedName>
    <definedName name="wrn.civil._.works._1" localSheetId="1" hidden="1">{#N/A,#N/A,TRUE,"1842CWN0"}</definedName>
    <definedName name="wrn.civil._.works._1" hidden="1">{#N/A,#N/A,TRUE,"1842CWN0"}</definedName>
    <definedName name="wrn.civil._.works._2" localSheetId="1" hidden="1">{#N/A,#N/A,TRUE,"1842CWN0"}</definedName>
    <definedName name="wrn.civil._.works._2" hidden="1">{#N/A,#N/A,TRUE,"1842CWN0"}</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GERENCIA._1" localSheetId="1" hidden="1">{#N/A,#N/A,TRUE,"INGENIERIA";#N/A,#N/A,TRUE,"COMPRAS";#N/A,#N/A,TRUE,"DIRECCION";#N/A,#N/A,TRUE,"RESUMEN"}</definedName>
    <definedName name="wrn.GERENCIA._1" hidden="1">{#N/A,#N/A,TRUE,"INGENIERIA";#N/A,#N/A,TRUE,"COMPRAS";#N/A,#N/A,TRUE,"DIRECCION";#N/A,#N/A,TRUE,"RESUMEN"}</definedName>
    <definedName name="wrn.GERENCIA._2" localSheetId="1" hidden="1">{#N/A,#N/A,TRUE,"INGENIERIA";#N/A,#N/A,TRUE,"COMPRAS";#N/A,#N/A,TRUE,"DIRECCION";#N/A,#N/A,TRUE,"RESUMEN"}</definedName>
    <definedName name="wrn.GERENCIA._2" hidden="1">{#N/A,#N/A,TRUE,"INGENIERIA";#N/A,#N/A,TRUE,"COMPRAS";#N/A,#N/A,TRUE,"DIRECCION";#N/A,#N/A,TRUE,"RESUMEN"}</definedName>
    <definedName name="wrn.items." localSheetId="1" hidden="1">{#N/A,#N/A,FALSE,"Items"}</definedName>
    <definedName name="wrn.items." hidden="1">{#N/A,#N/A,FALSE,"Items"}</definedName>
    <definedName name="wrn.listado." hidden="1">{#N/A,#N/A,FALSE,"PROPON.2001"}</definedName>
    <definedName name="wrn.LL0004A." localSheetId="1"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PROYEC." localSheetId="1"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umen." localSheetId="1" hidden="1">{"total",#N/A,FALSE,"TD 0% ";"total",#N/A,FALSE,"TD 12%";"total",#N/A,FALSE,"TD 10%"}</definedName>
    <definedName name="wrn.resumen." hidden="1">{"total",#N/A,FALSE,"TD 0% ";"total",#N/A,FALSE,"TD 12%";"total",#N/A,FALSE,"TD 10%"}</definedName>
    <definedName name="wrn.SENCILLO." localSheetId="1"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1"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1"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localSheetId="1" hidden="1">{#N/A,#N/A,FALSE,"Items"}</definedName>
    <definedName name="wrn1.items" hidden="1">{#N/A,#N/A,FALSE,"Items"}</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1" hidden="1">{#N/A,#N/A,TRUE,"1842CWN0"}</definedName>
    <definedName name="XSW" hidden="1">{#N/A,#N/A,TRUE,"1842CWN0"}</definedName>
    <definedName name="XSW_1" localSheetId="1" hidden="1">{#N/A,#N/A,TRUE,"1842CWN0"}</definedName>
    <definedName name="XSW_1" hidden="1">{#N/A,#N/A,TRUE,"1842CWN0"}</definedName>
    <definedName name="XSW_2" localSheetId="1" hidden="1">{#N/A,#N/A,TRUE,"1842CWN0"}</definedName>
    <definedName name="XSW_2"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ds" localSheetId="1" hidden="1">{"via1",#N/A,TRUE,"general";"via2",#N/A,TRUE,"general";"via3",#N/A,TRUE,"general"}</definedName>
    <definedName name="xxxxxds" hidden="1">{"via1",#N/A,TRUE,"general";"via2",#N/A,TRUE,"general";"via3",#N/A,TRUE,"general"}</definedName>
    <definedName name="xxxxxxcxxxx" hidden="1">"C:\C-314\VOLUMENES\volfin4.mdb"</definedName>
    <definedName name="xxxxxxxxxx29" localSheetId="1" hidden="1">{"via1",#N/A,TRUE,"general";"via2",#N/A,TRUE,"general";"via3",#N/A,TRUE,"general"}</definedName>
    <definedName name="xxxxxxxxxx29" hidden="1">{"via1",#N/A,TRUE,"general";"via2",#N/A,TRUE,"general";"via3",#N/A,TRUE,"general"}</definedName>
    <definedName name="XZS" hidden="1">#REF!</definedName>
    <definedName name="XZXZV" localSheetId="1" hidden="1">{"via1",#N/A,TRUE,"general";"via2",#N/A,TRUE,"general";"via3",#N/A,TRUE,"general"}</definedName>
    <definedName name="XZXZV" hidden="1">{"via1",#N/A,TRUE,"general";"via2",#N/A,TRUE,"general";"via3",#N/A,TRUE,"general"}</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3JH">#REF!</definedName>
    <definedName name="Y66BD">#REF!</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 localSheetId="1"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R" hidden="1">{#N/A,#N/A,FALSE,"PROPON.2001"}</definedName>
    <definedName name="YORLY" hidden="1">{#N/A,#N/A,FALSE,"PROPON.2001"}</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UYYYY">#REF!</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_026CD6D7_F7CA_4BE8_B625_9A1778CFA739_.wvu.FilterData" hidden="1">[5]Presupuesto_Via_distribuidora!$A$9:$H$344</definedName>
    <definedName name="Z_026CD6D7_F7CA_4BE8_B625_9A1778CFA739_.wvu.PrintArea" hidden="1">[5]Presupuesto_Via_distribuidora!$A$390:$I$602</definedName>
    <definedName name="Z_026CD6D7_F7CA_4BE8_B625_9A1778CFA739_.wvu.PrintTitles" hidden="1">[5]Presupuesto_Via_distribuidora!$A$380:$IV$389</definedName>
    <definedName name="Z_05670E35_1347_49D9_AD91_AA9A31A4EF61_.wvu.FilterData" hidden="1">[5]Presupuesto_Via_distribuidora!$A$9:$H$344</definedName>
    <definedName name="Z_05670E35_1347_49D9_AD91_AA9A31A4EF61_.wvu.PrintArea" hidden="1">[5]Presupuesto_Via_distribuidora!$C$1:$H$344</definedName>
    <definedName name="Z_05670E35_1347_49D9_AD91_AA9A31A4EF61_.wvu.PrintTitles" hidden="1">[5]Presupuesto_Via_distribuidora!$A$2:$IV$8</definedName>
    <definedName name="Z_086A872D_15DF_436A_8459_CE22F6819FF4_.wvu.Rows" hidden="1">[3]Presentacion!#REF!</definedName>
    <definedName name="Z_0890F28A_A8C8_451C_A3E6_C3AFDD239B64_.wvu.FilterData" hidden="1">[5]Presupuesto_Via_distribuidora!$A$9:$H$344</definedName>
    <definedName name="Z_0890F28A_A8C8_451C_A3E6_C3AFDD239B64_.wvu.PrintArea" hidden="1">[5]Presupuesto_Via_distribuidora!$A$392:$I$604</definedName>
    <definedName name="Z_0890F28A_A8C8_451C_A3E6_C3AFDD239B64_.wvu.PrintTitles" hidden="1">[5]Presupuesto_Via_distribuidora!$A$382:$IV$391</definedName>
    <definedName name="Z_0A4C2D72_EA87_11DA_B6F6_00609720E0A1_.wvu.FilterData" hidden="1">[5]Presupuesto_Via_distribuidora!$A$9:$H$344</definedName>
    <definedName name="Z_0A4C2D72_EA87_11DA_B6F6_00609720E0A1_.wvu.PrintArea" hidden="1">[5]Presupuesto_Via_distribuidora!$A$10:$I$164</definedName>
    <definedName name="Z_0A4C2D72_EA87_11DA_B6F6_00609720E0A1_.wvu.PrintTitles" hidden="1">[5]Presupuesto_Via_distribuidora!$A$1:$IV$9</definedName>
    <definedName name="Z_0A4C2D73_EA87_11DA_B6F6_00609720E0A1_.wvu.FilterData" hidden="1">[5]Presupuesto_Via_distribuidora!$A$9:$H$344</definedName>
    <definedName name="Z_0A4C2D73_EA87_11DA_B6F6_00609720E0A1_.wvu.PrintArea" hidden="1">[5]Presupuesto_Via_distribuidora!$A$176:$I$193</definedName>
    <definedName name="Z_0A4C2D73_EA87_11DA_B6F6_00609720E0A1_.wvu.PrintTitles" hidden="1">[5]Presupuesto_Via_distribuidora!#REF!</definedName>
    <definedName name="Z_0A4C2D74_EA87_11DA_B6F6_00609720E0A1_.wvu.FilterData" hidden="1">[5]Presupuesto_Via_distribuidora!$A$9:$H$344</definedName>
    <definedName name="Z_0A4C2D74_EA87_11DA_B6F6_00609720E0A1_.wvu.PrintArea" hidden="1">[5]Presupuesto_Via_distribuidora!$A$342:$I$541</definedName>
    <definedName name="Z_0A4C2D74_EA87_11DA_B6F6_00609720E0A1_.wvu.PrintTitles" hidden="1">[5]Presupuesto_Via_distribuidora!#REF!</definedName>
    <definedName name="Z_0A4C2D75_EA87_11DA_B6F6_00609720E0A1_.wvu.FilterData" hidden="1">[5]Presupuesto_Via_distribuidora!$A$9:$H$344</definedName>
    <definedName name="Z_0A4C2D75_EA87_11DA_B6F6_00609720E0A1_.wvu.PrintArea" hidden="1">[5]Presupuesto_Via_distribuidora!$A$557:$I$825</definedName>
    <definedName name="Z_0A4C2D75_EA87_11DA_B6F6_00609720E0A1_.wvu.PrintTitles" hidden="1">[5]Presupuesto_Via_distribuidora!$A$547:$IV$556</definedName>
    <definedName name="Z_0A4C2D76_EA87_11DA_B6F6_00609720E0A1_.wvu.FilterData" hidden="1">[5]Presupuesto_Via_distribuidora!$A$9:$H$344</definedName>
    <definedName name="Z_0A4C2D76_EA87_11DA_B6F6_00609720E0A1_.wvu.PrintArea" hidden="1">[5]Presupuesto_Via_distribuidora!$A$839:$I$1037</definedName>
    <definedName name="Z_0A4C2D76_EA87_11DA_B6F6_00609720E0A1_.wvu.PrintTitles" hidden="1">[5]Presupuesto_Via_distribuidora!$A$829:$IV$838</definedName>
    <definedName name="Z_0E0DE1F8_394A_4093_8E74_B2A631A3A88C_.wvu.FilterData" hidden="1">[5]Presupuesto_Via_distribuidora!$A$9:$H$344</definedName>
    <definedName name="Z_0E0DE1F8_394A_4093_8E74_B2A631A3A88C_.wvu.PrintArea" hidden="1">[5]Presupuesto_Via_distribuidora!$A$620:$I$888</definedName>
    <definedName name="Z_0E0DE1F8_394A_4093_8E74_B2A631A3A88C_.wvu.PrintTitles" hidden="1">[5]Presupuesto_Via_distribuidora!$A$610:$IV$619</definedName>
    <definedName name="Z_18C710ED_70CF_48D0_92F5_038A88335068_.wvu.FilterData" hidden="1">[5]Presupuesto_Via_distribuidora!$A$9:$H$344</definedName>
    <definedName name="Z_18C710ED_70CF_48D0_92F5_038A88335068_.wvu.PrintArea" hidden="1">[5]Presupuesto_Via_distribuidora!$C$1:$H$344</definedName>
    <definedName name="Z_18C710ED_70CF_48D0_92F5_038A88335068_.wvu.PrintTitles" hidden="1">[5]Presupuesto_Via_distribuidora!$A$2:$IV$8</definedName>
    <definedName name="Z_378D82E8_FE69_4712_AE73_9D578C4190DE_.wvu.FilterData" hidden="1">[5]Presupuesto_Via_distribuidora!$A$9:$H$344</definedName>
    <definedName name="Z_378D82E8_FE69_4712_AE73_9D578C4190DE_.wvu.PrintArea" hidden="1">[5]Presupuesto_Via_distribuidora!$C$1:$H$344</definedName>
    <definedName name="Z_378D82E8_FE69_4712_AE73_9D578C4190DE_.wvu.PrintTitles" hidden="1">[5]Presupuesto_Via_distribuidora!$A$2:$IV$8</definedName>
    <definedName name="Z_381FCF61_DF95_4756_B103_A1118DFFDE02_.wvu.FilterData" hidden="1">[5]Presupuesto_Via_distribuidora!$A$9:$H$344</definedName>
    <definedName name="Z_381FCF61_DF95_4756_B103_A1118DFFDE02_.wvu.PrintArea" hidden="1">[5]Presupuesto_Via_distribuidora!$C$1:$H$344</definedName>
    <definedName name="Z_381FCF61_DF95_4756_B103_A1118DFFDE02_.wvu.PrintTitles" hidden="1">[5]Presupuesto_Via_distribuidora!$A$2:$IV$8</definedName>
    <definedName name="Z_3B3C0CA1_2A9C_45FD_9823_50B200F6C0D1_.wvu.FilterData" hidden="1">[5]Presupuesto_Via_distribuidora!$A$9:$H$344</definedName>
    <definedName name="Z_3B3C0CA1_2A9C_45FD_9823_50B200F6C0D1_.wvu.PrintArea" hidden="1">[5]Presupuesto_Via_distribuidora!$C$1:$H$344</definedName>
    <definedName name="Z_3B3C0CA1_2A9C_45FD_9823_50B200F6C0D1_.wvu.PrintTitles" hidden="1">[5]Presupuesto_Via_distribuidora!$A$2:$IV$8</definedName>
    <definedName name="Z_3E9430E5_6A83_435B_9E47_1B8F7E18D67C_.wvu.FilterData" hidden="1">[5]Presupuesto_Via_distribuidora!$A$9:$H$344</definedName>
    <definedName name="Z_3E9430E5_6A83_435B_9E47_1B8F7E18D67C_.wvu.PrintArea" hidden="1">[5]Presupuesto_Via_distribuidora!$C$1:$H$344</definedName>
    <definedName name="Z_3E9430E5_6A83_435B_9E47_1B8F7E18D67C_.wvu.PrintTitles" hidden="1">[5]Presupuesto_Via_distribuidora!$A$2:$IV$8</definedName>
    <definedName name="Z_4A14CB5C_2287_4F6E_9A65_22F0A4D81D81_.wvu.FilterData" hidden="1">[5]Presupuesto_Via_distribuidora!$A$9:$H$344</definedName>
    <definedName name="Z_4A14CB5C_2287_4F6E_9A65_22F0A4D81D81_.wvu.PrintArea" hidden="1">[5]Presupuesto_Via_distribuidora!$C$1:$H$344</definedName>
    <definedName name="Z_4A14CB5C_2287_4F6E_9A65_22F0A4D81D81_.wvu.PrintTitles" hidden="1">[5]Presupuesto_Via_distribuidora!$A$2:$IV$8</definedName>
    <definedName name="Z_4BBC24C4_A093_4EC9_8AFF_49C6F602CC39_.wvu.FilterData" hidden="1">[5]Presupuesto_Via_distribuidora!$A$9:$H$344</definedName>
    <definedName name="Z_4BBC24C4_A093_4EC9_8AFF_49C6F602CC39_.wvu.PrintArea" hidden="1">[5]Presupuesto_Via_distribuidora!$C$1:$H$344</definedName>
    <definedName name="Z_4BBC24C4_A093_4EC9_8AFF_49C6F602CC39_.wvu.PrintTitles" hidden="1">[5]Presupuesto_Via_distribuidora!$A$2:$IV$8</definedName>
    <definedName name="Z_504A8F9D_2C46_439E_975A_DF1C1FA56E7B_.wvu.FilterData" hidden="1">[5]Presupuesto_Via_distribuidora!$A$9:$H$344</definedName>
    <definedName name="Z_504A8F9D_2C46_439E_975A_DF1C1FA56E7B_.wvu.PrintArea" hidden="1">[5]Presupuesto_Via_distribuidora!$C$1:$H$344</definedName>
    <definedName name="Z_504A8F9D_2C46_439E_975A_DF1C1FA56E7B_.wvu.PrintTitles" hidden="1">[5]Presupuesto_Via_distribuidora!$A$2:$IV$8</definedName>
    <definedName name="Z_653348E7_CDAD_4F62_A236_641A4BB6425A_.wvu.FilterData" hidden="1">[5]Presupuesto_Via_distribuidora!$A$9:$H$344</definedName>
    <definedName name="Z_653348E7_CDAD_4F62_A236_641A4BB6425A_.wvu.PrintArea" hidden="1">[5]Presupuesto_Via_distribuidora!$A$221:$I$375</definedName>
    <definedName name="Z_653348E7_CDAD_4F62_A236_641A4BB6425A_.wvu.PrintTitles" hidden="1">[5]Presupuesto_Via_distribuidora!$A$211:$IV$220</definedName>
    <definedName name="Z_68C48519_C8C2_4287_96F6_0F561F815CE8_.wvu.FilterData" hidden="1">[5]Presupuesto_Via_distribuidora!$A$9:$H$344</definedName>
    <definedName name="Z_68C48519_C8C2_4287_96F6_0F561F815CE8_.wvu.PrintArea" hidden="1">[5]Presupuesto_Via_distribuidora!$C$1:$H$344</definedName>
    <definedName name="Z_68C48519_C8C2_4287_96F6_0F561F815CE8_.wvu.PrintTitles" hidden="1">[5]Presupuesto_Via_distribuidora!$A$2:$IV$8</definedName>
    <definedName name="Z_6BA141F2_E104_11DA_B6F6_00609720E0A1_.wvu.FilterData" hidden="1">[5]Presupuesto_Via_distribuidora!$A$9:$H$344</definedName>
    <definedName name="Z_6BA141F2_E104_11DA_B6F6_00609720E0A1_.wvu.PrintArea" hidden="1">[5]Presupuesto_Via_distribuidora!$A$10:$I$164</definedName>
    <definedName name="Z_6BA141F2_E104_11DA_B6F6_00609720E0A1_.wvu.PrintTitles" hidden="1">[5]Presupuesto_Via_distribuidora!$A$1:$IV$9</definedName>
    <definedName name="Z_6BA141F3_E104_11DA_B6F6_00609720E0A1_.wvu.FilterData" hidden="1">[5]Presupuesto_Via_distribuidora!$A$9:$H$344</definedName>
    <definedName name="Z_6BA141F3_E104_11DA_B6F6_00609720E0A1_.wvu.PrintArea" hidden="1">[5]Presupuesto_Via_distribuidora!$A$176:$I$193</definedName>
    <definedName name="Z_6BA141F3_E104_11DA_B6F6_00609720E0A1_.wvu.PrintTitles" hidden="1">[5]Presupuesto_Via_distribuidora!#REF!</definedName>
    <definedName name="Z_6BA141F4_E104_11DA_B6F6_00609720E0A1_.wvu.FilterData" hidden="1">[5]Presupuesto_Via_distribuidora!$A$9:$H$344</definedName>
    <definedName name="Z_6BA141F4_E104_11DA_B6F6_00609720E0A1_.wvu.PrintArea" hidden="1">[5]Presupuesto_Via_distribuidora!$A$342:$I$541</definedName>
    <definedName name="Z_6BA141F4_E104_11DA_B6F6_00609720E0A1_.wvu.PrintTitles" hidden="1">[5]Presupuesto_Via_distribuidora!#REF!</definedName>
    <definedName name="Z_6BA141F5_E104_11DA_B6F6_00609720E0A1_.wvu.FilterData" hidden="1">[5]Presupuesto_Via_distribuidora!$A$9:$H$344</definedName>
    <definedName name="Z_6BA141F5_E104_11DA_B6F6_00609720E0A1_.wvu.PrintArea" hidden="1">[5]Presupuesto_Via_distribuidora!$A$557:$I$825</definedName>
    <definedName name="Z_6BA141F5_E104_11DA_B6F6_00609720E0A1_.wvu.PrintTitles" hidden="1">[5]Presupuesto_Via_distribuidora!$A$547:$IV$556</definedName>
    <definedName name="Z_6BA141F6_E104_11DA_B6F6_00609720E0A1_.wvu.FilterData" hidden="1">[5]Presupuesto_Via_distribuidora!$A$9:$H$344</definedName>
    <definedName name="Z_6BA141F6_E104_11DA_B6F6_00609720E0A1_.wvu.PrintArea" hidden="1">[5]Presupuesto_Via_distribuidora!$A$839:$I$1037</definedName>
    <definedName name="Z_6BA141F6_E104_11DA_B6F6_00609720E0A1_.wvu.PrintTitles" hidden="1">[5]Presupuesto_Via_distribuidora!$A$829:$IV$838</definedName>
    <definedName name="Z_726673D2_C579_4EF3_83C7_45DC3792EA6A_.wvu.FilterData" hidden="1">[5]Presupuesto_Via_distribuidora!$A$9:$H$344</definedName>
    <definedName name="Z_726673D2_C579_4EF3_83C7_45DC3792EA6A_.wvu.PrintArea" hidden="1">[5]Presupuesto_Via_distribuidora!$A$10:$I$208</definedName>
    <definedName name="Z_726673D2_C579_4EF3_83C7_45DC3792EA6A_.wvu.PrintTitles" hidden="1">[5]Presupuesto_Via_distribuidora!$A$1:$IV$9</definedName>
    <definedName name="Z_729969D8_DFDA_47B9_ADA2_E05CF62B3DEF_.wvu.FilterData" hidden="1">[5]Presupuesto_Via_distribuidora!$A$9:$H$344</definedName>
    <definedName name="Z_729969D8_DFDA_47B9_ADA2_E05CF62B3DEF_.wvu.PrintArea" hidden="1">[5]Presupuesto_Via_distribuidora!$A$618:$I$886</definedName>
    <definedName name="Z_729969D8_DFDA_47B9_ADA2_E05CF62B3DEF_.wvu.PrintTitles" hidden="1">[5]Presupuesto_Via_distribuidora!$A$608:$IV$617</definedName>
    <definedName name="Z_75EDDC88_CA8C_4671_911D_25D74F37EC47_.wvu.FilterData" hidden="1">[5]Presupuesto_Via_distribuidora!$A$9:$H$344</definedName>
    <definedName name="Z_75EDDC88_CA8C_4671_911D_25D74F37EC47_.wvu.PrintArea" hidden="1">[5]Presupuesto_Via_distribuidora!$A$902:$I$1100</definedName>
    <definedName name="Z_75EDDC88_CA8C_4671_911D_25D74F37EC47_.wvu.PrintTitles" hidden="1">[5]Presupuesto_Via_distribuidora!$A$892:$IV$901</definedName>
    <definedName name="Z_80573755_2D8B_4158_BD3A_CC331B950748_.wvu.FilterData" hidden="1">[5]Presupuesto_Via_distribuidora!$A$9:$H$344</definedName>
    <definedName name="Z_80573755_2D8B_4158_BD3A_CC331B950748_.wvu.PrintArea" hidden="1">[5]Presupuesto_Via_distribuidora!$A$221:$I$375</definedName>
    <definedName name="Z_80573755_2D8B_4158_BD3A_CC331B950748_.wvu.PrintTitles" hidden="1">[5]Presupuesto_Via_distribuidora!$A$211:$IV$220</definedName>
    <definedName name="Z_91E95AE5_DCC2_11D0_8DF1_00805F2A002D_.wvu.Cols" hidden="1">#REF!,#REF!</definedName>
    <definedName name="Z_91E95AE6_DCC2_11D0_8DF1_00805F2A002D_.wvu.Cols" hidden="1">#REF!,#REF!</definedName>
    <definedName name="Z_91E95AE6_DCC2_11D0_8DF1_00805F2A002D_.wvu.Rows" hidden="1">#REF!,#REF!</definedName>
    <definedName name="Z_91E95AE7_DCC2_11D0_8DF1_00805F2A002D_.wvu.Cols" hidden="1">#REF!,#REF!,#REF!,#REF!,#REF!,#REF!,#REF!,#REF!</definedName>
    <definedName name="Z_91E95AE8_DCC2_11D0_8DF1_00805F2A002D_.wvu.Cols" hidden="1">#REF!,#REF!,#REF!,#REF!,#REF!</definedName>
    <definedName name="Z_91E95AE9_DCC2_11D0_8DF1_00805F2A002D_.wvu.Cols" hidden="1">#REF!,#REF!,#REF!,#REF!,#REF!,#REF!</definedName>
    <definedName name="Z_91E95AEB_DCC2_11D0_8DF1_00805F2A002D_.wvu.Cols" hidden="1">#REF!,#REF!</definedName>
    <definedName name="Z_91E95AEC_DCC2_11D0_8DF1_00805F2A002D_.wvu.Cols" hidden="1">#REF!,#REF!,#REF!,#REF!,#REF!</definedName>
    <definedName name="Z_9C7B0D6D_4DDE_4C72_B23F_2E183F63ECB1_.wvu.FilterData" hidden="1">[5]Presupuesto_Via_distribuidora!$A$9:$H$344</definedName>
    <definedName name="Z_9C7B0D6D_4DDE_4C72_B23F_2E183F63ECB1_.wvu.PrintArea" hidden="1">[5]Presupuesto_Via_distribuidora!$C$1:$H$344</definedName>
    <definedName name="Z_9C7B0D6D_4DDE_4C72_B23F_2E183F63ECB1_.wvu.PrintTitles" hidden="1">[5]Presupuesto_Via_distribuidora!$A$2:$IV$8</definedName>
    <definedName name="Z_9C8B6436_249F_426A_96DC_EEE5E7CB7D1B_.wvu.FilterData" hidden="1">[5]Presupuesto_Via_distribuidora!$A$9:$H$344</definedName>
    <definedName name="Z_9C8B6436_249F_426A_96DC_EEE5E7CB7D1B_.wvu.PrintArea" hidden="1">[5]Presupuesto_Via_distribuidora!$C$1:$H$344</definedName>
    <definedName name="Z_9C8B6436_249F_426A_96DC_EEE5E7CB7D1B_.wvu.PrintTitles" hidden="1">[5]Presupuesto_Via_distribuidora!$A$2:$IV$8</definedName>
    <definedName name="Z_9FCFD0D5_270B_4F36_B422_02EF7A3700B8_.wvu.FilterData" hidden="1">[5]Presupuesto_Via_distribuidora!$A$9:$H$344</definedName>
    <definedName name="Z_9FCFD0D5_270B_4F36_B422_02EF7A3700B8_.wvu.PrintArea" hidden="1">[5]Presupuesto_Via_distribuidora!$A$390:$I$602</definedName>
    <definedName name="Z_9FCFD0D5_270B_4F36_B422_02EF7A3700B8_.wvu.PrintTitles" hidden="1">[5]Presupuesto_Via_distribuidora!$A$380:$IV$389</definedName>
    <definedName name="Z_9FE8FF3F_4486_44D6_9AFB_43CC5B824BF9_.wvu.FilterData" hidden="1">[5]Presupuesto_Via_distribuidora!$A$9:$H$344</definedName>
    <definedName name="Z_9FE8FF3F_4486_44D6_9AFB_43CC5B824BF9_.wvu.PrintArea" hidden="1">[5]Presupuesto_Via_distribuidora!$C$1:$H$344</definedName>
    <definedName name="Z_9FE8FF3F_4486_44D6_9AFB_43CC5B824BF9_.wvu.PrintTitles" hidden="1">[5]Presupuesto_Via_distribuidora!$A$2:$IV$8</definedName>
    <definedName name="Z_A3DE26BA_CF48_4654_9BE9_FAEB3C301C95_.wvu.FilterData" hidden="1">[5]Presupuesto_Via_distribuidora!$A$9:$H$344</definedName>
    <definedName name="Z_A3DE26BA_CF48_4654_9BE9_FAEB3C301C95_.wvu.PrintArea" hidden="1">[5]Presupuesto_Via_distribuidora!$A$221:$I$377</definedName>
    <definedName name="Z_A3DE26BA_CF48_4654_9BE9_FAEB3C301C95_.wvu.PrintTitles" hidden="1">[5]Presupuesto_Via_distribuidora!$A$211:$IV$220</definedName>
    <definedName name="Z_AAA1DD33_F1E3_423A_B1F2_E8567F4D95A5_.wvu.FilterData" hidden="1">[5]Presupuesto_Via_distribuidora!$A$9:$H$344</definedName>
    <definedName name="Z_AAA1DD33_F1E3_423A_B1F2_E8567F4D95A5_.wvu.PrintArea" hidden="1">[5]Presupuesto_Via_distribuidora!$A$900:$I$1098</definedName>
    <definedName name="Z_AAA1DD33_F1E3_423A_B1F2_E8567F4D95A5_.wvu.PrintTitles" hidden="1">[5]Presupuesto_Via_distribuidora!$A$890:$IV$899</definedName>
    <definedName name="Z_B4899972_EBDC_11DA_B6F6_00609720E0A1_.wvu.FilterData" hidden="1">[5]Presupuesto_Via_distribuidora!$A$9:$H$344</definedName>
    <definedName name="Z_B4899972_EBDC_11DA_B6F6_00609720E0A1_.wvu.PrintArea" hidden="1">[5]Presupuesto_Via_distribuidora!$A$10:$I$164</definedName>
    <definedName name="Z_B4899972_EBDC_11DA_B6F6_00609720E0A1_.wvu.PrintTitles" hidden="1">[5]Presupuesto_Via_distribuidora!$A$1:$IV$9</definedName>
    <definedName name="Z_B4899973_EBDC_11DA_B6F6_00609720E0A1_.wvu.FilterData" hidden="1">[5]Presupuesto_Via_distribuidora!$A$9:$H$344</definedName>
    <definedName name="Z_B4899973_EBDC_11DA_B6F6_00609720E0A1_.wvu.PrintArea" hidden="1">[5]Presupuesto_Via_distribuidora!$A$176:$I$193</definedName>
    <definedName name="Z_B4899973_EBDC_11DA_B6F6_00609720E0A1_.wvu.PrintTitles" hidden="1">[5]Presupuesto_Via_distribuidora!#REF!</definedName>
    <definedName name="Z_B4899974_EBDC_11DA_B6F6_00609720E0A1_.wvu.FilterData" hidden="1">[5]Presupuesto_Via_distribuidora!$A$9:$H$344</definedName>
    <definedName name="Z_B4899974_EBDC_11DA_B6F6_00609720E0A1_.wvu.PrintArea" hidden="1">[5]Presupuesto_Via_distribuidora!$A$342:$I$541</definedName>
    <definedName name="Z_B4899974_EBDC_11DA_B6F6_00609720E0A1_.wvu.PrintTitles" hidden="1">[5]Presupuesto_Via_distribuidora!#REF!</definedName>
    <definedName name="Z_B4899975_EBDC_11DA_B6F6_00609720E0A1_.wvu.FilterData" hidden="1">[5]Presupuesto_Via_distribuidora!$A$9:$H$344</definedName>
    <definedName name="Z_B4899975_EBDC_11DA_B6F6_00609720E0A1_.wvu.PrintArea" hidden="1">[5]Presupuesto_Via_distribuidora!$A$557:$I$825</definedName>
    <definedName name="Z_B4899975_EBDC_11DA_B6F6_00609720E0A1_.wvu.PrintTitles" hidden="1">[5]Presupuesto_Via_distribuidora!$A$547:$IV$556</definedName>
    <definedName name="Z_B4899976_EBDC_11DA_B6F6_00609720E0A1_.wvu.FilterData" hidden="1">[5]Presupuesto_Via_distribuidora!$A$9:$H$344</definedName>
    <definedName name="Z_B4899976_EBDC_11DA_B6F6_00609720E0A1_.wvu.PrintArea" hidden="1">[5]Presupuesto_Via_distribuidora!$A$839:$I$1037</definedName>
    <definedName name="Z_B4899976_EBDC_11DA_B6F6_00609720E0A1_.wvu.PrintTitles" hidden="1">[5]Presupuesto_Via_distribuidora!$A$829:$IV$838</definedName>
    <definedName name="Z_C24E6469_C4CC_430B_8814_72DD019DF2C8_.wvu.FilterData" hidden="1">[5]Presupuesto_Via_distribuidora!$A$9:$H$344</definedName>
    <definedName name="Z_C24E6469_C4CC_430B_8814_72DD019DF2C8_.wvu.PrintArea" hidden="1">[5]Presupuesto_Via_distribuidora!$A$900:$I$1098</definedName>
    <definedName name="Z_C24E6469_C4CC_430B_8814_72DD019DF2C8_.wvu.PrintTitles" hidden="1">[5]Presupuesto_Via_distribuidora!$A$890:$IV$899</definedName>
    <definedName name="Z_CA61CA57_E7CE_4A4D_974A_F3124BCA2797_.wvu.FilterData" hidden="1">[5]Presupuesto_Via_distribuidora!$A$9:$H$344</definedName>
    <definedName name="Z_CA61CA57_E7CE_4A4D_974A_F3124BCA2797_.wvu.PrintArea" hidden="1">[5]Presupuesto_Via_distribuidora!$A$618:$I$886</definedName>
    <definedName name="Z_CA61CA57_E7CE_4A4D_974A_F3124BCA2797_.wvu.PrintTitles" hidden="1">[5]Presupuesto_Via_distribuidora!$A$608:$IV$617</definedName>
    <definedName name="Z_D55C8B2E_861A_459E_9D09_3AF38A1DE99E_.wvu.Rows" hidden="1">[3]Presentacion!#REF!</definedName>
    <definedName name="Z_DA4D5A8F_12FA_42F5_A8BB_526600E97433_.wvu.FilterData" hidden="1">[5]Presupuesto_Via_distribuidora!$A$9:$H$344</definedName>
    <definedName name="Z_DA4D5A8F_12FA_42F5_A8BB_526600E97433_.wvu.PrintArea" hidden="1">[5]Presupuesto_Via_distribuidora!$C$1:$H$344</definedName>
    <definedName name="Z_DA4D5A8F_12FA_42F5_A8BB_526600E97433_.wvu.PrintTitles" hidden="1">[5]Presupuesto_Via_distribuidora!$A$2:$IV$8</definedName>
    <definedName name="Z_DFB4C5EB_A8D3_475E_B627_EA98F95F9220_.wvu.FilterData" hidden="1">[5]Presupuesto_Via_distribuidora!$A$9:$H$344</definedName>
    <definedName name="Z_DFB4C5EB_A8D3_475E_B627_EA98F95F9220_.wvu.PrintArea" hidden="1">[5]Presupuesto_Via_distribuidora!$A$10:$I$208</definedName>
    <definedName name="Z_DFB4C5EB_A8D3_475E_B627_EA98F95F9220_.wvu.PrintTitles" hidden="1">[5]Presupuesto_Via_distribuidora!$A$1:$IV$9</definedName>
    <definedName name="Z_F2B990A1_57B3_4766_8C3D_4D3A5265BAEF_.wvu.FilterData" hidden="1">[5]Presupuesto_Via_distribuidora!$A$9:$H$344</definedName>
    <definedName name="Z_F2B990A1_57B3_4766_8C3D_4D3A5265BAEF_.wvu.PrintArea" hidden="1">[5]Presupuesto_Via_distribuidora!$C$1:$H$344</definedName>
    <definedName name="Z_F2B990A1_57B3_4766_8C3D_4D3A5265BAEF_.wvu.PrintTitles" hidden="1">[5]Presupuesto_Via_distribuidora!$A$2:$IV$8</definedName>
    <definedName name="Z_F540D718_D9AA_403F_AE49_60D937FD77E5_.wvu.Rows" hidden="1">[3]Presentacion!#REF!</definedName>
    <definedName name="Z_F9482E1F_92B8_43D8_949A_7DDCF2E63A19_.wvu.FilterData" hidden="1">[5]Presupuesto_Via_distribuidora!$A$9:$H$344</definedName>
    <definedName name="Z_F9482E1F_92B8_43D8_949A_7DDCF2E63A19_.wvu.PrintArea" hidden="1">[5]Presupuesto_Via_distribuidora!$A$10:$I$208</definedName>
    <definedName name="Z_F9482E1F_92B8_43D8_949A_7DDCF2E63A19_.wvu.PrintTitles" hidden="1">[5]Presupuesto_Via_distribuidora!$A$1:$IV$9</definedName>
    <definedName name="ZAQ" localSheetId="1" hidden="1">{#N/A,#N/A,TRUE,"INGENIERIA";#N/A,#N/A,TRUE,"COMPRAS";#N/A,#N/A,TRUE,"DIRECCION";#N/A,#N/A,TRUE,"RESUMEN"}</definedName>
    <definedName name="ZAQ" hidden="1">{#N/A,#N/A,TRUE,"INGENIERIA";#N/A,#N/A,TRUE,"COMPRAS";#N/A,#N/A,TRUE,"DIRECCION";#N/A,#N/A,TRUE,"RESUMEN"}</definedName>
    <definedName name="ZAQ_1" localSheetId="1" hidden="1">{#N/A,#N/A,TRUE,"INGENIERIA";#N/A,#N/A,TRUE,"COMPRAS";#N/A,#N/A,TRUE,"DIRECCION";#N/A,#N/A,TRUE,"RESUMEN"}</definedName>
    <definedName name="ZAQ_1" hidden="1">{#N/A,#N/A,TRUE,"INGENIERIA";#N/A,#N/A,TRUE,"COMPRAS";#N/A,#N/A,TRUE,"DIRECCION";#N/A,#N/A,TRUE,"RESUMEN"}</definedName>
    <definedName name="ZAQ_2" localSheetId="1" hidden="1">{#N/A,#N/A,TRUE,"INGENIERIA";#N/A,#N/A,TRUE,"COMPRAS";#N/A,#N/A,TRUE,"DIRECCION";#N/A,#N/A,TRUE,"RESUMEN"}</definedName>
    <definedName name="ZAQ_2"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onificacion">#REF!</definedName>
    <definedName name="ZUNCH">#REF!</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7" i="2" l="1"/>
  <c r="E7" i="2"/>
  <c r="E1138" i="2" l="1"/>
  <c r="F1138" i="2" s="1"/>
  <c r="E1161" i="2"/>
  <c r="F1161" i="2" s="1"/>
  <c r="E1255" i="2"/>
  <c r="F1255" i="2" s="1"/>
  <c r="E1232" i="2"/>
  <c r="F1232" i="2" s="1"/>
  <c r="E1208" i="2"/>
  <c r="F1208" i="2" s="1"/>
  <c r="E1185" i="2"/>
  <c r="F1185" i="2" l="1"/>
  <c r="E761" i="2"/>
  <c r="F761" i="2" s="1"/>
  <c r="E758" i="2"/>
  <c r="F758" i="2" s="1"/>
  <c r="E757" i="2"/>
  <c r="F757" i="2" s="1"/>
  <c r="F759" i="2" s="1"/>
  <c r="E748" i="2"/>
  <c r="F748" i="2" s="1"/>
  <c r="E747" i="2"/>
  <c r="E746" i="2"/>
  <c r="F746" i="2" s="1"/>
  <c r="E751" i="2"/>
  <c r="E730" i="2"/>
  <c r="F751" i="2"/>
  <c r="F752" i="2" s="1"/>
  <c r="E754" i="2" s="1"/>
  <c r="F754" i="2" s="1"/>
  <c r="F755" i="2" s="1"/>
  <c r="A743" i="2"/>
  <c r="F747" i="2"/>
  <c r="F749" i="2" l="1"/>
  <c r="E762" i="2" s="1"/>
  <c r="D50" i="1" s="1"/>
  <c r="E1823" i="2" l="1"/>
  <c r="E1800" i="2"/>
  <c r="E1774" i="2"/>
  <c r="E1656" i="2"/>
  <c r="E1641" i="2"/>
  <c r="E1263" i="2"/>
  <c r="E1239" i="2"/>
  <c r="E1216" i="2"/>
  <c r="E1192" i="2"/>
  <c r="E1169" i="2"/>
  <c r="E1145" i="2"/>
  <c r="E1015" i="2"/>
  <c r="E993" i="2"/>
  <c r="E971" i="2"/>
  <c r="E948" i="2"/>
  <c r="E928" i="2"/>
  <c r="E906" i="2"/>
  <c r="E878" i="2"/>
  <c r="E859" i="2"/>
  <c r="E840" i="2"/>
  <c r="E521" i="2"/>
  <c r="E501" i="2"/>
  <c r="E416" i="2"/>
  <c r="E321" i="2"/>
  <c r="E195" i="2"/>
  <c r="E214" i="2"/>
  <c r="E174" i="2"/>
  <c r="E173" i="2"/>
  <c r="E154" i="2"/>
  <c r="E233" i="2"/>
  <c r="E348" i="2"/>
  <c r="E369" i="2"/>
  <c r="E392" i="2"/>
  <c r="E439" i="2"/>
  <c r="E459" i="2"/>
  <c r="E479" i="2"/>
  <c r="E536" i="2"/>
  <c r="E557" i="2"/>
  <c r="E582" i="2"/>
  <c r="E604" i="2"/>
  <c r="E626" i="2"/>
  <c r="E644" i="2"/>
  <c r="E666" i="2"/>
  <c r="E688" i="2"/>
  <c r="E710" i="2"/>
  <c r="E778" i="2"/>
  <c r="E822" i="2"/>
  <c r="E803" i="2"/>
  <c r="E970" i="2"/>
  <c r="E992" i="2"/>
  <c r="E1014" i="2"/>
  <c r="E1035" i="2"/>
  <c r="E1055" i="2"/>
  <c r="E1083" i="2"/>
  <c r="E1102" i="2"/>
  <c r="E1122" i="2"/>
  <c r="E1284" i="2"/>
  <c r="E1304" i="2"/>
  <c r="E1324" i="2"/>
  <c r="E1345" i="2"/>
  <c r="E1366" i="2"/>
  <c r="E1387" i="2"/>
  <c r="E1406" i="2"/>
  <c r="E1432" i="2"/>
  <c r="E1459" i="2"/>
  <c r="E1484" i="2"/>
  <c r="E1512" i="2"/>
  <c r="E1540" i="2"/>
  <c r="E1566" i="2"/>
  <c r="E1593" i="2"/>
  <c r="E1623" i="2"/>
  <c r="E1687" i="2"/>
  <c r="E1716" i="2"/>
  <c r="E1749" i="2"/>
  <c r="E1840" i="2"/>
  <c r="E1858" i="2"/>
  <c r="E1880" i="2"/>
  <c r="E295" i="2"/>
  <c r="E271" i="2"/>
  <c r="E117" i="2"/>
  <c r="E101" i="2"/>
  <c r="E79" i="2"/>
  <c r="E61" i="2"/>
  <c r="E42" i="2"/>
  <c r="E28" i="2"/>
  <c r="E136" i="2"/>
  <c r="C70" i="1" l="1"/>
  <c r="C71" i="1"/>
  <c r="C72" i="1"/>
  <c r="C73" i="1"/>
  <c r="C74" i="1"/>
  <c r="C75" i="1"/>
  <c r="C27" i="1" l="1"/>
  <c r="E307" i="2"/>
  <c r="D307" i="2"/>
  <c r="E306" i="2"/>
  <c r="F306" i="2" s="1"/>
  <c r="E303" i="2"/>
  <c r="F303" i="2" s="1"/>
  <c r="F302" i="2"/>
  <c r="F301" i="2"/>
  <c r="F295" i="2"/>
  <c r="F296" i="2" s="1"/>
  <c r="E298" i="2" s="1"/>
  <c r="F298" i="2" s="1"/>
  <c r="F299" i="2" s="1"/>
  <c r="E292" i="2"/>
  <c r="F292" i="2" s="1"/>
  <c r="E291" i="2"/>
  <c r="F291" i="2" s="1"/>
  <c r="F307" i="2" l="1"/>
  <c r="F308" i="2" s="1"/>
  <c r="F293" i="2"/>
  <c r="F304" i="2"/>
  <c r="E309" i="2" l="1"/>
  <c r="D27" i="1" s="1"/>
  <c r="A1872" i="2"/>
  <c r="A1855" i="2"/>
  <c r="A1834" i="2"/>
  <c r="A1811" i="2"/>
  <c r="A1785" i="2"/>
  <c r="A1760" i="2"/>
  <c r="A1731" i="2"/>
  <c r="A1701" i="2"/>
  <c r="A1664" i="2"/>
  <c r="A1649" i="2"/>
  <c r="A1634" i="2"/>
  <c r="A1604" i="2"/>
  <c r="A1577" i="2"/>
  <c r="A1551" i="2"/>
  <c r="A1526" i="2"/>
  <c r="A1498" i="2"/>
  <c r="A1470" i="2"/>
  <c r="A1446" i="2"/>
  <c r="A1418" i="2"/>
  <c r="A1398" i="2"/>
  <c r="A1377" i="2"/>
  <c r="A1356" i="2"/>
  <c r="A1335" i="2"/>
  <c r="A1315" i="2"/>
  <c r="A1295" i="2"/>
  <c r="A1275" i="2"/>
  <c r="A1251" i="2"/>
  <c r="A1228" i="2"/>
  <c r="A1204" i="2"/>
  <c r="A1181" i="2"/>
  <c r="A1157" i="2"/>
  <c r="A1134" i="2"/>
  <c r="A1113" i="2"/>
  <c r="A1094" i="2"/>
  <c r="A1067" i="2"/>
  <c r="A1047" i="2"/>
  <c r="A1027" i="2"/>
  <c r="A940" i="2"/>
  <c r="A918" i="2"/>
  <c r="A889" i="2"/>
  <c r="A871" i="2"/>
  <c r="A851" i="2"/>
  <c r="A833" i="2"/>
  <c r="A815" i="2"/>
  <c r="A790" i="2"/>
  <c r="A765" i="2"/>
  <c r="A720" i="2"/>
  <c r="A701" i="2"/>
  <c r="A679" i="2"/>
  <c r="A658" i="2"/>
  <c r="A634" i="2"/>
  <c r="A620" i="2"/>
  <c r="A594" i="2"/>
  <c r="A573" i="2"/>
  <c r="A548" i="2"/>
  <c r="A530" i="2"/>
  <c r="A515" i="2"/>
  <c r="A495" i="2"/>
  <c r="A471" i="2"/>
  <c r="A453" i="2"/>
  <c r="A432" i="2"/>
  <c r="A408" i="2"/>
  <c r="A385" i="2"/>
  <c r="A363" i="2"/>
  <c r="A339" i="2"/>
  <c r="A313" i="2"/>
  <c r="A264" i="2"/>
  <c r="A245" i="2"/>
  <c r="A226" i="2"/>
  <c r="A207" i="2"/>
  <c r="A188" i="2"/>
  <c r="A167" i="2"/>
  <c r="A148" i="2"/>
  <c r="A133" i="2"/>
  <c r="A114" i="2"/>
  <c r="A95" i="2"/>
  <c r="A76" i="2"/>
  <c r="A58" i="2"/>
  <c r="A39" i="2"/>
  <c r="A22" i="2"/>
  <c r="A4" i="2"/>
  <c r="E913" i="2"/>
  <c r="E912" i="2"/>
  <c r="E810" i="2"/>
  <c r="E809" i="2"/>
  <c r="E784" i="2"/>
  <c r="E785" i="2"/>
  <c r="D614" i="2"/>
  <c r="E202" i="2"/>
  <c r="E34" i="2"/>
  <c r="E52" i="2"/>
  <c r="E70" i="2"/>
  <c r="E89" i="2"/>
  <c r="E107" i="2"/>
  <c r="E127" i="2"/>
  <c r="E142" i="2"/>
  <c r="E160" i="2"/>
  <c r="E279" i="2" l="1"/>
  <c r="E1867" i="2" l="1"/>
  <c r="E1864" i="2"/>
  <c r="E1887" i="2"/>
  <c r="E1886" i="2"/>
  <c r="E1877" i="2"/>
  <c r="E1876" i="2"/>
  <c r="E1875" i="2"/>
  <c r="E345" i="2"/>
  <c r="E344" i="2"/>
  <c r="E342" i="2"/>
  <c r="E333" i="2"/>
  <c r="E330" i="2"/>
  <c r="E355" i="2" s="1"/>
  <c r="E327" i="2"/>
  <c r="E354" i="2" s="1"/>
  <c r="E318" i="2"/>
  <c r="E317" i="2"/>
  <c r="E316" i="2"/>
  <c r="E343" i="2" s="1"/>
  <c r="E183" i="2"/>
  <c r="E180" i="2"/>
  <c r="E170" i="2"/>
  <c r="E67" i="2"/>
  <c r="D1256" i="2"/>
  <c r="D1254" i="2"/>
  <c r="D1233" i="2"/>
  <c r="D1231" i="2"/>
  <c r="D1209" i="2"/>
  <c r="D1207" i="2"/>
  <c r="D1186" i="2"/>
  <c r="D1184" i="2"/>
  <c r="E1256" i="2"/>
  <c r="E1254" i="2"/>
  <c r="E1233" i="2"/>
  <c r="E1231" i="2"/>
  <c r="E1209" i="2"/>
  <c r="E1207" i="2"/>
  <c r="E1186" i="2"/>
  <c r="E1184" i="2"/>
  <c r="E1162" i="2"/>
  <c r="F1162" i="2" s="1"/>
  <c r="E1160" i="2"/>
  <c r="F1160" i="2" s="1"/>
  <c r="E1139" i="2"/>
  <c r="F1139" i="2" s="1"/>
  <c r="E1137" i="2"/>
  <c r="F1137" i="2" s="1"/>
  <c r="F1186" i="2" l="1"/>
  <c r="F1207" i="2"/>
  <c r="F1254" i="2"/>
  <c r="F1209" i="2"/>
  <c r="F1231" i="2"/>
  <c r="F1233" i="2"/>
  <c r="F1256" i="2"/>
  <c r="F1184" i="2"/>
  <c r="E1399" i="2"/>
  <c r="E1378" i="2"/>
  <c r="E1357" i="2"/>
  <c r="E1336" i="2"/>
  <c r="E1316" i="2"/>
  <c r="E1296" i="2"/>
  <c r="E1276" i="2"/>
  <c r="E1252" i="2"/>
  <c r="E1229" i="2"/>
  <c r="E1205" i="2"/>
  <c r="E1182" i="2"/>
  <c r="E1158" i="2"/>
  <c r="E1135" i="2"/>
  <c r="C82" i="1"/>
  <c r="E1412" i="2"/>
  <c r="E1401" i="2"/>
  <c r="C81" i="1" l="1"/>
  <c r="C80" i="1"/>
  <c r="C79" i="1"/>
  <c r="C78" i="1"/>
  <c r="C77" i="1"/>
  <c r="C76" i="1"/>
  <c r="F1412" i="2"/>
  <c r="F1413" i="2" s="1"/>
  <c r="E1403" i="2"/>
  <c r="F1403" i="2" s="1"/>
  <c r="E1402" i="2"/>
  <c r="F1402" i="2" s="1"/>
  <c r="F1401" i="2"/>
  <c r="F1393" i="2"/>
  <c r="F1394" i="2" s="1"/>
  <c r="F1383" i="2"/>
  <c r="F1372" i="2"/>
  <c r="F1373" i="2" s="1"/>
  <c r="F1362" i="2"/>
  <c r="F1351" i="2"/>
  <c r="F1352" i="2" s="1"/>
  <c r="E1341" i="2"/>
  <c r="F1341" i="2" s="1"/>
  <c r="F1330" i="2"/>
  <c r="F1331" i="2" s="1"/>
  <c r="F1321" i="2"/>
  <c r="E1318" i="2"/>
  <c r="F1318" i="2" s="1"/>
  <c r="F1310" i="2"/>
  <c r="F1311" i="2" s="1"/>
  <c r="F1301" i="2"/>
  <c r="E1298" i="2"/>
  <c r="E1359" i="2" s="1"/>
  <c r="F1359" i="2" s="1"/>
  <c r="F1290" i="2"/>
  <c r="F1291" i="2" s="1"/>
  <c r="E1281" i="2"/>
  <c r="F1281" i="2" s="1"/>
  <c r="E1280" i="2"/>
  <c r="F1280" i="2" s="1"/>
  <c r="E1279" i="2"/>
  <c r="F1279" i="2" s="1"/>
  <c r="E1278" i="2"/>
  <c r="E1338" i="2" s="1"/>
  <c r="F1338" i="2" s="1"/>
  <c r="F1270" i="2"/>
  <c r="F1269" i="2"/>
  <c r="F1246" i="2"/>
  <c r="F1245" i="2"/>
  <c r="E1236" i="2"/>
  <c r="F1236" i="2" s="1"/>
  <c r="F1223" i="2"/>
  <c r="F1222" i="2"/>
  <c r="E1213" i="2"/>
  <c r="F1213" i="2" s="1"/>
  <c r="E1210" i="2"/>
  <c r="E1257" i="2" s="1"/>
  <c r="F1257" i="2" s="1"/>
  <c r="F1199" i="2"/>
  <c r="F1198" i="2"/>
  <c r="E1189" i="2"/>
  <c r="F1189" i="2" s="1"/>
  <c r="F1176" i="2"/>
  <c r="F1175" i="2"/>
  <c r="F1170" i="2"/>
  <c r="E1172" i="2" s="1"/>
  <c r="F1172" i="2" s="1"/>
  <c r="F1173" i="2" s="1"/>
  <c r="E1163" i="2"/>
  <c r="F1163" i="2" s="1"/>
  <c r="F1152" i="2"/>
  <c r="F1151" i="2"/>
  <c r="E1142" i="2"/>
  <c r="F1142" i="2" s="1"/>
  <c r="E1141" i="2"/>
  <c r="F1141" i="2" s="1"/>
  <c r="E1140" i="2"/>
  <c r="E1164" i="2" s="1"/>
  <c r="F1164" i="2" s="1"/>
  <c r="F1200" i="2" l="1"/>
  <c r="E1380" i="2"/>
  <c r="F1380" i="2" s="1"/>
  <c r="F1247" i="2"/>
  <c r="F1404" i="2"/>
  <c r="F1216" i="2"/>
  <c r="E1219" i="2" s="1"/>
  <c r="F1219" i="2" s="1"/>
  <c r="F1220" i="2" s="1"/>
  <c r="E1260" i="2"/>
  <c r="F1260" i="2" s="1"/>
  <c r="E1300" i="2"/>
  <c r="E1320" i="2" s="1"/>
  <c r="E1340" i="2" s="1"/>
  <c r="E1212" i="2"/>
  <c r="F1212" i="2" s="1"/>
  <c r="E1165" i="2"/>
  <c r="F1165" i="2" s="1"/>
  <c r="E1166" i="2"/>
  <c r="F1166" i="2" s="1"/>
  <c r="E1299" i="2"/>
  <c r="E1319" i="2" s="1"/>
  <c r="F1319" i="2" s="1"/>
  <c r="F1239" i="2"/>
  <c r="F1240" i="2" s="1"/>
  <c r="E1242" i="2" s="1"/>
  <c r="F1242" i="2" s="1"/>
  <c r="F1243" i="2" s="1"/>
  <c r="F1263" i="2"/>
  <c r="F1264" i="2" s="1"/>
  <c r="E1266" i="2" s="1"/>
  <c r="F1266" i="2" s="1"/>
  <c r="F1267" i="2" s="1"/>
  <c r="F1177" i="2"/>
  <c r="E1188" i="2"/>
  <c r="F1188" i="2" s="1"/>
  <c r="E1235" i="2"/>
  <c r="F1145" i="2"/>
  <c r="F1146" i="2" s="1"/>
  <c r="E1148" i="2" s="1"/>
  <c r="F1148" i="2" s="1"/>
  <c r="F1149" i="2" s="1"/>
  <c r="F1271" i="2"/>
  <c r="F1224" i="2"/>
  <c r="E1187" i="2"/>
  <c r="F1187" i="2" s="1"/>
  <c r="F1190" i="2" s="1"/>
  <c r="E1234" i="2"/>
  <c r="E1258" i="2" s="1"/>
  <c r="F1258" i="2" s="1"/>
  <c r="F1153" i="2"/>
  <c r="F1192" i="2"/>
  <c r="F1193" i="2" s="1"/>
  <c r="F1304" i="2"/>
  <c r="F1305" i="2" s="1"/>
  <c r="E1307" i="2" s="1"/>
  <c r="F1307" i="2" s="1"/>
  <c r="F1308" i="2" s="1"/>
  <c r="F1278" i="2"/>
  <c r="F1282" i="2" s="1"/>
  <c r="F1210" i="2"/>
  <c r="F1298" i="2"/>
  <c r="F1284" i="2"/>
  <c r="F1285" i="2" s="1"/>
  <c r="E1287" i="2" s="1"/>
  <c r="F1287" i="2" s="1"/>
  <c r="F1288" i="2" s="1"/>
  <c r="F1140" i="2"/>
  <c r="F1143" i="2" s="1"/>
  <c r="E1211" i="2"/>
  <c r="F1211" i="2" s="1"/>
  <c r="E1850" i="2"/>
  <c r="E1849" i="2"/>
  <c r="E1846" i="2"/>
  <c r="E1837" i="2"/>
  <c r="E1829" i="2"/>
  <c r="E1820" i="2"/>
  <c r="E1819" i="2"/>
  <c r="E1818" i="2"/>
  <c r="E1817" i="2"/>
  <c r="E1816" i="2"/>
  <c r="E1815" i="2"/>
  <c r="E1814" i="2"/>
  <c r="E1806" i="2"/>
  <c r="E1797" i="2"/>
  <c r="E1796" i="2"/>
  <c r="E1795" i="2"/>
  <c r="E1794" i="2"/>
  <c r="E1793" i="2"/>
  <c r="E1792" i="2"/>
  <c r="E1791" i="2"/>
  <c r="E1790" i="2"/>
  <c r="E1789" i="2"/>
  <c r="E1788" i="2"/>
  <c r="E1755" i="2"/>
  <c r="E1746" i="2"/>
  <c r="E1745" i="2"/>
  <c r="E1744" i="2"/>
  <c r="E1743" i="2"/>
  <c r="E1742" i="2"/>
  <c r="E1741" i="2"/>
  <c r="E1740" i="2"/>
  <c r="E1739" i="2"/>
  <c r="E1738" i="2"/>
  <c r="E1737" i="2"/>
  <c r="E1736" i="2"/>
  <c r="E1735" i="2"/>
  <c r="E1734" i="2"/>
  <c r="E1726" i="2"/>
  <c r="E1725" i="2"/>
  <c r="E1722" i="2"/>
  <c r="E1713" i="2"/>
  <c r="E1712" i="2"/>
  <c r="E1711" i="2"/>
  <c r="E1710" i="2"/>
  <c r="E1709" i="2"/>
  <c r="E1708" i="2"/>
  <c r="E1707" i="2"/>
  <c r="E1706" i="2"/>
  <c r="E1705" i="2"/>
  <c r="E1704" i="2"/>
  <c r="E1696" i="2"/>
  <c r="E1695" i="2"/>
  <c r="E1693" i="2"/>
  <c r="E1684" i="2"/>
  <c r="E1683" i="2"/>
  <c r="E1682" i="2"/>
  <c r="E1681" i="2"/>
  <c r="E1680" i="2"/>
  <c r="E1679" i="2"/>
  <c r="E1678" i="2"/>
  <c r="E1677" i="2"/>
  <c r="E1676" i="2"/>
  <c r="E1675" i="2"/>
  <c r="E1674" i="2"/>
  <c r="E1673" i="2"/>
  <c r="E1672" i="2"/>
  <c r="E1671" i="2"/>
  <c r="E1670" i="2"/>
  <c r="E1669" i="2"/>
  <c r="E1668" i="2"/>
  <c r="E1667" i="2"/>
  <c r="E1653" i="2"/>
  <c r="E1652" i="2"/>
  <c r="E1638" i="2"/>
  <c r="E1637" i="2"/>
  <c r="E1629" i="2"/>
  <c r="E1628" i="2"/>
  <c r="E1620" i="2"/>
  <c r="E1619" i="2"/>
  <c r="E1618" i="2"/>
  <c r="E1617" i="2"/>
  <c r="E1616" i="2"/>
  <c r="E1615" i="2"/>
  <c r="E1614" i="2"/>
  <c r="E1613" i="2"/>
  <c r="E1612" i="2"/>
  <c r="E1611" i="2"/>
  <c r="E1610" i="2"/>
  <c r="E1609" i="2"/>
  <c r="E1608" i="2"/>
  <c r="E1607" i="2"/>
  <c r="E1599" i="2"/>
  <c r="E1598" i="2"/>
  <c r="E1586" i="2"/>
  <c r="E1590" i="2"/>
  <c r="E1589" i="2"/>
  <c r="E1588" i="2"/>
  <c r="E1587" i="2"/>
  <c r="E1585" i="2"/>
  <c r="E1584" i="2"/>
  <c r="E1583" i="2"/>
  <c r="E1582" i="2"/>
  <c r="E1581" i="2"/>
  <c r="E1580" i="2"/>
  <c r="E1572" i="2"/>
  <c r="E1571" i="2"/>
  <c r="E1563" i="2"/>
  <c r="E1562" i="2"/>
  <c r="E1561" i="2"/>
  <c r="E1560" i="2"/>
  <c r="E1559" i="2"/>
  <c r="E1558" i="2"/>
  <c r="E1557" i="2"/>
  <c r="E1556" i="2"/>
  <c r="E1555" i="2"/>
  <c r="E1554" i="2"/>
  <c r="E1546" i="2"/>
  <c r="E1537" i="2"/>
  <c r="E1536" i="2"/>
  <c r="E1535" i="2"/>
  <c r="E1534" i="2"/>
  <c r="E1533" i="2"/>
  <c r="E1532" i="2"/>
  <c r="E1531" i="2"/>
  <c r="E1530" i="2"/>
  <c r="E1529" i="2"/>
  <c r="E1521" i="2"/>
  <c r="E1520" i="2"/>
  <c r="E1518" i="2"/>
  <c r="E1509" i="2"/>
  <c r="E1508" i="2"/>
  <c r="E1507" i="2"/>
  <c r="E1506" i="2"/>
  <c r="E1505" i="2"/>
  <c r="E1504" i="2"/>
  <c r="E1503" i="2"/>
  <c r="E1502" i="2"/>
  <c r="E1501" i="2"/>
  <c r="E1493" i="2"/>
  <c r="E1492" i="2"/>
  <c r="E1490" i="2"/>
  <c r="E1481" i="2"/>
  <c r="E1480" i="2"/>
  <c r="E1479" i="2"/>
  <c r="E1478" i="2"/>
  <c r="E1477" i="2"/>
  <c r="E1476" i="2"/>
  <c r="E1475" i="2"/>
  <c r="E1474" i="2"/>
  <c r="E1473" i="2"/>
  <c r="E1465" i="2"/>
  <c r="E1464" i="2"/>
  <c r="E1456" i="2"/>
  <c r="E1455" i="2"/>
  <c r="E1454" i="2"/>
  <c r="E1453" i="2"/>
  <c r="E1452" i="2"/>
  <c r="E1451" i="2"/>
  <c r="E1450" i="2"/>
  <c r="E1449" i="2"/>
  <c r="E1441" i="2"/>
  <c r="E1440" i="2"/>
  <c r="E1438" i="2"/>
  <c r="E1429" i="2"/>
  <c r="E1428" i="2"/>
  <c r="E1427" i="2"/>
  <c r="E1426" i="2"/>
  <c r="E1425" i="2"/>
  <c r="E1424" i="2"/>
  <c r="E1423" i="2"/>
  <c r="E1422" i="2"/>
  <c r="E1421" i="2"/>
  <c r="C69" i="1"/>
  <c r="E1119" i="2"/>
  <c r="F1119" i="2" s="1"/>
  <c r="E1118" i="2"/>
  <c r="F1118" i="2" s="1"/>
  <c r="E1117" i="2"/>
  <c r="F1117" i="2" s="1"/>
  <c r="E1116" i="2"/>
  <c r="F1116" i="2" s="1"/>
  <c r="F1128" i="2"/>
  <c r="F1129" i="2" s="1"/>
  <c r="E1062" i="2"/>
  <c r="E1061" i="2"/>
  <c r="E1052" i="2"/>
  <c r="E1051" i="2"/>
  <c r="E1050" i="2"/>
  <c r="E1042" i="2"/>
  <c r="E1041" i="2"/>
  <c r="E1032" i="2"/>
  <c r="E1031" i="2"/>
  <c r="E1030" i="2"/>
  <c r="E1022" i="2"/>
  <c r="E1021" i="2"/>
  <c r="E1011" i="2"/>
  <c r="E1010" i="2"/>
  <c r="E1009" i="2"/>
  <c r="E1008" i="2"/>
  <c r="E1000" i="2"/>
  <c r="E999" i="2"/>
  <c r="E989" i="2"/>
  <c r="E988" i="2"/>
  <c r="E987" i="2"/>
  <c r="E986" i="2"/>
  <c r="E978" i="2"/>
  <c r="E977" i="2"/>
  <c r="E967" i="2"/>
  <c r="E966" i="2"/>
  <c r="E965" i="2"/>
  <c r="E964" i="2"/>
  <c r="E955" i="2"/>
  <c r="E954" i="2"/>
  <c r="E945" i="2"/>
  <c r="E944" i="2"/>
  <c r="E943" i="2"/>
  <c r="E934" i="2"/>
  <c r="E925" i="2"/>
  <c r="E924" i="2"/>
  <c r="E923" i="2"/>
  <c r="E922" i="2"/>
  <c r="E921" i="2"/>
  <c r="E920" i="2"/>
  <c r="E903" i="2"/>
  <c r="E902" i="2"/>
  <c r="E901" i="2"/>
  <c r="E900" i="2"/>
  <c r="E899" i="2"/>
  <c r="E898" i="2"/>
  <c r="E897" i="2"/>
  <c r="E896" i="2"/>
  <c r="E895" i="2"/>
  <c r="E894" i="2"/>
  <c r="E893" i="2"/>
  <c r="E892" i="2"/>
  <c r="E884" i="2"/>
  <c r="E883" i="2"/>
  <c r="E875" i="2"/>
  <c r="E874" i="2"/>
  <c r="E866" i="2"/>
  <c r="E865" i="2"/>
  <c r="E856" i="2"/>
  <c r="E855" i="2"/>
  <c r="E854" i="2"/>
  <c r="E846" i="2"/>
  <c r="E845" i="2"/>
  <c r="E837" i="2"/>
  <c r="E836" i="2"/>
  <c r="E828" i="2"/>
  <c r="E827" i="2"/>
  <c r="E819" i="2"/>
  <c r="E818" i="2"/>
  <c r="E800" i="2"/>
  <c r="E799" i="2"/>
  <c r="E798" i="2"/>
  <c r="E797" i="2"/>
  <c r="E796" i="2"/>
  <c r="E795" i="2"/>
  <c r="E794" i="2"/>
  <c r="E793" i="2"/>
  <c r="E775" i="2"/>
  <c r="E774" i="2"/>
  <c r="E773" i="2"/>
  <c r="E772" i="2"/>
  <c r="E771" i="2"/>
  <c r="E770" i="2"/>
  <c r="E769" i="2"/>
  <c r="E768" i="2"/>
  <c r="E739" i="2"/>
  <c r="E736" i="2"/>
  <c r="E727" i="2"/>
  <c r="E726" i="2"/>
  <c r="E725" i="2"/>
  <c r="E724" i="2"/>
  <c r="E723" i="2"/>
  <c r="E716" i="2"/>
  <c r="E707" i="2"/>
  <c r="E706" i="2"/>
  <c r="E705" i="2"/>
  <c r="E704" i="2"/>
  <c r="E697" i="2"/>
  <c r="E694" i="2"/>
  <c r="E685" i="2"/>
  <c r="E684" i="2"/>
  <c r="E683" i="2"/>
  <c r="E682" i="2"/>
  <c r="E675" i="2"/>
  <c r="E672" i="2"/>
  <c r="E663" i="2"/>
  <c r="E662" i="2"/>
  <c r="E661" i="2"/>
  <c r="E654" i="2"/>
  <c r="E651" i="2"/>
  <c r="E650" i="2"/>
  <c r="E641" i="2"/>
  <c r="E640" i="2"/>
  <c r="E639" i="2"/>
  <c r="E638" i="2"/>
  <c r="E637" i="2"/>
  <c r="E623" i="2"/>
  <c r="E615" i="2"/>
  <c r="E614" i="2"/>
  <c r="E611" i="2"/>
  <c r="E610" i="2"/>
  <c r="E601" i="2"/>
  <c r="E600" i="2"/>
  <c r="E599" i="2"/>
  <c r="E598" i="2"/>
  <c r="E597" i="2"/>
  <c r="E568" i="2"/>
  <c r="E567" i="2"/>
  <c r="E564" i="2"/>
  <c r="E563" i="2"/>
  <c r="E554" i="2"/>
  <c r="E553" i="2"/>
  <c r="E552" i="2"/>
  <c r="E551" i="2"/>
  <c r="E490" i="2"/>
  <c r="E489" i="2"/>
  <c r="E486" i="2"/>
  <c r="E485" i="2"/>
  <c r="E283" i="2"/>
  <c r="E282" i="2"/>
  <c r="E268" i="2"/>
  <c r="E267" i="2"/>
  <c r="E240" i="2"/>
  <c r="E239" i="2"/>
  <c r="E230" i="2"/>
  <c r="E229" i="2"/>
  <c r="F1167" i="2" l="1"/>
  <c r="E1178" i="2" s="1"/>
  <c r="E1342" i="2" s="1"/>
  <c r="F1342" i="2" s="1"/>
  <c r="F1214" i="2"/>
  <c r="F1217" i="2"/>
  <c r="F1299" i="2"/>
  <c r="E1339" i="2"/>
  <c r="E1360" i="2" s="1"/>
  <c r="F1300" i="2"/>
  <c r="F1302" i="2" s="1"/>
  <c r="E1312" i="2" s="1"/>
  <c r="D77" i="1" s="1"/>
  <c r="F1320" i="2"/>
  <c r="F1322" i="2" s="1"/>
  <c r="F1122" i="2"/>
  <c r="F1123" i="2" s="1"/>
  <c r="E1125" i="2" s="1"/>
  <c r="F1125" i="2" s="1"/>
  <c r="F1126" i="2" s="1"/>
  <c r="E1195" i="2"/>
  <c r="F1195" i="2" s="1"/>
  <c r="F1196" i="2" s="1"/>
  <c r="E1154" i="2"/>
  <c r="D70" i="1" s="1"/>
  <c r="F1234" i="2"/>
  <c r="F1235" i="2"/>
  <c r="E1259" i="2"/>
  <c r="F1259" i="2" s="1"/>
  <c r="F1261" i="2" s="1"/>
  <c r="E1292" i="2"/>
  <c r="D76" i="1" s="1"/>
  <c r="F1324" i="2"/>
  <c r="F1325" i="2" s="1"/>
  <c r="E1327" i="2" s="1"/>
  <c r="F1327" i="2" s="1"/>
  <c r="F1328" i="2" s="1"/>
  <c r="F1340" i="2"/>
  <c r="E1361" i="2"/>
  <c r="F1120" i="2"/>
  <c r="F1237" i="2" l="1"/>
  <c r="E1225" i="2"/>
  <c r="F1339" i="2"/>
  <c r="F1343" i="2" s="1"/>
  <c r="E1272" i="2"/>
  <c r="E1130" i="2"/>
  <c r="D69" i="1" s="1"/>
  <c r="E1201" i="2"/>
  <c r="D72" i="1" s="1"/>
  <c r="D71" i="1"/>
  <c r="E1248" i="2"/>
  <c r="D74" i="1" s="1"/>
  <c r="E1363" i="2"/>
  <c r="F1363" i="2" s="1"/>
  <c r="D73" i="1"/>
  <c r="F1361" i="2"/>
  <c r="E1382" i="2"/>
  <c r="F1382" i="2" s="1"/>
  <c r="F1345" i="2"/>
  <c r="F1346" i="2" s="1"/>
  <c r="E1348" i="2" s="1"/>
  <c r="F1348" i="2" s="1"/>
  <c r="F1349" i="2" s="1"/>
  <c r="F1360" i="2"/>
  <c r="E1381" i="2"/>
  <c r="F1381" i="2" s="1"/>
  <c r="E1332" i="2"/>
  <c r="D78" i="1" s="1"/>
  <c r="E221" i="2"/>
  <c r="E220" i="2"/>
  <c r="E211" i="2"/>
  <c r="E210" i="2"/>
  <c r="E259" i="2"/>
  <c r="E258" i="2"/>
  <c r="E249" i="2"/>
  <c r="E248" i="2"/>
  <c r="E192" i="2"/>
  <c r="E191" i="2"/>
  <c r="E420" i="2"/>
  <c r="E419" i="2"/>
  <c r="E413" i="2"/>
  <c r="E412" i="2"/>
  <c r="E411" i="2"/>
  <c r="E579" i="2"/>
  <c r="E578" i="2"/>
  <c r="E577" i="2"/>
  <c r="E576" i="2"/>
  <c r="E533" i="2"/>
  <c r="E518" i="2"/>
  <c r="E507" i="2"/>
  <c r="E498" i="2"/>
  <c r="E456" i="2"/>
  <c r="E436" i="2"/>
  <c r="E435" i="2"/>
  <c r="E123" i="2"/>
  <c r="E25" i="2"/>
  <c r="E85" i="2"/>
  <c r="E48" i="2" s="1"/>
  <c r="E14" i="2" s="1"/>
  <c r="E98" i="2"/>
  <c r="E1769" i="2"/>
  <c r="E1768" i="2"/>
  <c r="E1771" i="2"/>
  <c r="E1770" i="2"/>
  <c r="E1767" i="2"/>
  <c r="E1766" i="2"/>
  <c r="E1765" i="2"/>
  <c r="E1764" i="2"/>
  <c r="E1763" i="2"/>
  <c r="D75" i="1" l="1"/>
  <c r="E1384" i="2"/>
  <c r="F1384" i="2" s="1"/>
  <c r="F1385" i="2" s="1"/>
  <c r="E1353" i="2"/>
  <c r="D79" i="1" s="1"/>
  <c r="F1364" i="2"/>
  <c r="F1366" i="2"/>
  <c r="F1367" i="2" s="1"/>
  <c r="E1369" i="2" s="1"/>
  <c r="F1369" i="2" s="1"/>
  <c r="F1370" i="2" s="1"/>
  <c r="E399" i="2"/>
  <c r="E86" i="2" s="1"/>
  <c r="E49" i="2" s="1"/>
  <c r="E13" i="2" s="1"/>
  <c r="E398" i="2"/>
  <c r="F1406" i="2" l="1"/>
  <c r="F1407" i="2" s="1"/>
  <c r="F1387" i="2"/>
  <c r="F1388" i="2" s="1"/>
  <c r="E1374" i="2"/>
  <c r="D80" i="1" s="1"/>
  <c r="E1390" i="2" l="1"/>
  <c r="F1390" i="2" s="1"/>
  <c r="F1391" i="2" s="1"/>
  <c r="E1395" i="2" s="1"/>
  <c r="D81" i="1" s="1"/>
  <c r="E1409" i="2"/>
  <c r="F1409" i="2" s="1"/>
  <c r="F1410" i="2" s="1"/>
  <c r="E1414" i="2" s="1"/>
  <c r="D82" i="1" s="1"/>
  <c r="E476" i="2" l="1"/>
  <c r="E475" i="2"/>
  <c r="E474" i="2"/>
  <c r="E151" i="2"/>
  <c r="E389" i="2"/>
  <c r="E366" i="2"/>
  <c r="E388" i="2" s="1"/>
  <c r="E252" i="2" l="1"/>
  <c r="C59" i="1" l="1"/>
  <c r="C60" i="1"/>
  <c r="C99" i="1" l="1"/>
  <c r="F1829" i="2" l="1"/>
  <c r="F1830" i="2" s="1"/>
  <c r="F1820" i="2"/>
  <c r="F1819" i="2"/>
  <c r="F1818" i="2"/>
  <c r="F1817" i="2"/>
  <c r="F1816" i="2"/>
  <c r="F1815" i="2"/>
  <c r="F1814" i="2"/>
  <c r="F1806" i="2"/>
  <c r="F1807" i="2" s="1"/>
  <c r="F1823" i="2"/>
  <c r="F1824" i="2" s="1"/>
  <c r="E1826" i="2" s="1"/>
  <c r="F1826" i="2" s="1"/>
  <c r="F1827" i="2" s="1"/>
  <c r="F1797" i="2"/>
  <c r="F1796" i="2"/>
  <c r="F1795" i="2"/>
  <c r="F1794" i="2"/>
  <c r="F1793" i="2"/>
  <c r="F1792" i="2"/>
  <c r="F1791" i="2"/>
  <c r="F1790" i="2"/>
  <c r="F1789" i="2"/>
  <c r="F1788" i="2"/>
  <c r="E1080" i="2"/>
  <c r="F1080" i="2" s="1"/>
  <c r="E1079" i="2"/>
  <c r="F1079" i="2" s="1"/>
  <c r="E1078" i="2"/>
  <c r="F1078" i="2" s="1"/>
  <c r="E1077" i="2"/>
  <c r="F1077" i="2" s="1"/>
  <c r="E1076" i="2"/>
  <c r="F1076" i="2" s="1"/>
  <c r="E1075" i="2"/>
  <c r="F1075" i="2" s="1"/>
  <c r="E1074" i="2"/>
  <c r="F1074" i="2" s="1"/>
  <c r="E1073" i="2"/>
  <c r="F1073" i="2" s="1"/>
  <c r="F1108" i="2"/>
  <c r="F1089" i="2"/>
  <c r="F1800" i="2" l="1"/>
  <c r="F1801" i="2" s="1"/>
  <c r="E1803" i="2" s="1"/>
  <c r="F1803" i="2" s="1"/>
  <c r="F1804" i="2" s="1"/>
  <c r="F1798" i="2"/>
  <c r="F1821" i="2"/>
  <c r="E1831" i="2" s="1"/>
  <c r="D99" i="1" s="1"/>
  <c r="E1808" i="2" l="1"/>
  <c r="F922" i="2" l="1"/>
  <c r="F925" i="2"/>
  <c r="F924" i="2"/>
  <c r="F923" i="2"/>
  <c r="D955" i="2"/>
  <c r="F955" i="2" s="1"/>
  <c r="F954" i="2"/>
  <c r="F948" i="2"/>
  <c r="F949" i="2" s="1"/>
  <c r="E951" i="2" s="1"/>
  <c r="F951" i="2" s="1"/>
  <c r="F952" i="2" s="1"/>
  <c r="F945" i="2"/>
  <c r="F944" i="2"/>
  <c r="F943" i="2"/>
  <c r="D935" i="2"/>
  <c r="F934" i="2"/>
  <c r="F928" i="2"/>
  <c r="F921" i="2"/>
  <c r="F920" i="2"/>
  <c r="F935" i="2" l="1"/>
  <c r="F936" i="2" s="1"/>
  <c r="F956" i="2"/>
  <c r="F946" i="2"/>
  <c r="F926" i="2"/>
  <c r="E931" i="2"/>
  <c r="F931" i="2" s="1"/>
  <c r="F932" i="2" s="1"/>
  <c r="F929" i="2"/>
  <c r="E957" i="2" l="1"/>
  <c r="D60" i="1" s="1"/>
  <c r="E937" i="2"/>
  <c r="D59" i="1" s="1"/>
  <c r="F413" i="2" l="1"/>
  <c r="F412" i="2"/>
  <c r="E426" i="2"/>
  <c r="F426" i="2" s="1"/>
  <c r="F425" i="2"/>
  <c r="F420" i="2"/>
  <c r="E422" i="2" s="1"/>
  <c r="F422" i="2" s="1"/>
  <c r="F419" i="2"/>
  <c r="F423" i="2" l="1"/>
  <c r="F427" i="2"/>
  <c r="F98" i="2" l="1"/>
  <c r="F99" i="2" s="1"/>
  <c r="C103" i="1" l="1"/>
  <c r="C102" i="1"/>
  <c r="C101" i="1"/>
  <c r="C98" i="1"/>
  <c r="C95" i="1"/>
  <c r="C94" i="1"/>
  <c r="C93" i="1"/>
  <c r="C91" i="1"/>
  <c r="C92" i="1"/>
  <c r="C90" i="1"/>
  <c r="C89" i="1"/>
  <c r="C88" i="1"/>
  <c r="C87" i="1"/>
  <c r="C86" i="1"/>
  <c r="C85" i="1"/>
  <c r="C84" i="1"/>
  <c r="C66" i="1"/>
  <c r="C65" i="1"/>
  <c r="C64" i="1"/>
  <c r="C63" i="1"/>
  <c r="C62" i="1"/>
  <c r="C58" i="1"/>
  <c r="C57" i="1"/>
  <c r="C56" i="1"/>
  <c r="C55" i="1"/>
  <c r="C54" i="1"/>
  <c r="C53" i="1"/>
  <c r="C52" i="1"/>
  <c r="C49" i="1"/>
  <c r="C48" i="1"/>
  <c r="C47" i="1"/>
  <c r="C46" i="1"/>
  <c r="C45" i="1"/>
  <c r="C44" i="1"/>
  <c r="C43" i="1"/>
  <c r="C42" i="1"/>
  <c r="C41" i="1"/>
  <c r="C39" i="1"/>
  <c r="C38" i="1"/>
  <c r="C37" i="1"/>
  <c r="C36" i="1"/>
  <c r="C35" i="1"/>
  <c r="C34" i="1"/>
  <c r="C31" i="1"/>
  <c r="C30" i="1"/>
  <c r="C29" i="1"/>
  <c r="C28" i="1"/>
  <c r="C26" i="1"/>
  <c r="C23" i="1"/>
  <c r="C22" i="1"/>
  <c r="C24" i="1"/>
  <c r="C21" i="1"/>
  <c r="C19" i="1"/>
  <c r="C32" i="1"/>
  <c r="C16" i="1"/>
  <c r="C17" i="1"/>
  <c r="C15" i="1"/>
  <c r="C14" i="1"/>
  <c r="C13" i="1"/>
  <c r="C12" i="1"/>
  <c r="C11" i="1"/>
  <c r="C10" i="1"/>
  <c r="C9" i="1"/>
  <c r="F416" i="2"/>
  <c r="F417" i="2" s="1"/>
  <c r="F411" i="2"/>
  <c r="F414" i="2" l="1"/>
  <c r="E428" i="2" s="1"/>
  <c r="D32" i="1" s="1"/>
  <c r="F1109" i="2" l="1"/>
  <c r="F1105" i="2"/>
  <c r="F1106" i="2" s="1"/>
  <c r="F1102" i="2"/>
  <c r="F1103" i="2" s="1"/>
  <c r="F1099" i="2"/>
  <c r="F1098" i="2"/>
  <c r="F1097" i="2"/>
  <c r="F1086" i="2"/>
  <c r="F1087" i="2" s="1"/>
  <c r="F1083" i="2"/>
  <c r="F1084" i="2" s="1"/>
  <c r="F1072" i="2"/>
  <c r="F1071" i="2"/>
  <c r="F1070" i="2"/>
  <c r="F1744" i="2"/>
  <c r="D1726" i="2"/>
  <c r="D884" i="2"/>
  <c r="D697" i="2"/>
  <c r="D380" i="2"/>
  <c r="D334" i="2"/>
  <c r="E201" i="2"/>
  <c r="E143" i="2"/>
  <c r="E124" i="2"/>
  <c r="F1081" i="2" l="1"/>
  <c r="F1090" i="2"/>
  <c r="F1100" i="2"/>
  <c r="E1110" i="2" s="1"/>
  <c r="D68" i="1" s="1"/>
  <c r="F25" i="2"/>
  <c r="F26" i="2" s="1"/>
  <c r="F7" i="2"/>
  <c r="F8" i="2" s="1"/>
  <c r="F1887" i="2"/>
  <c r="F1886" i="2"/>
  <c r="F1880" i="2"/>
  <c r="F1881" i="2" s="1"/>
  <c r="E1883" i="2" s="1"/>
  <c r="F1883" i="2" s="1"/>
  <c r="F1884" i="2" s="1"/>
  <c r="F1877" i="2"/>
  <c r="F1876" i="2"/>
  <c r="F1875" i="2"/>
  <c r="F1867" i="2"/>
  <c r="F1868" i="2" s="1"/>
  <c r="F1864" i="2"/>
  <c r="F1865" i="2" s="1"/>
  <c r="F1858" i="2"/>
  <c r="F1859" i="2" s="1"/>
  <c r="F1849" i="2"/>
  <c r="F1846" i="2"/>
  <c r="F1847" i="2" s="1"/>
  <c r="F1840" i="2"/>
  <c r="F1841" i="2" s="1"/>
  <c r="E1843" i="2" s="1"/>
  <c r="F1843" i="2" s="1"/>
  <c r="F1844" i="2" s="1"/>
  <c r="F1837" i="2"/>
  <c r="F1838" i="2" s="1"/>
  <c r="F1780" i="2"/>
  <c r="F1781" i="2" s="1"/>
  <c r="F1774" i="2"/>
  <c r="F1775" i="2" s="1"/>
  <c r="E1777" i="2" s="1"/>
  <c r="F1777" i="2" s="1"/>
  <c r="F1778" i="2" s="1"/>
  <c r="F1771" i="2"/>
  <c r="F1770" i="2"/>
  <c r="F1769" i="2"/>
  <c r="F1768" i="2"/>
  <c r="F1767" i="2"/>
  <c r="F1766" i="2"/>
  <c r="F1765" i="2"/>
  <c r="F1764" i="2"/>
  <c r="F1763" i="2"/>
  <c r="F1755" i="2"/>
  <c r="F1756" i="2" s="1"/>
  <c r="F1749" i="2"/>
  <c r="F1750" i="2" s="1"/>
  <c r="E1752" i="2" s="1"/>
  <c r="F1752" i="2" s="1"/>
  <c r="F1753" i="2" s="1"/>
  <c r="F1746" i="2"/>
  <c r="F1745" i="2"/>
  <c r="F1743" i="2"/>
  <c r="F1742" i="2"/>
  <c r="F1741" i="2"/>
  <c r="F1740" i="2"/>
  <c r="F1739" i="2"/>
  <c r="F1738" i="2"/>
  <c r="F1737" i="2"/>
  <c r="F1736" i="2"/>
  <c r="F1735" i="2"/>
  <c r="F1734" i="2"/>
  <c r="F1725" i="2"/>
  <c r="F1722" i="2"/>
  <c r="F1723" i="2" s="1"/>
  <c r="F1719" i="2"/>
  <c r="F1720" i="2" s="1"/>
  <c r="F1716" i="2"/>
  <c r="F1717" i="2" s="1"/>
  <c r="F1713" i="2"/>
  <c r="F1712" i="2"/>
  <c r="F1711" i="2"/>
  <c r="F1710" i="2"/>
  <c r="F1709" i="2"/>
  <c r="F1708" i="2"/>
  <c r="F1707" i="2"/>
  <c r="F1706" i="2"/>
  <c r="F1705" i="2"/>
  <c r="F1704" i="2"/>
  <c r="D1696" i="2"/>
  <c r="F1695" i="2"/>
  <c r="F1693" i="2"/>
  <c r="F1694" i="2" s="1"/>
  <c r="F1687" i="2"/>
  <c r="F1688" i="2" s="1"/>
  <c r="E1690" i="2" s="1"/>
  <c r="F1690" i="2" s="1"/>
  <c r="F1691" i="2" s="1"/>
  <c r="F1684" i="2"/>
  <c r="F1683" i="2"/>
  <c r="F1682" i="2"/>
  <c r="F1681" i="2"/>
  <c r="F1680" i="2"/>
  <c r="F1679" i="2"/>
  <c r="F1678" i="2"/>
  <c r="F1677" i="2"/>
  <c r="F1676" i="2"/>
  <c r="F1675" i="2"/>
  <c r="F1674" i="2"/>
  <c r="F1673" i="2"/>
  <c r="F1672" i="2"/>
  <c r="F1671" i="2"/>
  <c r="F1670" i="2"/>
  <c r="F1669" i="2"/>
  <c r="F1668" i="2"/>
  <c r="F1667" i="2"/>
  <c r="F1656" i="2"/>
  <c r="F1657" i="2" s="1"/>
  <c r="E1659" i="2" s="1"/>
  <c r="F1659" i="2" s="1"/>
  <c r="F1660" i="2" s="1"/>
  <c r="F1653" i="2"/>
  <c r="F1652" i="2"/>
  <c r="F1641" i="2"/>
  <c r="F1642" i="2" s="1"/>
  <c r="E1644" i="2" s="1"/>
  <c r="F1644" i="2" s="1"/>
  <c r="F1645" i="2" s="1"/>
  <c r="F1638" i="2"/>
  <c r="F1637" i="2"/>
  <c r="D1629" i="2"/>
  <c r="F1629" i="2" s="1"/>
  <c r="F1628" i="2"/>
  <c r="F1623" i="2"/>
  <c r="F1624" i="2" s="1"/>
  <c r="E1626" i="2" s="1"/>
  <c r="F1626" i="2" s="1"/>
  <c r="F1627" i="2" s="1"/>
  <c r="F1620" i="2"/>
  <c r="F1619" i="2"/>
  <c r="F1618" i="2"/>
  <c r="F1617" i="2"/>
  <c r="F1616" i="2"/>
  <c r="F1615" i="2"/>
  <c r="F1614" i="2"/>
  <c r="F1613" i="2"/>
  <c r="F1612" i="2"/>
  <c r="F1611" i="2"/>
  <c r="F1610" i="2"/>
  <c r="F1609" i="2"/>
  <c r="F1608" i="2"/>
  <c r="F1607" i="2"/>
  <c r="D1599" i="2"/>
  <c r="F1598" i="2"/>
  <c r="F1593" i="2"/>
  <c r="F1594" i="2" s="1"/>
  <c r="E1596" i="2" s="1"/>
  <c r="F1596" i="2" s="1"/>
  <c r="F1597" i="2" s="1"/>
  <c r="F1590" i="2"/>
  <c r="F1589" i="2"/>
  <c r="F1588" i="2"/>
  <c r="F1587" i="2"/>
  <c r="F1586" i="2"/>
  <c r="F1585" i="2"/>
  <c r="F1584" i="2"/>
  <c r="F1583" i="2"/>
  <c r="F1582" i="2"/>
  <c r="F1581" i="2"/>
  <c r="F1580" i="2"/>
  <c r="D1572" i="2"/>
  <c r="F1571" i="2"/>
  <c r="F1566" i="2"/>
  <c r="F1567" i="2" s="1"/>
  <c r="E1569" i="2" s="1"/>
  <c r="F1569" i="2" s="1"/>
  <c r="F1570" i="2" s="1"/>
  <c r="F1563" i="2"/>
  <c r="F1562" i="2"/>
  <c r="F1561" i="2"/>
  <c r="F1560" i="2"/>
  <c r="F1559" i="2"/>
  <c r="F1558" i="2"/>
  <c r="F1557" i="2"/>
  <c r="F1556" i="2"/>
  <c r="F1555" i="2"/>
  <c r="F1554" i="2"/>
  <c r="F1546" i="2"/>
  <c r="F1547" i="2" s="1"/>
  <c r="F1540" i="2"/>
  <c r="F1541" i="2" s="1"/>
  <c r="E1543" i="2" s="1"/>
  <c r="F1543" i="2" s="1"/>
  <c r="F1544" i="2" s="1"/>
  <c r="F1537" i="2"/>
  <c r="F1536" i="2"/>
  <c r="F1535" i="2"/>
  <c r="F1534" i="2"/>
  <c r="F1533" i="2"/>
  <c r="F1532" i="2"/>
  <c r="F1531" i="2"/>
  <c r="F1530" i="2"/>
  <c r="F1529" i="2"/>
  <c r="D1521" i="2"/>
  <c r="F1520" i="2"/>
  <c r="F1518" i="2"/>
  <c r="F1519" i="2" s="1"/>
  <c r="F1512" i="2"/>
  <c r="F1513" i="2" s="1"/>
  <c r="E1515" i="2" s="1"/>
  <c r="F1515" i="2" s="1"/>
  <c r="F1516" i="2" s="1"/>
  <c r="F1509" i="2"/>
  <c r="F1508" i="2"/>
  <c r="F1507" i="2"/>
  <c r="F1506" i="2"/>
  <c r="F1505" i="2"/>
  <c r="F1504" i="2"/>
  <c r="F1503" i="2"/>
  <c r="F1502" i="2"/>
  <c r="F1501" i="2"/>
  <c r="D1493" i="2"/>
  <c r="F1492" i="2"/>
  <c r="F1490" i="2"/>
  <c r="F1491" i="2" s="1"/>
  <c r="F1484" i="2"/>
  <c r="F1485" i="2" s="1"/>
  <c r="E1487" i="2" s="1"/>
  <c r="F1487" i="2" s="1"/>
  <c r="F1488" i="2" s="1"/>
  <c r="F1481" i="2"/>
  <c r="F1480" i="2"/>
  <c r="F1479" i="2"/>
  <c r="F1478" i="2"/>
  <c r="F1477" i="2"/>
  <c r="F1476" i="2"/>
  <c r="F1475" i="2"/>
  <c r="F1474" i="2"/>
  <c r="F1473" i="2"/>
  <c r="D1465" i="2"/>
  <c r="F1465" i="2" s="1"/>
  <c r="F1464" i="2"/>
  <c r="F1459" i="2"/>
  <c r="F1460" i="2" s="1"/>
  <c r="E1462" i="2" s="1"/>
  <c r="F1462" i="2" s="1"/>
  <c r="F1463" i="2" s="1"/>
  <c r="F1456" i="2"/>
  <c r="F1455" i="2"/>
  <c r="F1454" i="2"/>
  <c r="F1453" i="2"/>
  <c r="F1452" i="2"/>
  <c r="F1451" i="2"/>
  <c r="F1450" i="2"/>
  <c r="F1449" i="2"/>
  <c r="D1441" i="2"/>
  <c r="F1440" i="2"/>
  <c r="F1438" i="2"/>
  <c r="F1439" i="2" s="1"/>
  <c r="F1432" i="2"/>
  <c r="F1433" i="2" s="1"/>
  <c r="E1435" i="2" s="1"/>
  <c r="F1435" i="2" s="1"/>
  <c r="F1436" i="2" s="1"/>
  <c r="F1429" i="2"/>
  <c r="F1428" i="2"/>
  <c r="F1427" i="2"/>
  <c r="F1426" i="2"/>
  <c r="F1425" i="2"/>
  <c r="F1424" i="2"/>
  <c r="F1423" i="2"/>
  <c r="F1422" i="2"/>
  <c r="F1421" i="2"/>
  <c r="D1062" i="2"/>
  <c r="F1061" i="2"/>
  <c r="F1055" i="2"/>
  <c r="F1056" i="2" s="1"/>
  <c r="E1058" i="2" s="1"/>
  <c r="F1058" i="2" s="1"/>
  <c r="F1059" i="2" s="1"/>
  <c r="F1052" i="2"/>
  <c r="F1051" i="2"/>
  <c r="F1050" i="2"/>
  <c r="D1042" i="2"/>
  <c r="F1042" i="2" s="1"/>
  <c r="F1041" i="2"/>
  <c r="F1035" i="2"/>
  <c r="F1036" i="2" s="1"/>
  <c r="E1038" i="2" s="1"/>
  <c r="F1038" i="2" s="1"/>
  <c r="F1039" i="2" s="1"/>
  <c r="F1032" i="2"/>
  <c r="F1031" i="2"/>
  <c r="F1030" i="2"/>
  <c r="D1022" i="2"/>
  <c r="F1022" i="2" s="1"/>
  <c r="F1021" i="2"/>
  <c r="F1015" i="2"/>
  <c r="F1014" i="2"/>
  <c r="F1011" i="2"/>
  <c r="F1010" i="2"/>
  <c r="F1009" i="2"/>
  <c r="F1008" i="2"/>
  <c r="D1000" i="2"/>
  <c r="F999" i="2"/>
  <c r="F993" i="2"/>
  <c r="F992" i="2"/>
  <c r="F989" i="2"/>
  <c r="F988" i="2"/>
  <c r="F987" i="2"/>
  <c r="F986" i="2"/>
  <c r="D978" i="2"/>
  <c r="F977" i="2"/>
  <c r="F971" i="2"/>
  <c r="F970" i="2"/>
  <c r="F967" i="2"/>
  <c r="F966" i="2"/>
  <c r="F965" i="2"/>
  <c r="F964" i="2"/>
  <c r="D913" i="2"/>
  <c r="F912" i="2"/>
  <c r="F906" i="2"/>
  <c r="F907" i="2" s="1"/>
  <c r="E909" i="2" s="1"/>
  <c r="F909" i="2" s="1"/>
  <c r="F910" i="2" s="1"/>
  <c r="F903" i="2"/>
  <c r="F902" i="2"/>
  <c r="F901" i="2"/>
  <c r="F900" i="2"/>
  <c r="F899" i="2"/>
  <c r="F898" i="2"/>
  <c r="F897" i="2"/>
  <c r="F896" i="2"/>
  <c r="F895" i="2"/>
  <c r="F894" i="2"/>
  <c r="F893" i="2"/>
  <c r="F892" i="2"/>
  <c r="F883" i="2"/>
  <c r="F878" i="2"/>
  <c r="F879" i="2" s="1"/>
  <c r="E881" i="2" s="1"/>
  <c r="F881" i="2" s="1"/>
  <c r="F882" i="2" s="1"/>
  <c r="F875" i="2"/>
  <c r="F874" i="2"/>
  <c r="D866" i="2"/>
  <c r="F865" i="2"/>
  <c r="F859" i="2"/>
  <c r="F860" i="2" s="1"/>
  <c r="E862" i="2" s="1"/>
  <c r="F862" i="2" s="1"/>
  <c r="F863" i="2" s="1"/>
  <c r="F856" i="2"/>
  <c r="F855" i="2"/>
  <c r="F854" i="2"/>
  <c r="D846" i="2"/>
  <c r="F845" i="2"/>
  <c r="F840" i="2"/>
  <c r="F841" i="2" s="1"/>
  <c r="E843" i="2" s="1"/>
  <c r="F843" i="2" s="1"/>
  <c r="F844" i="2" s="1"/>
  <c r="F837" i="2"/>
  <c r="F836" i="2"/>
  <c r="D828" i="2"/>
  <c r="F827" i="2"/>
  <c r="F822" i="2"/>
  <c r="F823" i="2" s="1"/>
  <c r="E825" i="2" s="1"/>
  <c r="F825" i="2" s="1"/>
  <c r="F826" i="2" s="1"/>
  <c r="F819" i="2"/>
  <c r="F818" i="2"/>
  <c r="D810" i="2"/>
  <c r="F809" i="2"/>
  <c r="F803" i="2"/>
  <c r="F804" i="2" s="1"/>
  <c r="E806" i="2" s="1"/>
  <c r="F806" i="2" s="1"/>
  <c r="F807" i="2" s="1"/>
  <c r="F800" i="2"/>
  <c r="F799" i="2"/>
  <c r="F798" i="2"/>
  <c r="F797" i="2"/>
  <c r="F796" i="2"/>
  <c r="F795" i="2"/>
  <c r="F794" i="2"/>
  <c r="F793" i="2"/>
  <c r="D785" i="2"/>
  <c r="F784" i="2"/>
  <c r="F778" i="2"/>
  <c r="F779" i="2" s="1"/>
  <c r="E781" i="2" s="1"/>
  <c r="F781" i="2" s="1"/>
  <c r="F782" i="2" s="1"/>
  <c r="F775" i="2"/>
  <c r="F774" i="2"/>
  <c r="F773" i="2"/>
  <c r="F772" i="2"/>
  <c r="F771" i="2"/>
  <c r="F770" i="2"/>
  <c r="F769" i="2"/>
  <c r="F768" i="2"/>
  <c r="D739" i="2"/>
  <c r="D716" i="2" s="1"/>
  <c r="F736" i="2"/>
  <c r="F737" i="2" s="1"/>
  <c r="F730" i="2"/>
  <c r="F731" i="2" s="1"/>
  <c r="E733" i="2" s="1"/>
  <c r="F733" i="2" s="1"/>
  <c r="F734" i="2" s="1"/>
  <c r="F727" i="2"/>
  <c r="F726" i="2"/>
  <c r="F725" i="2"/>
  <c r="F724" i="2"/>
  <c r="F723" i="2"/>
  <c r="F710" i="2"/>
  <c r="F711" i="2" s="1"/>
  <c r="E713" i="2" s="1"/>
  <c r="F713" i="2" s="1"/>
  <c r="F714" i="2" s="1"/>
  <c r="F707" i="2"/>
  <c r="F706" i="2"/>
  <c r="F705" i="2"/>
  <c r="F704" i="2"/>
  <c r="F694" i="2"/>
  <c r="F695" i="2" s="1"/>
  <c r="F688" i="2"/>
  <c r="F689" i="2" s="1"/>
  <c r="E691" i="2" s="1"/>
  <c r="F691" i="2" s="1"/>
  <c r="F692" i="2" s="1"/>
  <c r="F685" i="2"/>
  <c r="F684" i="2"/>
  <c r="F683" i="2"/>
  <c r="F682" i="2"/>
  <c r="D675" i="2"/>
  <c r="F672" i="2"/>
  <c r="F673" i="2" s="1"/>
  <c r="F666" i="2"/>
  <c r="F667" i="2" s="1"/>
  <c r="E669" i="2" s="1"/>
  <c r="F669" i="2" s="1"/>
  <c r="F670" i="2" s="1"/>
  <c r="F663" i="2"/>
  <c r="F662" i="2"/>
  <c r="F661" i="2"/>
  <c r="D654" i="2"/>
  <c r="F651" i="2"/>
  <c r="F650" i="2"/>
  <c r="F644" i="2"/>
  <c r="F645" i="2" s="1"/>
  <c r="E647" i="2" s="1"/>
  <c r="F647" i="2" s="1"/>
  <c r="F648" i="2" s="1"/>
  <c r="F641" i="2"/>
  <c r="F640" i="2"/>
  <c r="F639" i="2"/>
  <c r="F638" i="2"/>
  <c r="F637" i="2"/>
  <c r="F626" i="2"/>
  <c r="F627" i="2" s="1"/>
  <c r="E629" i="2" s="1"/>
  <c r="F629" i="2" s="1"/>
  <c r="F630" i="2" s="1"/>
  <c r="F623" i="2"/>
  <c r="F624" i="2" s="1"/>
  <c r="F614" i="2"/>
  <c r="F611" i="2"/>
  <c r="F610" i="2"/>
  <c r="F604" i="2"/>
  <c r="F605" i="2" s="1"/>
  <c r="E607" i="2" s="1"/>
  <c r="F607" i="2" s="1"/>
  <c r="F608" i="2" s="1"/>
  <c r="F601" i="2"/>
  <c r="F600" i="2"/>
  <c r="F599" i="2"/>
  <c r="F598" i="2"/>
  <c r="F597" i="2"/>
  <c r="F588" i="2"/>
  <c r="F582" i="2"/>
  <c r="F583" i="2" s="1"/>
  <c r="E585" i="2" s="1"/>
  <c r="F585" i="2" s="1"/>
  <c r="F586" i="2" s="1"/>
  <c r="F579" i="2"/>
  <c r="F578" i="2"/>
  <c r="F577" i="2"/>
  <c r="F576" i="2"/>
  <c r="F568" i="2"/>
  <c r="D567" i="2"/>
  <c r="D615" i="2" s="1"/>
  <c r="F564" i="2"/>
  <c r="F563" i="2"/>
  <c r="F557" i="2"/>
  <c r="F558" i="2" s="1"/>
  <c r="E560" i="2" s="1"/>
  <c r="F560" i="2" s="1"/>
  <c r="F561" i="2" s="1"/>
  <c r="F554" i="2"/>
  <c r="F553" i="2"/>
  <c r="F552" i="2"/>
  <c r="F551" i="2"/>
  <c r="F542" i="2"/>
  <c r="F536" i="2"/>
  <c r="F537" i="2" s="1"/>
  <c r="E539" i="2" s="1"/>
  <c r="F539" i="2" s="1"/>
  <c r="F540" i="2" s="1"/>
  <c r="F533" i="2"/>
  <c r="F534" i="2" s="1"/>
  <c r="D525" i="2"/>
  <c r="F521" i="2"/>
  <c r="F522" i="2" s="1"/>
  <c r="E524" i="2" s="1"/>
  <c r="F524" i="2" s="1"/>
  <c r="F518" i="2"/>
  <c r="F519" i="2" s="1"/>
  <c r="F510" i="2"/>
  <c r="F511" i="2" s="1"/>
  <c r="F507" i="2"/>
  <c r="F508" i="2" s="1"/>
  <c r="F501" i="2"/>
  <c r="F502" i="2" s="1"/>
  <c r="E504" i="2" s="1"/>
  <c r="F504" i="2" s="1"/>
  <c r="F505" i="2" s="1"/>
  <c r="F498" i="2"/>
  <c r="F499" i="2" s="1"/>
  <c r="F489" i="2"/>
  <c r="F486" i="2"/>
  <c r="F485" i="2"/>
  <c r="F479" i="2"/>
  <c r="F480" i="2" s="1"/>
  <c r="E482" i="2" s="1"/>
  <c r="F482" i="2" s="1"/>
  <c r="F483" i="2" s="1"/>
  <c r="F476" i="2"/>
  <c r="F475" i="2"/>
  <c r="F474" i="2"/>
  <c r="D466" i="2"/>
  <c r="F465" i="2"/>
  <c r="F459" i="2"/>
  <c r="F460" i="2" s="1"/>
  <c r="E462" i="2" s="1"/>
  <c r="F462" i="2" s="1"/>
  <c r="F463" i="2" s="1"/>
  <c r="F456" i="2"/>
  <c r="F457" i="2" s="1"/>
  <c r="F445" i="2"/>
  <c r="F446" i="2" s="1"/>
  <c r="F439" i="2"/>
  <c r="F440" i="2" s="1"/>
  <c r="E442" i="2" s="1"/>
  <c r="F442" i="2" s="1"/>
  <c r="F443" i="2" s="1"/>
  <c r="F436" i="2"/>
  <c r="F435" i="2"/>
  <c r="D403" i="2"/>
  <c r="F402" i="2"/>
  <c r="F399" i="2"/>
  <c r="F398" i="2"/>
  <c r="F392" i="2"/>
  <c r="F393" i="2" s="1"/>
  <c r="E395" i="2" s="1"/>
  <c r="F395" i="2" s="1"/>
  <c r="F396" i="2" s="1"/>
  <c r="F389" i="2"/>
  <c r="F388" i="2"/>
  <c r="F379" i="2"/>
  <c r="F376" i="2"/>
  <c r="F375" i="2"/>
  <c r="F369" i="2"/>
  <c r="F370" i="2" s="1"/>
  <c r="E372" i="2" s="1"/>
  <c r="F372" i="2" s="1"/>
  <c r="F373" i="2" s="1"/>
  <c r="F366" i="2"/>
  <c r="F367" i="2" s="1"/>
  <c r="F355" i="2"/>
  <c r="F354" i="2"/>
  <c r="F348" i="2"/>
  <c r="F349" i="2" s="1"/>
  <c r="E351" i="2" s="1"/>
  <c r="F351" i="2" s="1"/>
  <c r="F352" i="2" s="1"/>
  <c r="F345" i="2"/>
  <c r="F344" i="2"/>
  <c r="F343" i="2"/>
  <c r="F342" i="2"/>
  <c r="F333" i="2"/>
  <c r="F330" i="2"/>
  <c r="F329" i="2"/>
  <c r="F328" i="2"/>
  <c r="F327" i="2"/>
  <c r="F321" i="2"/>
  <c r="F322" i="2" s="1"/>
  <c r="E324" i="2" s="1"/>
  <c r="F324" i="2" s="1"/>
  <c r="F325" i="2" s="1"/>
  <c r="F318" i="2"/>
  <c r="F317" i="2"/>
  <c r="F316" i="2"/>
  <c r="D283" i="2"/>
  <c r="F282" i="2"/>
  <c r="F279" i="2"/>
  <c r="F278" i="2"/>
  <c r="F277" i="2"/>
  <c r="F271" i="2"/>
  <c r="F272" i="2" s="1"/>
  <c r="F268" i="2"/>
  <c r="F267" i="2"/>
  <c r="D240" i="2"/>
  <c r="F239" i="2"/>
  <c r="F233" i="2"/>
  <c r="F234" i="2" s="1"/>
  <c r="E236" i="2" s="1"/>
  <c r="F236" i="2" s="1"/>
  <c r="F237" i="2" s="1"/>
  <c r="F230" i="2"/>
  <c r="F229" i="2"/>
  <c r="D221" i="2"/>
  <c r="F220" i="2"/>
  <c r="F214" i="2"/>
  <c r="F215" i="2" s="1"/>
  <c r="E217" i="2" s="1"/>
  <c r="F217" i="2" s="1"/>
  <c r="F218" i="2" s="1"/>
  <c r="F211" i="2"/>
  <c r="F210" i="2"/>
  <c r="D259" i="2"/>
  <c r="F258" i="2"/>
  <c r="F252" i="2"/>
  <c r="F253" i="2" s="1"/>
  <c r="E255" i="2" s="1"/>
  <c r="F255" i="2" s="1"/>
  <c r="F256" i="2" s="1"/>
  <c r="F249" i="2"/>
  <c r="F248" i="2"/>
  <c r="F201" i="2"/>
  <c r="F195" i="2"/>
  <c r="F196" i="2" s="1"/>
  <c r="E198" i="2" s="1"/>
  <c r="F198" i="2" s="1"/>
  <c r="F199" i="2" s="1"/>
  <c r="F192" i="2"/>
  <c r="F191" i="2"/>
  <c r="F183" i="2"/>
  <c r="F184" i="2" s="1"/>
  <c r="F180" i="2"/>
  <c r="F181" i="2" s="1"/>
  <c r="F174" i="2"/>
  <c r="F173" i="2"/>
  <c r="F170" i="2"/>
  <c r="F171" i="2" s="1"/>
  <c r="F161" i="2"/>
  <c r="F160" i="2"/>
  <c r="F154" i="2"/>
  <c r="F155" i="2" s="1"/>
  <c r="E157" i="2" s="1"/>
  <c r="F157" i="2" s="1"/>
  <c r="F158" i="2" s="1"/>
  <c r="F151" i="2"/>
  <c r="F152" i="2" s="1"/>
  <c r="F143" i="2"/>
  <c r="F142" i="2"/>
  <c r="F136" i="2"/>
  <c r="F137" i="2" s="1"/>
  <c r="F128" i="2"/>
  <c r="F127" i="2"/>
  <c r="F124" i="2"/>
  <c r="F123" i="2"/>
  <c r="F117" i="2"/>
  <c r="F108" i="2"/>
  <c r="F107" i="2"/>
  <c r="F101" i="2"/>
  <c r="F102" i="2" s="1"/>
  <c r="F90" i="2"/>
  <c r="F89" i="2"/>
  <c r="F86" i="2"/>
  <c r="F85" i="2"/>
  <c r="F79" i="2"/>
  <c r="F80" i="2" s="1"/>
  <c r="F71" i="2"/>
  <c r="F70" i="2"/>
  <c r="F67" i="2"/>
  <c r="F68" i="2" s="1"/>
  <c r="F61" i="2"/>
  <c r="F62" i="2" s="1"/>
  <c r="F53" i="2"/>
  <c r="F52" i="2"/>
  <c r="F49" i="2"/>
  <c r="F48" i="2"/>
  <c r="F42" i="2"/>
  <c r="F43" i="2" s="1"/>
  <c r="F34" i="2"/>
  <c r="F35" i="2" s="1"/>
  <c r="F28" i="2"/>
  <c r="F29" i="2" s="1"/>
  <c r="E31" i="2" s="1"/>
  <c r="F31" i="2" s="1"/>
  <c r="F32" i="2" s="1"/>
  <c r="F17" i="2"/>
  <c r="F18" i="2" s="1"/>
  <c r="F14" i="2"/>
  <c r="F13" i="2"/>
  <c r="F118" i="2" l="1"/>
  <c r="E120" i="2" s="1"/>
  <c r="F120" i="2" s="1"/>
  <c r="F121" i="2" s="1"/>
  <c r="E1861" i="2"/>
  <c r="F1861" i="2" s="1"/>
  <c r="F1862" i="2" s="1"/>
  <c r="E1869" i="2" s="1"/>
  <c r="D102" i="1" s="1"/>
  <c r="E1091" i="2"/>
  <c r="D67" i="1" s="1"/>
  <c r="F231" i="2"/>
  <c r="F437" i="2"/>
  <c r="F400" i="2"/>
  <c r="F1053" i="2"/>
  <c r="F1639" i="2"/>
  <c r="E1646" i="2" s="1"/>
  <c r="D92" i="1" s="1"/>
  <c r="F820" i="2"/>
  <c r="F50" i="2"/>
  <c r="F1033" i="2"/>
  <c r="F250" i="2"/>
  <c r="F739" i="2"/>
  <c r="F543" i="2"/>
  <c r="F544" i="2" s="1"/>
  <c r="E545" i="2" s="1"/>
  <c r="D39" i="1" s="1"/>
  <c r="F334" i="2"/>
  <c r="F335" i="2" s="1"/>
  <c r="F913" i="2"/>
  <c r="F914" i="2" s="1"/>
  <c r="F716" i="2"/>
  <c r="F525" i="2"/>
  <c r="F526" i="2" s="1"/>
  <c r="E527" i="2" s="1"/>
  <c r="D38" i="1" s="1"/>
  <c r="F697" i="2"/>
  <c r="F490" i="2"/>
  <c r="F491" i="2" s="1"/>
  <c r="F283" i="2"/>
  <c r="F284" i="2" s="1"/>
  <c r="F866" i="2"/>
  <c r="F867" i="2" s="1"/>
  <c r="F675" i="2"/>
  <c r="F466" i="2"/>
  <c r="F467" i="2" s="1"/>
  <c r="E468" i="2" s="1"/>
  <c r="D35" i="1" s="1"/>
  <c r="F240" i="2"/>
  <c r="F241" i="2" s="1"/>
  <c r="F846" i="2"/>
  <c r="F847" i="2" s="1"/>
  <c r="F654" i="2"/>
  <c r="F448" i="2"/>
  <c r="F449" i="2" s="1"/>
  <c r="F221" i="2"/>
  <c r="F222" i="2" s="1"/>
  <c r="F828" i="2"/>
  <c r="F829" i="2" s="1"/>
  <c r="F615" i="2"/>
  <c r="F616" i="2" s="1"/>
  <c r="F403" i="2"/>
  <c r="F404" i="2" s="1"/>
  <c r="F259" i="2"/>
  <c r="F260" i="2" s="1"/>
  <c r="F810" i="2"/>
  <c r="F811" i="2" s="1"/>
  <c r="F589" i="2"/>
  <c r="F590" i="2" s="1"/>
  <c r="F380" i="2"/>
  <c r="F381" i="2" s="1"/>
  <c r="F202" i="2"/>
  <c r="F203" i="2" s="1"/>
  <c r="F785" i="2"/>
  <c r="F786" i="2" s="1"/>
  <c r="F567" i="2"/>
  <c r="F569" i="2" s="1"/>
  <c r="F358" i="2"/>
  <c r="F359" i="2" s="1"/>
  <c r="F884" i="2"/>
  <c r="F885" i="2" s="1"/>
  <c r="F1878" i="2"/>
  <c r="F212" i="2"/>
  <c r="F377" i="2"/>
  <c r="F612" i="2"/>
  <c r="F487" i="2"/>
  <c r="F876" i="2"/>
  <c r="F972" i="2"/>
  <c r="E974" i="2" s="1"/>
  <c r="F974" i="2" s="1"/>
  <c r="F975" i="2" s="1"/>
  <c r="F129" i="2"/>
  <c r="F91" i="2"/>
  <c r="F87" i="2"/>
  <c r="F15" i="2"/>
  <c r="F319" i="2"/>
  <c r="F565" i="2"/>
  <c r="F1654" i="2"/>
  <c r="E1661" i="2" s="1"/>
  <c r="D93" i="1" s="1"/>
  <c r="F1850" i="2"/>
  <c r="F857" i="2"/>
  <c r="F54" i="2"/>
  <c r="F125" i="2"/>
  <c r="F162" i="2"/>
  <c r="E163" i="2" s="1"/>
  <c r="F1726" i="2"/>
  <c r="F1727" i="2" s="1"/>
  <c r="E36" i="2"/>
  <c r="F978" i="2"/>
  <c r="F979" i="2" s="1"/>
  <c r="F1000" i="2"/>
  <c r="F1001" i="2" s="1"/>
  <c r="F390" i="2"/>
  <c r="F1591" i="2"/>
  <c r="F686" i="2"/>
  <c r="F269" i="2"/>
  <c r="F72" i="2"/>
  <c r="F109" i="2"/>
  <c r="F144" i="2"/>
  <c r="F331" i="2"/>
  <c r="F602" i="2"/>
  <c r="F356" i="2"/>
  <c r="F1043" i="2"/>
  <c r="F1062" i="2"/>
  <c r="F1063" i="2" s="1"/>
  <c r="F1510" i="2"/>
  <c r="F1538" i="2"/>
  <c r="E1548" i="2" s="1"/>
  <c r="D88" i="1" s="1"/>
  <c r="F193" i="2"/>
  <c r="F664" i="2"/>
  <c r="F708" i="2"/>
  <c r="F990" i="2"/>
  <c r="F1012" i="2"/>
  <c r="F1696" i="2"/>
  <c r="F1697" i="2" s="1"/>
  <c r="F175" i="2"/>
  <c r="E177" i="2" s="1"/>
  <c r="F177" i="2" s="1"/>
  <c r="F178" i="2" s="1"/>
  <c r="E185" i="2" s="1"/>
  <c r="D19" i="1" s="1"/>
  <c r="F280" i="2"/>
  <c r="F555" i="2"/>
  <c r="F994" i="2"/>
  <c r="E996" i="2" s="1"/>
  <c r="F996" i="2" s="1"/>
  <c r="F997" i="2" s="1"/>
  <c r="F1016" i="2"/>
  <c r="E1018" i="2" s="1"/>
  <c r="F1018" i="2" s="1"/>
  <c r="F1019" i="2" s="1"/>
  <c r="F1430" i="2"/>
  <c r="F652" i="2"/>
  <c r="F776" i="2"/>
  <c r="F1493" i="2"/>
  <c r="F1494" i="2" s="1"/>
  <c r="F1521" i="2"/>
  <c r="F1522" i="2" s="1"/>
  <c r="F1599" i="2"/>
  <c r="F1600" i="2" s="1"/>
  <c r="F477" i="2"/>
  <c r="F968" i="2"/>
  <c r="F1441" i="2"/>
  <c r="F1442" i="2" s="1"/>
  <c r="F1572" i="2"/>
  <c r="F1573" i="2" s="1"/>
  <c r="F1630" i="2"/>
  <c r="E104" i="2"/>
  <c r="F104" i="2" s="1"/>
  <c r="F105" i="2" s="1"/>
  <c r="E631" i="2"/>
  <c r="D44" i="1" s="1"/>
  <c r="E139" i="2"/>
  <c r="F139" i="2" s="1"/>
  <c r="F140" i="2" s="1"/>
  <c r="E82" i="2"/>
  <c r="F82" i="2" s="1"/>
  <c r="F83" i="2" s="1"/>
  <c r="E10" i="2"/>
  <c r="E274" i="2"/>
  <c r="F274" i="2" s="1"/>
  <c r="F275" i="2" s="1"/>
  <c r="E45" i="2"/>
  <c r="F45" i="2" s="1"/>
  <c r="F46" i="2" s="1"/>
  <c r="F346" i="2"/>
  <c r="F728" i="2"/>
  <c r="F1023" i="2"/>
  <c r="F1466" i="2"/>
  <c r="F1685" i="2"/>
  <c r="F642" i="2"/>
  <c r="F1714" i="2"/>
  <c r="E512" i="2"/>
  <c r="D37" i="1" s="1"/>
  <c r="F1564" i="2"/>
  <c r="F1621" i="2"/>
  <c r="F1747" i="2"/>
  <c r="E1757" i="2" s="1"/>
  <c r="D97" i="1" s="1"/>
  <c r="F1888" i="2"/>
  <c r="E64" i="2"/>
  <c r="F64" i="2" s="1"/>
  <c r="F65" i="2" s="1"/>
  <c r="F580" i="2"/>
  <c r="F801" i="2"/>
  <c r="F838" i="2"/>
  <c r="F904" i="2"/>
  <c r="F1457" i="2"/>
  <c r="F1482" i="2"/>
  <c r="F1772" i="2"/>
  <c r="E1782" i="2" s="1"/>
  <c r="D17" i="1" l="1"/>
  <c r="D10" i="1"/>
  <c r="F10" i="2"/>
  <c r="F11" i="2" s="1"/>
  <c r="E19" i="2" s="1"/>
  <c r="D98" i="1"/>
  <c r="E110" i="2"/>
  <c r="D14" i="1" s="1"/>
  <c r="E242" i="2"/>
  <c r="D23" i="1" s="1"/>
  <c r="F1851" i="2"/>
  <c r="E1852" i="2" s="1"/>
  <c r="D101" i="1" s="1"/>
  <c r="E450" i="2"/>
  <c r="D34" i="1" s="1"/>
  <c r="E1044" i="2"/>
  <c r="D65" i="1" s="1"/>
  <c r="E1064" i="2"/>
  <c r="D66" i="1" s="1"/>
  <c r="E617" i="2"/>
  <c r="D43" i="1" s="1"/>
  <c r="E92" i="2"/>
  <c r="E130" i="2"/>
  <c r="E886" i="2"/>
  <c r="D57" i="1" s="1"/>
  <c r="E868" i="2"/>
  <c r="D56" i="1" s="1"/>
  <c r="E830" i="2"/>
  <c r="D54" i="1" s="1"/>
  <c r="E698" i="2"/>
  <c r="D47" i="1" s="1"/>
  <c r="E980" i="2"/>
  <c r="D62" i="1" s="1"/>
  <c r="E1631" i="2"/>
  <c r="D91" i="1" s="1"/>
  <c r="E55" i="2"/>
  <c r="E570" i="2"/>
  <c r="D41" i="1" s="1"/>
  <c r="E1889" i="2"/>
  <c r="D103" i="1" s="1"/>
  <c r="E405" i="2"/>
  <c r="D31" i="1" s="1"/>
  <c r="E382" i="2"/>
  <c r="D30" i="1" s="1"/>
  <c r="E336" i="2"/>
  <c r="D28" i="1" s="1"/>
  <c r="E223" i="2"/>
  <c r="D22" i="1" s="1"/>
  <c r="E261" i="2"/>
  <c r="D24" i="1" s="1"/>
  <c r="E204" i="2"/>
  <c r="D21" i="1" s="1"/>
  <c r="E591" i="2"/>
  <c r="D42" i="1" s="1"/>
  <c r="E1523" i="2"/>
  <c r="D87" i="1" s="1"/>
  <c r="E676" i="2"/>
  <c r="D46" i="1" s="1"/>
  <c r="E717" i="2"/>
  <c r="D48" i="1" s="1"/>
  <c r="E1728" i="2"/>
  <c r="D95" i="1" s="1"/>
  <c r="E1698" i="2"/>
  <c r="D94" i="1" s="1"/>
  <c r="E848" i="2"/>
  <c r="D55" i="1" s="1"/>
  <c r="E740" i="2"/>
  <c r="D49" i="1" s="1"/>
  <c r="E492" i="2"/>
  <c r="D36" i="1" s="1"/>
  <c r="E360" i="2"/>
  <c r="D29" i="1" s="1"/>
  <c r="E145" i="2"/>
  <c r="E73" i="2"/>
  <c r="E1002" i="2"/>
  <c r="D63" i="1" s="1"/>
  <c r="E1024" i="2"/>
  <c r="D64" i="1" s="1"/>
  <c r="E1601" i="2"/>
  <c r="D90" i="1" s="1"/>
  <c r="E1443" i="2"/>
  <c r="D84" i="1" s="1"/>
  <c r="E655" i="2"/>
  <c r="D45" i="1" s="1"/>
  <c r="E285" i="2"/>
  <c r="D26" i="1" s="1"/>
  <c r="E1495" i="2"/>
  <c r="D86" i="1" s="1"/>
  <c r="E787" i="2"/>
  <c r="D52" i="1" s="1"/>
  <c r="E1574" i="2"/>
  <c r="D89" i="1" s="1"/>
  <c r="E812" i="2"/>
  <c r="D53" i="1" s="1"/>
  <c r="E1467" i="2"/>
  <c r="D85" i="1" s="1"/>
  <c r="E915" i="2"/>
  <c r="D58" i="1" s="1"/>
  <c r="D15" i="1" l="1"/>
  <c r="D16" i="1"/>
  <c r="D13" i="1"/>
  <c r="D12" i="1"/>
  <c r="D11" i="1"/>
  <c r="D9" i="1"/>
  <c r="B62" i="1"/>
  <c r="B63" i="1"/>
  <c r="B64" i="1"/>
</calcChain>
</file>

<file path=xl/sharedStrings.xml><?xml version="1.0" encoding="utf-8"?>
<sst xmlns="http://schemas.openxmlformats.org/spreadsheetml/2006/main" count="5589" uniqueCount="648">
  <si>
    <t>EJECUCIÓN DE MEJORAMIENTOS DE VIVIENDAS URBANAS Y RURALES EN EL DEPARTAMENTO DE ANTIOQUIA</t>
  </si>
  <si>
    <t>Item</t>
  </si>
  <si>
    <t>Descripción</t>
  </si>
  <si>
    <t>Unidad</t>
  </si>
  <si>
    <t>Valor unitario</t>
  </si>
  <si>
    <t>1.0.0</t>
  </si>
  <si>
    <t>1.2</t>
  </si>
  <si>
    <t>RETIRO DE TUBERÍA DE AGUAS RESIDUALES y/o LLUVIAS colgadas o expuestas. Incluye el cargue y transporte de los materiales aprovechables hasta la bodega o donde lo indique la interventoría, el cargue transporte y botada de los escombros generados en botaderos oficiales o donde lo indique la interventoría.</t>
  </si>
  <si>
    <t>1.3</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</si>
  <si>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</si>
  <si>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1.4</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</si>
  <si>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</si>
  <si>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1.5</t>
  </si>
  <si>
    <t>DEMOLICIÓN PISO EN CONCRETO de cualquier resistencia con espesor hasta de 12 cm, manual o mecánicamente. Incluye cargue, transporte y botada de escombros,  retiro de refuerzo e instalaciones embebidas, además recuperación de los materiales aprovechables y su transporte hasta el sitio que lo indique la interventoría.</t>
  </si>
  <si>
    <t>1.6</t>
  </si>
  <si>
    <t>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</si>
  <si>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1.7</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</si>
  <si>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</si>
  <si>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1.8</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</si>
  <si>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</si>
  <si>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1.9</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</si>
  <si>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</si>
  <si>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1.10</t>
  </si>
  <si>
    <t>DEMOLICIÓN DE REVOQUE, espesores entre 0.02 y 0.03 m. Incluye cargue, transporte y botada de escombros en botaderos oficiales, transporte hasta el sitio que lo indique la interventoría.</t>
  </si>
  <si>
    <t>2.0.0</t>
  </si>
  <si>
    <t>2.1</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</si>
  <si>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</si>
  <si>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4.0.0</t>
  </si>
  <si>
    <t>4.1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</si>
  <si>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</si>
  <si>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4.2</t>
  </si>
  <si>
    <t>Colocación de MALLA ELECTROSOLDADA TIPO D 188. Incluye el suministro y el transporte del material y todos los elementos necesarios para su correcta colocación.</t>
  </si>
  <si>
    <t>4.3</t>
  </si>
  <si>
    <t>Colocación de MALLA ELECTROSOLDADA TIPO D 50. Incluye el suministro y el transporte del material y todos los elementos necesarios para su correcta colocación.</t>
  </si>
  <si>
    <t>4.4</t>
  </si>
  <si>
    <t>Colocación de MALLA ELECTROSOLDADA TIPO D 84. Incluye el suministro y el transporte del material y todos los elementos necesarios para su correcta colocación.</t>
  </si>
  <si>
    <t>5.0.0</t>
  </si>
  <si>
    <t>5.1</t>
  </si>
  <si>
    <t xml:space="preserve">Construcción de MAMPOSTERÍA EN LADRILLO PARA REVOCAR O ENCHAPAR una cara o dos caras, DE 10 x 20 x 40 cm. ESPESOR DE 10 cm. Incluye el suministro, el mortero de pega 1:4 espesor max=0.01 m y todos los demás elementos necesarios para su correcta construcción y funcionamiento.  </t>
  </si>
  <si>
    <t>5.2</t>
  </si>
  <si>
    <t xml:space="preserve">Construcción de mamposteria en adobe calado de 0,10 m x 0,20 m x 0,20 m,  Incluye revitado liso y todos los materiales necesarios para su correcta ejecución. </t>
  </si>
  <si>
    <t>5.3</t>
  </si>
  <si>
    <t>Construcción de MAMPOSTERÍA EN BLOQUE DE CONCRETO DE 10x20x30 cm. ESPESOR DE 10.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t>
  </si>
  <si>
    <t>5.4</t>
  </si>
  <si>
    <t xml:space="preserve">Construcción de caja de registro en mampostería de bloque de concreto con revoque interno, dimensiones de 0,5 m x 0,5 m, con altura de 0,5 m-espesor de paredes 0,1 m. Incluye tapa. </t>
  </si>
  <si>
    <t>5.5</t>
  </si>
  <si>
    <t>5.6</t>
  </si>
  <si>
    <t>6.0.0</t>
  </si>
  <si>
    <t>PISOS</t>
  </si>
  <si>
    <t>6.1</t>
  </si>
  <si>
    <t>6.2</t>
  </si>
  <si>
    <t>Instalación de suelo-cemento 1:12 elaborado en obra, con material proveniente de la excavación. Compactación manual con pisón en capas de 15 cm de espesor.</t>
  </si>
  <si>
    <t>6.3</t>
  </si>
  <si>
    <t>6.4</t>
  </si>
  <si>
    <t>Preparación de superficie de losa existente para adherencia de enchape. Incluye escarificación superficial de losa existente.</t>
  </si>
  <si>
    <t>6.5</t>
  </si>
  <si>
    <t>6.6</t>
  </si>
  <si>
    <t>7.0.0</t>
  </si>
  <si>
    <t>7.1</t>
  </si>
  <si>
    <t>7.2</t>
  </si>
  <si>
    <t>Construcción de pisos en cemento esmaltado mortero  1:5 , e= 0,1 m, juntas inducidas, sellador elástico de poliuretano hasta una profundidad de 5mm, limpieza de la junta, garantizar acabado uniforme, incluye todos los materiales necesario para su correcta ejecución.</t>
  </si>
  <si>
    <t>7.3</t>
  </si>
  <si>
    <t>7.4</t>
  </si>
  <si>
    <t>Suministro, transporte y colocación de pirlan en aluminio.</t>
  </si>
  <si>
    <t>7.5</t>
  </si>
  <si>
    <t>7.6</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</si>
  <si>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</si>
  <si>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7.7</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</si>
  <si>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</si>
  <si>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7.8</t>
  </si>
  <si>
    <t>7.9</t>
  </si>
  <si>
    <t>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t>
  </si>
  <si>
    <t>8.0.0</t>
  </si>
  <si>
    <t>8.1</t>
  </si>
  <si>
    <t>8.2</t>
  </si>
  <si>
    <t>Suministro e instalación de SANITARIO INTEGRAL (línea Acuacer o equivalente) color BLANCO, bajo consumo 6lt, diseño de dos piezas, taza redonda, incluye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</si>
  <si>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8.3</t>
  </si>
  <si>
    <t>Suministro, transporte y colocación de accesorios para baño tipo mancesa o equivalente. Incluye jabonera, papelera, toallera y todos los demás elementos necesarios para su correcta construcción y funcionamiento.</t>
  </si>
  <si>
    <t>8.4</t>
  </si>
  <si>
    <t xml:space="preserve">Suministro e instalación de teleducha. Incluye todos los elementos necesarios para su correcta instalación. </t>
  </si>
  <si>
    <t>8.5</t>
  </si>
  <si>
    <t>8.6</t>
  </si>
  <si>
    <t>Suministro, transporte y colocación de barra de seguridad para discapacitados, con una longitud de 40 cm. y un diámetro de 1¼" en acero inoxidable. Incluye pernos para anclaje, escudos en acero inoxidable y todos los elementos necesarios para su correcta instalación y funcionamiento.</t>
  </si>
  <si>
    <t>8.7</t>
  </si>
  <si>
    <t>8.8</t>
  </si>
  <si>
    <t>8.9</t>
  </si>
  <si>
    <t>m</t>
  </si>
  <si>
    <t>10.0.0</t>
  </si>
  <si>
    <t>10.5</t>
  </si>
  <si>
    <t>10.6</t>
  </si>
  <si>
    <t>10.7</t>
  </si>
  <si>
    <t>10.8</t>
  </si>
  <si>
    <t>Suministro e instalación de puerta para baño de 0,70 a 0,90 m, incluye, marco en aluminio, ala perfil en acrílico blanco 2,8 mm y todos los materiales para su correcta ejecución, batiente.</t>
  </si>
  <si>
    <t>10.9</t>
  </si>
  <si>
    <t>Suministro e instalación de puerta en madera de 0.70 x 2.10 m a 0.90 x 2.10 m, incluye, marco en madera, ala en triplex, cerradura de pomo y todos los elementos para su  ejecución.</t>
  </si>
  <si>
    <t>10.11</t>
  </si>
  <si>
    <t>10.12</t>
  </si>
  <si>
    <t>Suministro e instalación de mueble Superior para cocina, en lamina RH, (Incluye 2 niveles de rejilla metalica para losa-platos-pocillos-vasos y  todos los elementros para el corrrecto funcionamiento)</t>
  </si>
  <si>
    <t>11.0.0</t>
  </si>
  <si>
    <t>INSTALACIONES HIDROSANITARIAS</t>
  </si>
  <si>
    <t>11.1</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</si>
  <si>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</si>
  <si>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11.2</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</si>
  <si>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</si>
  <si>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11.3</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</si>
  <si>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</si>
  <si>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11.4</t>
  </si>
  <si>
    <t>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</si>
  <si>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11.5</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</si>
  <si>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</si>
  <si>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11.6</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</si>
  <si>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</si>
  <si>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11.7</t>
  </si>
  <si>
    <t>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</si>
  <si>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11.8</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</si>
  <si>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</si>
  <si>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11.9</t>
  </si>
  <si>
    <t>Suministro, transporte e instalación de REJILLA METÁLICA DE PISO combinada Aluminio/bronce DE 3x2" para desagüe de 2". Incluye suministro y transporte de los materiales y todos los elementos necesarios para su correcta instalación.</t>
  </si>
  <si>
    <t>11.10</t>
  </si>
  <si>
    <t>Suministro, transporte e instalación de REJILLA METÁLICA DE PISO combinada Aluminio/bronce DE 4x3" para desagüe de 3". Incluye suministro y transporte de los materiales y todos los elementos necesarios para su correcta instalación.</t>
  </si>
  <si>
    <t>11.11</t>
  </si>
  <si>
    <t>KIT SÉPTICO: Trampa de Grasa 250 Lt, Tanque 500 Lt, FAFA 500 Lt. Incluye la excavación, suministro e instalación de todos los accesorios y materiales necesarios para su correcta instalación que se encontraran dispuestos en el sitio del proyecto.</t>
  </si>
  <si>
    <t>Construcción en sitio de pozo de absorción de 1.50m de diámetro interno, profundidad de referencia de 2.0 m en mampostería, para disposición final de aguas provenientes de sistema séptico. Incluye excavación, lleno en gravilla, accesorios en PVC, concreto, formaletas, refuerzos, tapa y disposición de material de excavación.</t>
  </si>
  <si>
    <t>12.0.0</t>
  </si>
  <si>
    <t>INSTALACIONES ELECTRICAS</t>
  </si>
  <si>
    <t>12.1</t>
  </si>
  <si>
    <t>12.2</t>
  </si>
  <si>
    <t>13.0.0</t>
  </si>
  <si>
    <t>13.1</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</si>
  <si>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</si>
  <si>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13.2</t>
  </si>
  <si>
    <t>LLENOS EN MATERIAL PROVENIENTES DE LA EXCAVACIÓN, compactados mecánicamente hasta obtener una densidad del 95% de la máxima obtenida en el ensayo del próctor modificado. Incluye transporte interno. Su medida será en sitio ya compactado.</t>
  </si>
  <si>
    <t>13.3</t>
  </si>
  <si>
    <t>Construcción de SOBRECIMIENTO EN BLOQUE DE CONCRETO DE 10 x 20 x 40 cm. ESPESOR de 10 cm, (bloque de primera calidad, 2 HILADAS), resistencia 8 Mpa (3p, no estructural). Incluye el suministro y el transporte de materiales, mortero de pega 1:4, relleno en concreto fluido de 10.5Mpa en todas las celdas, y todos los elementos necesarios para su correcta ejecución y funcionamiento.</t>
  </si>
  <si>
    <t>hr</t>
  </si>
  <si>
    <t>ANÁLISIS DE PRECIOS UNITARIOS</t>
  </si>
  <si>
    <t>ANALISIS DE PRECIOS UNITARIOS</t>
  </si>
  <si>
    <t>No. Item</t>
  </si>
  <si>
    <t>m2</t>
  </si>
  <si>
    <t>Clave</t>
  </si>
  <si>
    <t>Mano de Obra</t>
  </si>
  <si>
    <t>Cantidad</t>
  </si>
  <si>
    <t>V/Unitario</t>
  </si>
  <si>
    <t>V/Total</t>
  </si>
  <si>
    <t>CUAD DEMOLICIONES</t>
  </si>
  <si>
    <t>Cuadrilla Demoliciones</t>
  </si>
  <si>
    <t>jor</t>
  </si>
  <si>
    <t>Importe de Mano de Obra</t>
  </si>
  <si>
    <t>SUBTOTAL</t>
  </si>
  <si>
    <t>Herramienta</t>
  </si>
  <si>
    <t>HERRAMIENTA MENOR</t>
  </si>
  <si>
    <t>Herramienta menor</t>
  </si>
  <si>
    <t>(%)mo</t>
  </si>
  <si>
    <t>Importe de Herramienta</t>
  </si>
  <si>
    <t>Equipo</t>
  </si>
  <si>
    <t>ANDAMIO COMPLE+ RUED</t>
  </si>
  <si>
    <t>Sección completa de andamio (1.2m-1.5m) x 1.5 m. (+ 4 ruedas) Incluye transporte.</t>
  </si>
  <si>
    <t>día</t>
  </si>
  <si>
    <t>CAN ZUNCHADO ALQUILE</t>
  </si>
  <si>
    <t>Can zunchado en madera común de 5,0cmx20cmx3,0m (alquiler). Incluye transporte.</t>
  </si>
  <si>
    <t>Importe de Equipo</t>
  </si>
  <si>
    <t>Auxiliares</t>
  </si>
  <si>
    <t>CARGUE/TRANS/BOTAD</t>
  </si>
  <si>
    <t>Cargue (Paleros), transporte de materiales y derechos de botadero y/o almacenamiento en bodega.</t>
  </si>
  <si>
    <t>m3</t>
  </si>
  <si>
    <t>ACARREO INT MAT (M3)</t>
  </si>
  <si>
    <t>Acarreo interno de materiales</t>
  </si>
  <si>
    <t>Importe de Auxiliares</t>
  </si>
  <si>
    <t>P R E C I O   U N I T A R I O</t>
  </si>
  <si>
    <t>CUAD RETIROS</t>
  </si>
  <si>
    <t>Cuadrilla Retiros</t>
  </si>
  <si>
    <t>un</t>
  </si>
  <si>
    <t>Materiales</t>
  </si>
  <si>
    <t>TAPON PVC-P SOLDA1</t>
  </si>
  <si>
    <t>Tapón PVC-P soldado 1"</t>
  </si>
  <si>
    <t>Importe de Materiales</t>
  </si>
  <si>
    <t>AYUDANTE RASO</t>
  </si>
  <si>
    <t>Ayudante raso</t>
  </si>
  <si>
    <t>COMPRESOR NEU+MARTIL</t>
  </si>
  <si>
    <t>Compresor Neumático con martillo demoledor o perforador en superficie, punta, combustible y operador.</t>
  </si>
  <si>
    <t>COSTAL FIBRA</t>
  </si>
  <si>
    <t>Costal de fibra</t>
  </si>
  <si>
    <t>PULIDO MANUAL ELECTR</t>
  </si>
  <si>
    <t>Pulidora manual eléctrica con disco</t>
  </si>
  <si>
    <t>TRANSPORTE INT MATER</t>
  </si>
  <si>
    <t>Transporte interno de materiales</t>
  </si>
  <si>
    <t xml:space="preserve">Detergente Neutro </t>
  </si>
  <si>
    <t>ACIDO</t>
  </si>
  <si>
    <t>Ácido muriático (diluido)</t>
  </si>
  <si>
    <t>CUAD 1OF+1AYU O.N.</t>
  </si>
  <si>
    <t>Cuadrilla 1Of + 1 Ay Obra Negra</t>
  </si>
  <si>
    <t xml:space="preserve">TRANSPORTE </t>
  </si>
  <si>
    <t>Transporte de materiales</t>
  </si>
  <si>
    <t>ton</t>
  </si>
  <si>
    <t>AYUDANTE ACARREO INT</t>
  </si>
  <si>
    <t>Ayudante acarreo interno</t>
  </si>
  <si>
    <t>MOTOBOMBA SUMER ALQU</t>
  </si>
  <si>
    <t>Motobomba Eléctrica Sumergible 2" - 30m prof. Incluye manguera flexible 2" (26m), extensión eléctrica encauchetada (50m) y transporte.</t>
  </si>
  <si>
    <t>CONCRE OBRA 21MPA</t>
  </si>
  <si>
    <t xml:space="preserve">Concreto de 21 Mpa preparado en obra (3000PSI) </t>
  </si>
  <si>
    <t>ALAMBRE RECOCIDO</t>
  </si>
  <si>
    <t>Alambre recocido C 18</t>
  </si>
  <si>
    <t>kg</t>
  </si>
  <si>
    <t>LARGUMADERCOMUN</t>
  </si>
  <si>
    <t>Larguero madera común 4cmx8cmx2.80m. Incluye transporte.</t>
  </si>
  <si>
    <t>lb</t>
  </si>
  <si>
    <t>VIBRADOR CONCRE ELEC</t>
  </si>
  <si>
    <t>Vibrador de concreto eléctrico a 110v (alquiler). Tipo aguja</t>
  </si>
  <si>
    <t>TABLA 1.7X0.20</t>
  </si>
  <si>
    <t>Tabla madera común de 1,7cm x 20cm x 3,0m. Incluye transporte.</t>
  </si>
  <si>
    <t>ACERO 60 FIGURADO</t>
  </si>
  <si>
    <t>Acero refuerzo G-60 figurado</t>
  </si>
  <si>
    <t>TRANSPORTE ACERO</t>
  </si>
  <si>
    <t>Transporte de acero( descargue y transporte interno)</t>
  </si>
  <si>
    <t>Malla electrosoldada D-188 (2,35m x 6m)</t>
  </si>
  <si>
    <t>OFICIAL + AYUDANTE1</t>
  </si>
  <si>
    <t>Cuadrilla 1 Oficial + 1 Ayudante Entendido</t>
  </si>
  <si>
    <t>MALLA ELECTROSO D50</t>
  </si>
  <si>
    <t>Malla electrosoldada D-50</t>
  </si>
  <si>
    <t>MALLA ELECTROSO D84</t>
  </si>
  <si>
    <t>Malla electrosoldada D-84</t>
  </si>
  <si>
    <t>LADRILLO 10X20X40RH</t>
  </si>
  <si>
    <t>LADRILLO 10x20x40 RAYADO. puesto en obra</t>
  </si>
  <si>
    <t>MORTERO 1:4</t>
  </si>
  <si>
    <t>Mortero 1:4 en obra</t>
  </si>
  <si>
    <t>CUAD MAMPOSTERIA</t>
  </si>
  <si>
    <t>Cuadrilla Mampostería</t>
  </si>
  <si>
    <t>CORTADO LADR+DIS+OP</t>
  </si>
  <si>
    <t>Cortadora de ladrillo / disco y operador</t>
  </si>
  <si>
    <t>CALADO</t>
  </si>
  <si>
    <t>Adobe calado de  0,10 m x 0,20 m x 0,20 m</t>
  </si>
  <si>
    <t>BLO3PNOESTR10X20X40</t>
  </si>
  <si>
    <t>BLOQUE CONCRETO R-8Mpa 3P NO ESTRUCTURAL 10 x 20 x 40 puesto en obra</t>
  </si>
  <si>
    <t>MORTERO 1:5</t>
  </si>
  <si>
    <t>Mortero 1:5 en obra</t>
  </si>
  <si>
    <t>CAL</t>
  </si>
  <si>
    <t>Cal blanca hidratada por saco de 10 kg</t>
  </si>
  <si>
    <t>saco</t>
  </si>
  <si>
    <t>CORTADORA LADRILLO</t>
  </si>
  <si>
    <t>Cortadora de ladrillo eléctrica sin disco (alquiler)</t>
  </si>
  <si>
    <t>DISCO PUNTADIAMCORTA</t>
  </si>
  <si>
    <t>Disco punta de diamante para cortadora 14" (alquiler)</t>
  </si>
  <si>
    <t>MARCO 50X50 ANTIF</t>
  </si>
  <si>
    <t>Marco de 50 x 50 antifraude</t>
  </si>
  <si>
    <t>TRITURA + TTE 3/4"</t>
  </si>
  <si>
    <t>Triturado 3/4" con transporte</t>
  </si>
  <si>
    <t>REVOQUE 1:4 CAL</t>
  </si>
  <si>
    <t>Revoque 0.25:1:4 (Cal:cemento:arena) preparado en obra</t>
  </si>
  <si>
    <t>Sika 1 o similar - impermeabilizante integral - morteros - concretos.  Presentacion: 1kg. Rendimiento: 1kl x 1 bulto de cemento  o el 3% del peso del cemento</t>
  </si>
  <si>
    <t>PIEDRA ENTRESU + TTE</t>
  </si>
  <si>
    <t>Piedra de entresuelo (limpia), tamaño máximo 15 cm, con transporte.</t>
  </si>
  <si>
    <t>ARENILLA + TTE</t>
  </si>
  <si>
    <t>Arenilla con transporte.</t>
  </si>
  <si>
    <t>COMPACT CAN+OP+COM+T</t>
  </si>
  <si>
    <t>Compactador tipo Canguro. Incluye operador, combustible y transporte.</t>
  </si>
  <si>
    <t>CEMENTO GRIS</t>
  </si>
  <si>
    <t>Cemento portland tipo 1, por saco de 50 kg</t>
  </si>
  <si>
    <t>CLAVO 2"</t>
  </si>
  <si>
    <t>Clavo comun 2" con cabeza. Caja x 500gr</t>
  </si>
  <si>
    <t>COMPACT TIPO RANA</t>
  </si>
  <si>
    <t>Compactador tipo Rana a gasolina</t>
  </si>
  <si>
    <t>Ácido Muriatico</t>
  </si>
  <si>
    <t>botella</t>
  </si>
  <si>
    <t>AD1291</t>
  </si>
  <si>
    <t>BOQUILLA BLANCA</t>
  </si>
  <si>
    <t>Boquilla Blanca (concolor 5-15)- Sumicol. (rend. 0,5 Kg./m², para juntas de 3mm)</t>
  </si>
  <si>
    <t>CARNAZA</t>
  </si>
  <si>
    <t>Carnaza (bolsa x Kg)</t>
  </si>
  <si>
    <t>CUAD 1OF+1AYU O.B.</t>
  </si>
  <si>
    <t>Cuadrilla 1Of Obra Blanca+ 1 Ay Entendido</t>
  </si>
  <si>
    <t>CORTADORA CERAMICA</t>
  </si>
  <si>
    <t>Cortadora de Cerámica TX-900 TM-50 TS-60</t>
  </si>
  <si>
    <t>BURIL CORTADORACERAM</t>
  </si>
  <si>
    <t xml:space="preserve">Buril para Cortadora de Cerámica </t>
  </si>
  <si>
    <t>POLIURETANO</t>
  </si>
  <si>
    <t>Sellador elastico de poliuretano de alta durabilidad o similar</t>
  </si>
  <si>
    <t>litro</t>
  </si>
  <si>
    <t>ACELERANTE</t>
  </si>
  <si>
    <t>Aditivo acelerante de fraguado tipo Sikaset® o similar L (1%) 3,78 L</t>
  </si>
  <si>
    <t>CERAMICA PARED</t>
  </si>
  <si>
    <t>Cerámica pared brillante o mate. COLOR Blanco-Beig-Gris (colores claros) - Corona o equivalente</t>
  </si>
  <si>
    <t>Boquilla Blanca (concolor 5-15)- Sumicol o similar. (rend. 0,5 Kg./m², para juntas de 3mm) o equivalentes</t>
  </si>
  <si>
    <t>Pega ceramica gris para pisos y paredes.</t>
  </si>
  <si>
    <t>FILETES</t>
  </si>
  <si>
    <t xml:space="preserve">Filetes en pega ceramica </t>
  </si>
  <si>
    <t>ESTOPA</t>
  </si>
  <si>
    <t>Estopa</t>
  </si>
  <si>
    <t>PILAR</t>
  </si>
  <si>
    <t>Pirlan en aluminio</t>
  </si>
  <si>
    <t>CUAD 1OF+1AYU INSTAL</t>
  </si>
  <si>
    <t>Cuadrilla 1Of + 1 Ay Instalación</t>
  </si>
  <si>
    <t>CERAMICARIO</t>
  </si>
  <si>
    <t>Auxiliar</t>
  </si>
  <si>
    <t>gln</t>
  </si>
  <si>
    <t>ESTUCO</t>
  </si>
  <si>
    <t>LIJA 400</t>
  </si>
  <si>
    <t>ANDA CARGA 1X1.5 CER</t>
  </si>
  <si>
    <t>Andamio de carga certificado marco de 1.00 x 1.50 (alto X ancho)</t>
  </si>
  <si>
    <t>PINTURA VINILO TIP1</t>
  </si>
  <si>
    <t>Pintura vinilo tipo 1 Viniltex o equivalente</t>
  </si>
  <si>
    <t>ESTUCOR</t>
  </si>
  <si>
    <t>Estucor (25 kg) - Sumicol o similar</t>
  </si>
  <si>
    <t>LIJA 200</t>
  </si>
  <si>
    <t>Lija 200</t>
  </si>
  <si>
    <t>ESMALTE BASE ACEITE</t>
  </si>
  <si>
    <t>Esmalte a Base de Aceite, Rendimiento 30m2/gl</t>
  </si>
  <si>
    <t>DISOLVE PINT BAS ACE</t>
  </si>
  <si>
    <t>Disolvente para Pinturas a Base de Aceite.</t>
  </si>
  <si>
    <t>PINTURA ACRILI KORAZ</t>
  </si>
  <si>
    <t>Pintura acrílica tipo Koraza o equivalente, Rendimiento 20m2/gl</t>
  </si>
  <si>
    <t>SELLADOR ANTI-ALCALI</t>
  </si>
  <si>
    <t>Sellomax tipo Pintuco o equivalente, rend 18m2/gal a 2 manos</t>
  </si>
  <si>
    <t>LIJA 150</t>
  </si>
  <si>
    <t>Lija de agua 150 super</t>
  </si>
  <si>
    <t>OFICIAL OBRA BLANCA</t>
  </si>
  <si>
    <t>Oficial Obra Blanca</t>
  </si>
  <si>
    <t>CEMENTO BLANCO</t>
  </si>
  <si>
    <t>Silicona antihongos. Presentacion 300cc Rendimiento de 8ml/en junta de 6mm x 6mm</t>
  </si>
  <si>
    <t>TAPON ROSCADO BRIDA</t>
  </si>
  <si>
    <t>Tapón rosca para brida de fijación</t>
  </si>
  <si>
    <t>BRIDAFIJAC</t>
  </si>
  <si>
    <t>Brida sanitaria de fijación 4", incluye empaque de caucho y tornillos de fijación</t>
  </si>
  <si>
    <t>SOLDAD + LIMPIAD PVC</t>
  </si>
  <si>
    <t>Soldadura PVC (1/4 gal) + Limpiador PVC (1/4 gal)</t>
  </si>
  <si>
    <t>ABASTO</t>
  </si>
  <si>
    <t>Abasto plástico</t>
  </si>
  <si>
    <t>Sanitario linea económica blanco. Consumo 6lt.</t>
  </si>
  <si>
    <t>juego</t>
  </si>
  <si>
    <t>INCRUSTACIONES BAÑO</t>
  </si>
  <si>
    <t>Incrustaciones x 3 und</t>
  </si>
  <si>
    <t>CEMENTO CERAMICO</t>
  </si>
  <si>
    <t>Cemento ceramico IPB (25kg). Topex Gris.</t>
  </si>
  <si>
    <t>TELEDUCHA</t>
  </si>
  <si>
    <t>Teleducha</t>
  </si>
  <si>
    <t>CINTA TEFLON</t>
  </si>
  <si>
    <t>Cinta Sellante Teflon ½"x10 m.</t>
  </si>
  <si>
    <t>DUCHA SENCILLA</t>
  </si>
  <si>
    <t>Ducha Piscis sencilla - Grival o equivalente</t>
  </si>
  <si>
    <t>0068</t>
  </si>
  <si>
    <t>Registro ducha</t>
  </si>
  <si>
    <t>SOPORTE DISCAPACITAD</t>
  </si>
  <si>
    <t xml:space="preserve">Barra de seguridad 40cm </t>
  </si>
  <si>
    <t>CHAZO</t>
  </si>
  <si>
    <t xml:space="preserve">Chazo expansivo </t>
  </si>
  <si>
    <t>SIFON P</t>
  </si>
  <si>
    <t xml:space="preserve">Sifón P </t>
  </si>
  <si>
    <t>LAVADERO</t>
  </si>
  <si>
    <t>Lavadero en ceramica 0.70*0.60 m</t>
  </si>
  <si>
    <t>CANASTILLA LAVARR.</t>
  </si>
  <si>
    <t>Canastilla lavarropas 2 pulgadas Acero Inoxidable</t>
  </si>
  <si>
    <t>CODO 45 PVC-S CXC 2"</t>
  </si>
  <si>
    <t>Codo 45º PVC-S CxC, Ø= 2".</t>
  </si>
  <si>
    <t>TUBERIA PVC-S 2"</t>
  </si>
  <si>
    <t>Tubería PVC-S Ø= 2"</t>
  </si>
  <si>
    <t>LLAVE BOCAMANGUERA</t>
  </si>
  <si>
    <t>Llave bocamanguera 1/2"</t>
  </si>
  <si>
    <t xml:space="preserve">Reinstalación de aparato sanitario, incluye el remplazo de los accesorios y todos los materiales necesarios para su correcta ejecución. </t>
  </si>
  <si>
    <t>Cemento blanco (saco 40 kilos) Argos o equivalente</t>
  </si>
  <si>
    <t>SILICONA</t>
  </si>
  <si>
    <t>LAVACUAPRO</t>
  </si>
  <si>
    <t>ABASTO METALICO</t>
  </si>
  <si>
    <t>Abasto metálico (llave de regulación liviana de 1/2"metálica con manguera metálica)</t>
  </si>
  <si>
    <t>TUBERIA PVC-S 3"</t>
  </si>
  <si>
    <t>Tubería PVC-S Ø= 3"</t>
  </si>
  <si>
    <t>UNION PVC-S 3"</t>
  </si>
  <si>
    <t>Unión PVC-S Ø= 3"</t>
  </si>
  <si>
    <t>CODO 45 PVC-S CXC 3"</t>
  </si>
  <si>
    <t>Codo 45º PVC-S CxC, Ø= 3".</t>
  </si>
  <si>
    <t>CODO 90 PVC-S CXC 3"</t>
  </si>
  <si>
    <t>Codo 90º PVC-S CxC, Ø= 3".</t>
  </si>
  <si>
    <t>YEE PVC-S 3"</t>
  </si>
  <si>
    <t>Yee PVC-S Ø= 3" - Pavco o equivalente.</t>
  </si>
  <si>
    <t>YEE PVC-S 3X2"</t>
  </si>
  <si>
    <t>Yee PVC-S Reducida Ø= 3X2" pavco o equivalente</t>
  </si>
  <si>
    <t>TEE PVC-S 3"</t>
  </si>
  <si>
    <t>Tee PVC-S Ø= 3"</t>
  </si>
  <si>
    <t>TEE PVC-S RED 3X2</t>
  </si>
  <si>
    <t>Tee PVC-S Ø= 3"x2"</t>
  </si>
  <si>
    <t>BUJE PVC-S 3X2"</t>
  </si>
  <si>
    <t>Buje soldado PVC-S de 3" a 2"</t>
  </si>
  <si>
    <t>WASH PRIMER COMP B</t>
  </si>
  <si>
    <t>Pintura acondicionador de superficies Tipo Wash Primer, componente B. Presentación por 1/4 galón</t>
  </si>
  <si>
    <t>LIMPIADOR PVC</t>
  </si>
  <si>
    <t>Limpiador Removedor PVC x 1/4 de galón.</t>
  </si>
  <si>
    <t>SOLDADURA PVC 1/4</t>
  </si>
  <si>
    <t>Soldadura PVC (Unión simple) 1/4</t>
  </si>
  <si>
    <t>CUAD FONTANERIA</t>
  </si>
  <si>
    <t>Cuadrilla de Instalaciones Hidrosanitarias</t>
  </si>
  <si>
    <t>PINTURA ANTICORROSIV</t>
  </si>
  <si>
    <t>TORNILLO ENSAMBLE</t>
  </si>
  <si>
    <t>Tornillo de ensamble para Madera de 6x2".</t>
  </si>
  <si>
    <t>Grifería lavaplatos, incluye accesorios sifón y canastilla</t>
  </si>
  <si>
    <t>Cubierta en acero inoxidable, cuatro quemadores a gas.</t>
  </si>
  <si>
    <t>BISAGRA ALA GALV</t>
  </si>
  <si>
    <t>Bisagra de ala galvanizada, trabajo pesado de 6"</t>
  </si>
  <si>
    <t>MAT1267</t>
  </si>
  <si>
    <t xml:space="preserve">Puerta 0.70x2.10 mts. Lamina Cold Rolled cal 20 </t>
  </si>
  <si>
    <t>OFICIAL PINTURA</t>
  </si>
  <si>
    <t>Oficial Pintura</t>
  </si>
  <si>
    <t>PUERTA 72</t>
  </si>
  <si>
    <t>Puerta 0.70x2.10 mts. Lamina Cold Rolled cal 20</t>
  </si>
  <si>
    <t>PUERTA80</t>
  </si>
  <si>
    <t>Puerta 0.80x2.10 m. Lamina Cold Rolled cal 20, incluye chapa</t>
  </si>
  <si>
    <t>PALUMI</t>
  </si>
  <si>
    <t>Puerta en aluminio de 0.70 a 0.90 m. Incluye marco en aluminio, ala acrilica blanco 2,8 mmm, perfil T77 y cerradura</t>
  </si>
  <si>
    <t>CHAZO PARA DRYWALL</t>
  </si>
  <si>
    <t>Chazo plástico para drywall</t>
  </si>
  <si>
    <t>PUERTA MADERA</t>
  </si>
  <si>
    <t>Puerta en madera de 0.70 x 2.10 m a 0.90 x 2.10 m, incluye, marco en madera, ala en triplex, cerradura de pomo</t>
  </si>
  <si>
    <t>VENTANA</t>
  </si>
  <si>
    <t>Mueble inferior</t>
  </si>
  <si>
    <t>ml</t>
  </si>
  <si>
    <t>Mueble Superior</t>
  </si>
  <si>
    <t>TUBER PVC-P RDE9 ½</t>
  </si>
  <si>
    <t>Tubería PVC-P RDE 9 500 PSI, Ø= 1/2" - Pavco o equivalente.</t>
  </si>
  <si>
    <t>CODO 90 PVC-P 1/2"</t>
  </si>
  <si>
    <t>Codo 90º PVC-P Ø= 1/2".</t>
  </si>
  <si>
    <t>TEE PVC-P 1/2"</t>
  </si>
  <si>
    <t>Tee PVC-P Ø= 1/2"</t>
  </si>
  <si>
    <t>UNION PVC-P  1/2"</t>
  </si>
  <si>
    <t>Unión PVC-P, Ø= 1/2"</t>
  </si>
  <si>
    <t>TAPON PVC-P ROSC1/2</t>
  </si>
  <si>
    <t>Tapón PVC-P ROSCADO Ø= 1/2"</t>
  </si>
  <si>
    <t>ADA MACHO PVCP 1/2"</t>
  </si>
  <si>
    <t>Adaptador macho PVC-P Ø= 1/2"</t>
  </si>
  <si>
    <t>ADAPT.HEMBRA PVCP ½</t>
  </si>
  <si>
    <t>Adaptador hembra PVC-P Ø= 1/2" - Pavco o equivalente.</t>
  </si>
  <si>
    <t>BOMBA HIDROSTATICA</t>
  </si>
  <si>
    <t>Bomba hidrostática para presurización de redes de abasto o acueducto.</t>
  </si>
  <si>
    <t>CODO 90 PVC-S CXC 2"</t>
  </si>
  <si>
    <t>Codo 90º PVC-S CxC, Ø= 2".</t>
  </si>
  <si>
    <t>TAPON PRUEPVC-S 2"</t>
  </si>
  <si>
    <t>Tapón prueba PVC-S Ø= 2"</t>
  </si>
  <si>
    <t>BUJE PVC-S 2X1½"</t>
  </si>
  <si>
    <t xml:space="preserve">Buje soldado PVC-S de 2 X 1 1/2" </t>
  </si>
  <si>
    <t>TEE PVC-S RED 2X1½</t>
  </si>
  <si>
    <t>Tee PVC-S Ø= 2"x1 1/2"</t>
  </si>
  <si>
    <t>CODO 90 PVC-S CXE 3"</t>
  </si>
  <si>
    <t>Codo 90º PVC-S CxE, Ø= 3".</t>
  </si>
  <si>
    <t>TAPON PRUEPVC-S 3"</t>
  </si>
  <si>
    <t>Tapón prueba PVC-S Ø= 3"</t>
  </si>
  <si>
    <t>TUBERIA PVC-S 4"</t>
  </si>
  <si>
    <t>Tubería PVC-S Ø= 4"</t>
  </si>
  <si>
    <t>CODO 90 PVC-S CXC 4"</t>
  </si>
  <si>
    <t>Codo 90º PVC-S CxC, Ø= 4".</t>
  </si>
  <si>
    <t>CODO 45 PVC-S CXC 4"</t>
  </si>
  <si>
    <t>Codo 45º PVC-S CxC, Ø= 4".</t>
  </si>
  <si>
    <t>TAPON PRUEPVC-S 4"</t>
  </si>
  <si>
    <t>Tapón prueba PVC-S Ø= 4"</t>
  </si>
  <si>
    <t>BUJE PVC-S 4X3"</t>
  </si>
  <si>
    <t xml:space="preserve">Buje soldado PVC-S de 4" a 3" </t>
  </si>
  <si>
    <t>TEE PVC-S RED 4X3</t>
  </si>
  <si>
    <t>Tee PVC-S Ø= 4"x3"</t>
  </si>
  <si>
    <t>UNION PVC-S 2"</t>
  </si>
  <si>
    <t xml:space="preserve">Unión PVC-S Ø= 2" </t>
  </si>
  <si>
    <t>YEE PVC-S 2"</t>
  </si>
  <si>
    <t>Yee PVC-S Ø= 2" - Pavco o equivalente.</t>
  </si>
  <si>
    <t>TEE PVC-S 2"</t>
  </si>
  <si>
    <t>Tee PVC-S Ø= 2"</t>
  </si>
  <si>
    <t>UNION PVC-S 4"</t>
  </si>
  <si>
    <t>Unión PVC-S Ø= 4"</t>
  </si>
  <si>
    <t>YEE PVC-S 4"</t>
  </si>
  <si>
    <t>Yee PVC-S Ø= 4" - Pavco o equivalente.</t>
  </si>
  <si>
    <t>YEE PVC-S 4X3"</t>
  </si>
  <si>
    <t>Yee PVC-S Reducida Ø= 4X3" pavco o equivalente</t>
  </si>
  <si>
    <t>YEE PVC-S 4X2"</t>
  </si>
  <si>
    <t>Yee PVC-S Reducida Ø= 4X2" pavco o equivalente</t>
  </si>
  <si>
    <t>TEE PVC-S 4"</t>
  </si>
  <si>
    <t>Tee PVC-S Ø= 4"</t>
  </si>
  <si>
    <t>TEE PVC-S RED 4X2</t>
  </si>
  <si>
    <t>Tee PVC-S Ø= 4"x2"</t>
  </si>
  <si>
    <t>BUJE PVC-S 4X2"</t>
  </si>
  <si>
    <t>Buje soldado PVC-S de 4" a 2"</t>
  </si>
  <si>
    <t>REJILLA COMB 3X2 A/B</t>
  </si>
  <si>
    <t>Rejilla combinada Aluminio/bronce de 3x2"</t>
  </si>
  <si>
    <t>OFICIAL OBRA NEGRA</t>
  </si>
  <si>
    <t>Oficial Obra Negra</t>
  </si>
  <si>
    <t>REJILLA COMB 4X3 A/B</t>
  </si>
  <si>
    <t>Rejilla combinada Aluminio/bronce de 4x3"</t>
  </si>
  <si>
    <t>TAPON REGISTRO 4</t>
  </si>
  <si>
    <t xml:space="preserve">Tapón PVC registro 4" </t>
  </si>
  <si>
    <t>TEEDOBLES3</t>
  </si>
  <si>
    <t>Tee doble PVC-S, ?3"</t>
  </si>
  <si>
    <t>ROSETON</t>
  </si>
  <si>
    <t>Rosetones</t>
  </si>
  <si>
    <t>SS1085</t>
  </si>
  <si>
    <t>Kit séptico pe - trampa de grasa 250 lt, tanque 500 lt, fafa 500 lt</t>
  </si>
  <si>
    <t>CTCAJA50</t>
  </si>
  <si>
    <t>Caja de inspección 0.50mx0.50m, hprom=0.60m</t>
  </si>
  <si>
    <t>BACTERIASPS</t>
  </si>
  <si>
    <t>Bacterias para pozo séptico (Vol= 1 galón)</t>
  </si>
  <si>
    <t>global</t>
  </si>
  <si>
    <t>TRITURADO</t>
  </si>
  <si>
    <t>Triturado 1-2"</t>
  </si>
  <si>
    <t>SOLDADURA CPVC 1/4</t>
  </si>
  <si>
    <t>Soldadura CPVC (Unión simple) 1/4</t>
  </si>
  <si>
    <t>TUBERIA IMC 1/2"</t>
  </si>
  <si>
    <t>Tubería conduit galvanizado IMC de 1/2"</t>
  </si>
  <si>
    <t>CURVA PVC 1/2"</t>
  </si>
  <si>
    <t>Curva pvc 1/2". (eléctrico)</t>
  </si>
  <si>
    <t>CAJA4X4CONTAPALISA</t>
  </si>
  <si>
    <t>Caja  4"x4" metalica con tapa lisa.</t>
  </si>
  <si>
    <t>CINTA AISLANTE</t>
  </si>
  <si>
    <t>Cinta  3M  1700 negra. 18mm x 10m</t>
  </si>
  <si>
    <t>PLAFON LOZA</t>
  </si>
  <si>
    <t>Plafon losa</t>
  </si>
  <si>
    <t>SWITCH DOBLE</t>
  </si>
  <si>
    <t>Switch bipolar de alumbrado</t>
  </si>
  <si>
    <t>TOMA DOBLE REF 5320</t>
  </si>
  <si>
    <t>Toma doble + Polo a tierra</t>
  </si>
  <si>
    <t>CAJA CIRCUITOS</t>
  </si>
  <si>
    <t>Caja breaker 6 circuitos</t>
  </si>
  <si>
    <t>EL1010</t>
  </si>
  <si>
    <t>alambre rigido n 12mtro lineal</t>
  </si>
  <si>
    <t>EL1030</t>
  </si>
  <si>
    <t>Breaker de 1x20A enchufable</t>
  </si>
  <si>
    <t>CUAD ELECTRICA</t>
  </si>
  <si>
    <t>Cuadrilla Eléctrica 1: 1OfElec + 1Ayraso</t>
  </si>
  <si>
    <t>TRANSPORTE ELECTRICO</t>
  </si>
  <si>
    <t>Transporte material eléctrico</t>
  </si>
  <si>
    <t>GFCI</t>
  </si>
  <si>
    <t>Tomacorriente  GFCI</t>
  </si>
  <si>
    <t>COMPACT CAN+COM+T</t>
  </si>
  <si>
    <t>Compactador tipo Canguro. Incluye combustible y transporte.</t>
  </si>
  <si>
    <t>CONCRE OBRA 10.5MPA</t>
  </si>
  <si>
    <t>Concreto de 10.5 Mpa preparado en obra</t>
  </si>
  <si>
    <t>JABÓN</t>
  </si>
  <si>
    <t>Botella</t>
  </si>
  <si>
    <t>Lt</t>
  </si>
  <si>
    <t>Ton</t>
  </si>
  <si>
    <t>MALLA ELECTROSOL D118</t>
  </si>
  <si>
    <t>SIKA 1 o Similar</t>
  </si>
  <si>
    <t>Cemento blanco (saco 40 kilos) Argos o Similar</t>
  </si>
  <si>
    <t xml:space="preserve">SANITARIO </t>
  </si>
  <si>
    <t>PEGACERAMICA</t>
  </si>
  <si>
    <t>CERAMICA PISO</t>
  </si>
  <si>
    <t>Cerámica de piso brillante o mate. COLOR Blanco-Beige-Gris (colores claros) - Corona o equivalente</t>
  </si>
  <si>
    <t>Cerámica de piso brillante o mate. COLOR Blanco-Beige (colores claros) - Corona o equivalente</t>
  </si>
  <si>
    <t xml:space="preserve"> Estuco plástico listo para usar en interiores y exteriores. Presentación: 5gl, Rendimiento:2kg/m2 ó 4 m2/galon.</t>
  </si>
  <si>
    <t>Lija  400</t>
  </si>
  <si>
    <t>Estucor (25 kg) - Sumicol o Similar</t>
  </si>
  <si>
    <t>COMBO SANITARIO</t>
  </si>
  <si>
    <t>Pintura anticorrosivo gris. Pintuco o similar</t>
  </si>
  <si>
    <t>CERAMDUROPISOBLANCO</t>
  </si>
  <si>
    <t>Cerámica piso Duropiso de 33.8x33.8 cm. COLOR Blanco-Beige-Negro - Corona o equivalente</t>
  </si>
  <si>
    <t>PEGACOR BLANCO</t>
  </si>
  <si>
    <t>Pegacor Blanco para pisos y paredes en cerámica.</t>
  </si>
  <si>
    <t>12.3</t>
  </si>
  <si>
    <t>Caja  4"x4" con tapa lisa.</t>
  </si>
  <si>
    <t>TOMA DOBLE</t>
  </si>
  <si>
    <t>12.4</t>
  </si>
  <si>
    <t xml:space="preserve">Tablero eléctrico </t>
  </si>
  <si>
    <t>Tablero eléctrico de distribución de 8 circuitos</t>
  </si>
  <si>
    <t>Tornillo de ensamble</t>
  </si>
  <si>
    <t>Interruptor automático (breaker) enchufable 1x20 A, Icc&gt;10 kA.</t>
  </si>
  <si>
    <t>Interruptor automático (breaker) enchufable 2x20 A, Icc&gt;10 kA.</t>
  </si>
  <si>
    <t xml:space="preserve">Accesorios y empotrada </t>
  </si>
  <si>
    <t>Accesorios y empotrada en muro</t>
  </si>
  <si>
    <t>gl</t>
  </si>
  <si>
    <t>Cemento ceramico IPB (25kg). Topex Gris o similar.</t>
  </si>
  <si>
    <t>10.13</t>
  </si>
  <si>
    <t>Und</t>
  </si>
  <si>
    <t>Mesón prefabricado en acero inoxidable 1.5 x 0.52 m, incluye pozuelo</t>
  </si>
  <si>
    <t>Mesón prefabricado en acero inoxidable 1.8 x 0.52 m, incluye pozuelo</t>
  </si>
  <si>
    <t>Mesón prefabricado en acero inoxidable 2.1  x 0.52 m, incluye pozuelo</t>
  </si>
  <si>
    <t>Mesón prefabricado en acero inoxidable 2.1 x 0.52 m, incluye pozuelo</t>
  </si>
  <si>
    <t>und</t>
  </si>
  <si>
    <t>mueble inferior para cocina en lamina Tablero MDPKOR  de 15mm</t>
  </si>
  <si>
    <t>TORNILLO DE ENSAMBLE DE 2"</t>
  </si>
  <si>
    <t>CHAZO PLASTICO</t>
  </si>
  <si>
    <t>mesón prefabricado en acero inoxidable 1.5 x 0.52 m, incluye pozuelo y cubierta en acero inoxidable, cuatro quemadores a gas.</t>
  </si>
  <si>
    <t>mesón prefabricado en acero inoxidable 1.8 x 0.52 m, incluye pozuelo y cubierta en acero inoxidable, cuatro quemadores a gas.</t>
  </si>
  <si>
    <t>mueble inferior para cocina en lamina Tablero aglomerado de 15mm</t>
  </si>
  <si>
    <t>mesón prefabricado en acero inoxidable 2,1 x 0.52 m, incluye pozuelo y cubierta en acero inoxidable, cuatro quemadores a gas.</t>
  </si>
  <si>
    <t>mueble Superior para cocina en lamina Tablero MDPKOR  de 15mm</t>
  </si>
  <si>
    <t>mueble inferior en Rh</t>
  </si>
  <si>
    <t>Reinstalación de puertas y/o ventanas. Incluye canchas, resane y  todo lo necesario para su correcta instalación y funcionamiento.</t>
  </si>
  <si>
    <t>Adherente para junta en frío (concreto existente con mortero)</t>
  </si>
  <si>
    <t>Adherente junta en frío (concreto existente con mortero)</t>
  </si>
  <si>
    <t>APARATOS SANITARIOS</t>
  </si>
  <si>
    <t>Lavamanos</t>
  </si>
  <si>
    <t>CARPINTERIA METALICA Y EN MADERA</t>
  </si>
  <si>
    <t>Suministro e instalación de  PUERTA METÁLICA PARA BAÑO con marco, chapa y ala, ancho de 60 cm. Incluye los materiales, accesorios y elementos necesarios para su correcta instalación y funcionamiento, incluye pintura y anticorrosivo.</t>
  </si>
  <si>
    <t>Suministro e instalación de  PUERTA METÁLICA PARA BAÑO con marco, chapa y ala, ancho de 70 cm. Incluye los materiales, accesorios y elementos necesarios para su correcta instalación y funcionamiento, incluye pintura y anticorrosivo.</t>
  </si>
  <si>
    <t>Suministro e instalación de  PUERTA METÁLICA PARA BAÑO con marco, chapa y ala, ancho de 80 cm. Incluye los materiales, accesorios y elementos necesarios para su correcta instalación y funcionamiento, incluye pintura y anticorrosivo.</t>
  </si>
  <si>
    <t>RETIROS Y DEMOLICIONES</t>
  </si>
  <si>
    <t>PREPARACIÓN DE SUPERFICIE DE MURO.  Incluye el retiro de pintura, cal y/o superficies contaminadas garantizando adherencia, durabilidad y uniformidad superficial.</t>
  </si>
  <si>
    <t>EXCAVACIÓN Y RETIRO</t>
  </si>
  <si>
    <t>LLENOS</t>
  </si>
  <si>
    <t>ACERO DE REFUERZO / MALLAS</t>
  </si>
  <si>
    <t>MAMPOSTERIA / REVOQUES</t>
  </si>
  <si>
    <t>Colocación de REVOQUE con mortero 1:4 IMPERMEABILIZADO con Sika 1 o equivalente, EN MUROS DE BAÑOS. Incluye suministro y transporte de los materiales, ranuras, filetes, y todos los demás elementos necesarios para su correcta construcción.</t>
  </si>
  <si>
    <t>Colocación de REVOQUE con mortero 1:4 EN MUROS INTERNOS. Incluye suministro y transporte de los materiales, ranuras, filetes y todos los demás elementos necesarios para su correcta construcción.</t>
  </si>
  <si>
    <t>Colocación de PISO CERÁMICO PARA PISOS TRAFICO RESIDENCIAL GENERAL, tipo Belaya beige o similar.  Incluye suministro y transporte de los materiales, pegante para cerámica tipo Pegacor o equivalente, lechada con Boquilla Blanca para cerámica, remates, cortes con máquina y todo lo necesario para su correcta instalación. .</t>
  </si>
  <si>
    <t>Colocación de ZÓCALO EN PISO CERÁMICO PARA PISOS TRAFICO RESIDENCIAL GENERAL, tipo Belaya beige o similiar DE 0.10 cms,  Incluye suministro y transporte de los materiales, cortes con máquina, pegacor para pega de la cerámica, lechada con boquilla de Sumicol o equivalente, varilla de dilatación y todo lo necesario para su correcta instalación y funcionamiento.</t>
  </si>
  <si>
    <t>ENCHAPES / PINTURAS</t>
  </si>
  <si>
    <t>Aplicación de ESMALTE A BASE DE ACEITE, sobre elementos metálicos, dos manos o las necesarias hasta obtener una superficie pareja y homogénea. Incluye suministro y transporte de los materiales, disolvente para pinturas a base de aceite, anticorrosivo, adecuación de la superficie a intervenir hasta obtener una superficie pareja y homogénea, color a definir según aprobación de la interventoría.</t>
  </si>
  <si>
    <t>ACOMODAMIENTO Y NIVELACIÓN DE PIEDRA DE ENTRESUELO, espesor de 0.15 m, entresuelo en piedra (e=0,10 m.), arenilla compactada (e=0,05 m.) Incluye suministro y transporte de materiales, compactación mecánica, polietileno de baja densidad y todo lo necesario para su correcta colocación. La piedra seleccionada debe ser aprobada por la interventoría.</t>
  </si>
  <si>
    <t xml:space="preserve">Construcción de PISO O PLACA en concreto de 21 Mpa, espesor de 0,08 m. sobre el terreno y/o entresuelo. Incluye  nivelación del terreno y adecuación de la superficie, mano de obra y todos los demás elementos necesarios para su correcta construcción. No incluye entresuelo. </t>
  </si>
  <si>
    <t>Construcción de PISO EN MORTERO 1:5 de NIVELACIÓN, espesor de 0.05m. Incluye suministro y transporte de los materiales y todo lo necesario para su correcta construcción y funcionamiento.</t>
  </si>
  <si>
    <t>Suministro, transporte y colocación de lavamanos de colgar tipo Acuacer o equivalente. Incluye Grifería galaxia, abasto metálico, sifón botella y todos los demás elementos necesarios para su correcta instalación y funcionamiento.</t>
  </si>
  <si>
    <t>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t>
  </si>
  <si>
    <t>10.14</t>
  </si>
  <si>
    <t>10.15</t>
  </si>
  <si>
    <t>10.16</t>
  </si>
  <si>
    <t>10.17</t>
  </si>
  <si>
    <t>10.18</t>
  </si>
  <si>
    <t>10.19</t>
  </si>
  <si>
    <t>10.20</t>
  </si>
  <si>
    <t>10.21</t>
  </si>
  <si>
    <t>10.22</t>
  </si>
  <si>
    <t>10.23</t>
  </si>
  <si>
    <t>10.24</t>
  </si>
  <si>
    <t>10.25</t>
  </si>
  <si>
    <t>10.26</t>
  </si>
  <si>
    <t>Suministro, transporte e instalación de mueble modular vertical de cocina, en lámina RH (0,30m de fondo), tornillo de ensamble para madera de 6x2", chazo plástico para drywall. incluye puertas, divisorios, entrepaños y accesorios  y todos los materiales necesarios para su correcta ejecución.</t>
  </si>
  <si>
    <t>Mueble modular vertical para cocina en lamina Rh</t>
  </si>
  <si>
    <t>Ladrillo 10x20x40</t>
  </si>
  <si>
    <t>5.7</t>
  </si>
  <si>
    <t>Instalación de ENCHAPE CERÁMICO PARED y de cualquier otro requerimiento del proyecto.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</si>
  <si>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Suministro e instalación de COMBO SANITARIO tipo Acuacer o similar.  Incluye los accesorios para baño, jabonera, papelera, toallera y todos los demás elementos necesarios para su correcta construcción y funcionamiento.</t>
  </si>
  <si>
    <t xml:space="preserve">Construcción de MAMPOSTERIA EN LADRILLO CALADO de 0,10 m x 0,20 m x 0,20 m,  Incluye el suministro, el mortero de pega 1:4 espesor max=0.01 m, revitado liso y todos los materiales necesarios para su correcta ejecución. </t>
  </si>
  <si>
    <t>Suministro e instalación de mueble Inferior de 1.5 m en lamina RH con entrepaños,  mínimo una línea con tres cajones y el restante con entrepaño 0,45m de fondo, riel de extención de 40 cm, manijas en aluminio, patas niveladoras. Incluye  Pozuelo, cubierta en acero inox. cuatro quemadores a gas, grifería y todos los materiales necesarios para su correcta ejecución</t>
  </si>
  <si>
    <t>Suministro e instalación de mueble Inferior de  2.10m en lamina RH con entrepaños,  mínimo una línea con tres cajones y el restante con entrepaño 0,45m de fondo, riel de extención de 40 cm, manijas en aluminio, patas niveladoras. Incluye  Pozuelo, cubierta en acero inox. cuatro quemadores a gas, grifería y todos los materiales necesarios para su correcta ejecución.</t>
  </si>
  <si>
    <t>Suministro e instalación de mueble Inferior de 1.8m en lamina RH con entrepaños,  mínimo una línea con tres cajones y el restante con entrepaño 0,45m de fondo, riel de extención de 40 cm, manijas en aluminio, patas niveladoras. Incluye  Pozuelo, cubierta en acero inox. cuatro quemadores a gas, grifería y todos los materiales necesarios para su correcta ejecución.</t>
  </si>
  <si>
    <t>Suministro e instalación de mueble Inferior de 1.5m en lamina RH con entrepaños,  mínimo una línea con tres cajones y el restante con entrepaño 0,45m de fondo, riel de extención de 40 cm, manijas en aluminio, patas niveladoras. Incluye Mesón Poceta Izquierda o derecha en Acero Inoxidable Con 4 Fogones A Gas (griferia) y mueble superior para cocina en lámina RH. Todo lo necesario para su correcta instalación.</t>
  </si>
  <si>
    <t>Suministro e instalación de mueble Inferior de 1.8m en lámina RH con entrepaños,  mínimo una línea con tres cajones y el restante con entrepaño 0,45m de fondo, riel de extención de 40 cm, manijas en aluminio, patas niveladoras.Incluye Mesón Poceta Izquierda o derecha en Acero Inoxidable Con 4 Fogones A Gas (griferia) y mueble superior para cocina en lámina RH. Todo lo necesario para su correcta instalación.</t>
  </si>
  <si>
    <t>Suministro e instalación de mueble Inferior de  2.10m en lámina RH con entrepaños,  mínimo una línea con tres cajones y el restante con entrepaño 0,45m de fondo, riel de extención de 40 cm, manijas en aluminio, patas niveladoras.Incluye Mesón Poceta Izquierda o derecha en Acero Inoxidable Con 4 Fogones A Gas (griferia) y mueble superior para cocina en lámina RH. Todo lo necesario para su correcta instalación.</t>
  </si>
  <si>
    <t>7.10</t>
  </si>
  <si>
    <t xml:space="preserve">Suministro e instalación de salpicadero cerámico para pared en cocina y lavadero de 0,60m de altura. incluye todos los materiales necesarios para su correcta ejecución. </t>
  </si>
  <si>
    <t>CERAMICA 50 CM-60CM</t>
  </si>
  <si>
    <t>M2</t>
  </si>
  <si>
    <t>KG</t>
  </si>
  <si>
    <t>Acabado revoque + pintura</t>
  </si>
  <si>
    <t>SMLV YA SE HABIA INCREMENTADO EL 10% TOTAL INCREM 23%</t>
  </si>
  <si>
    <t>Suministro e instalación de mesón prefabricado en acero inoxidable 1.5 x 0.52 m socoda o similar, incluye machón de soporte acabados con revoque y pintura, pozuelo, grifería y todos los materiales necesarios para su correcta ejecución.</t>
  </si>
  <si>
    <t>Suministro e instalación de mesón prefabricado en acero inoxidable 1.5 x 0.52 m socoda o similar,  incluye machón de soporte acabados con revoque y pintura,  pozuelo, cubierta en acero inox. cuatro quemadores a gas, grifería y todos los materiales necesarios para su correcta ejecución</t>
  </si>
  <si>
    <t>Suministro e instalación de Lavadero en cerámica 0.70*0.60 m, incluye machones de soporte acabados con pintura, grifería, llave bocamanguera y todos los materiales necesarios para su correcta ejecución</t>
  </si>
  <si>
    <t>Construcción de SALIDA INSTALACIONES ELÉCTRICAS, incluye la instalación de materiales, accesorios y elementos necesarios para puntos, salidas, cableado, tubería Conduit o canaleta, aparatos eléctricos, cajas, plafones, accesorios y los materiales necesarios para la ejecución de la actividad.  Incluye además las perforaciones (canchas) de paredes o pisos que lo requieran con su respectivo resane, acabado.</t>
  </si>
  <si>
    <t>Construcción de SALIDA INSTALACIONES ELÉCTRICAS TOMACORRIENTE GFCI, incluye la instalación de materiales, accesorios y elementos necesarios para puntos, salidas, cableado, tubería Conduit o canaleta, aparatos eléctricos, cajas, accesorios y los materiales necesarios para la ejecución de la actividad.  Incluye además las perforaciones (canchas) de paredes o pisos que lo requieran con su respectivo resane, acabado.</t>
  </si>
  <si>
    <t>Construcción de SALIDA INSTALACIONES ELÉCTRICAS TABLERO DE DISTRIBUCIÓN DE 8 CIRCUITOS, incluye la instalación de materiales, accesorios y elementos necesarios para puntos, Caja, breaker, accesorios y los materiales necesarios para la ejecución de la actividad.  Incluye además las perforaciones (canchas) de paredes o pisos que lo requieran con su respectivo resane, acabado.</t>
  </si>
  <si>
    <t>Suministro e instalación de mesón prefabricado en acero inoxidable 1.8 x 0.52 m socoda o similar,  incluye tres machones de soporte acabados con revoque y pintura, pozuelo, grifería y todos los materiales necesarios para su correcta ejecución.</t>
  </si>
  <si>
    <t>Suministro e instalación de mesón prefabricado en acero inoxidable 1.8 x 0.52 m socoda o similar,  incluye tres machones de soporte acabados con revoque y pintura, pozuelo, cubierta en acero inox. cuatro quemadores a gas, grifería y todos los materiales necesarios para su correcta ejecución.</t>
  </si>
  <si>
    <t>Suministro e instalación de mesón prefabricado en acero inoxidable 2.1 x 0.52 m socoda o similar,  incluye tres machones de soporte acabados con revoque y pintura, pozuelo, grifería y todos los materiales necesarios para su correcta ejecución.</t>
  </si>
  <si>
    <t>Suministro e instalación de mesón prefabricado en acero inoxidable 2.1 x 0.52 m socoda o similar,  incluye tres machones de soporte acabados con revoque y pintura, pozuelo, cubierta en acero inox. cuatro quemadores a gas, grifería y todos los materiales necesarios para su correcta ejecución.</t>
  </si>
  <si>
    <t>Suministro e instalación de mueble Inferior para cocina, en lamina RH; entre muros (Incluye 2 puertas, 3 cajones, divisorios, entrepaños y todos los elementros para el corrrecto funcionamiento)</t>
  </si>
  <si>
    <t>LISTADO DE PRECIOS UNITARIOS</t>
  </si>
  <si>
    <t>LISTADO DE PRECIOS UNITARIOS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</si>
</sst>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44" formatCode="_-&quot;$&quot;\ * #,##0.00_-;\-&quot;$&quot;\ * #,##0.00_-;_-&quot;$&quot;\ * &quot;-&quot;??_-;_-@_-"/>
    <numFmt numFmtId="43" formatCode="_-* #,##0.00_-;\-* #,##0.00_-;_-* &quot;-&quot;??_-;_-@_-"/>
    <numFmt numFmtId="164" formatCode="###,###,##0.00000"/>
    <numFmt numFmtId="165" formatCode="_([$$-240A]\ * #,##0_);_([$$-240A]\ * \(#,##0\);_([$$-240A]\ * &quot;-&quot;_);_(@_)"/>
    <numFmt numFmtId="166" formatCode="_-&quot;$&quot;\ * #,##0_-;\-&quot;$&quot;\ * #,##0_-;_-&quot;$&quot;\ * &quot;-&quot;??_-;_-@_-"/>
    <numFmt numFmtId="167" formatCode="_(* ##0.00&quot;%&quot;_)"/>
    <numFmt numFmtId="168" formatCode="_-&quot;$&quot;* #,##0.00_-;\-&quot;$&quot;* #,##0.00_-;_-&quot;$&quot;* &quot;-&quot;??_-;_-@_-"/>
    <numFmt numFmtId="169" formatCode="###,###,##0"/>
    <numFmt numFmtId="170" formatCode="###,###,##0.00"/>
    <numFmt numFmtId="171" formatCode="###,###,##0.0"/>
    <numFmt numFmtId="172" formatCode="_-&quot;$&quot;* #,##0_-;\-&quot;$&quot;* #,##0_-;_-&quot;$&quot;* &quot;-&quot;_-;_-@_-"/>
  </numFmts>
  <fonts count="29" x14ac:knownFonts="1">
    <font>
      <sz val="10"/>
      <name val="Arial"/>
    </font>
    <font>
      <sz val="11"/>
      <color theme="1"/>
      <name val="Aptos Narrow"/>
      <family val="2"/>
      <scheme val="minor"/>
    </font>
    <font>
      <sz val="11"/>
      <color theme="1"/>
      <name val="Aptos Narrow"/>
      <family val="2"/>
      <scheme val="minor"/>
    </font>
    <font>
      <sz val="10"/>
      <name val="Arial"/>
      <family val="2"/>
    </font>
    <font>
      <sz val="10"/>
      <name val="Aptos Narrow"/>
      <family val="2"/>
      <scheme val="minor"/>
    </font>
    <font>
      <b/>
      <sz val="10"/>
      <color theme="0"/>
      <name val="Aptos Narrow"/>
      <family val="2"/>
      <scheme val="minor"/>
    </font>
    <font>
      <b/>
      <sz val="10"/>
      <name val="Aptos Narrow"/>
      <family val="2"/>
      <scheme val="minor"/>
    </font>
    <font>
      <sz val="10"/>
      <color theme="1"/>
      <name val="Aptos Narrow"/>
      <family val="2"/>
      <scheme val="minor"/>
    </font>
    <font>
      <b/>
      <sz val="12"/>
      <color theme="2"/>
      <name val="Aptos Narrow"/>
      <family val="2"/>
      <scheme val="minor"/>
    </font>
    <font>
      <b/>
      <i/>
      <sz val="10"/>
      <name val="Aptos Narrow"/>
      <family val="2"/>
      <scheme val="minor"/>
    </font>
    <font>
      <b/>
      <sz val="11"/>
      <color indexed="9"/>
      <name val="Aptos Narrow"/>
      <family val="2"/>
      <scheme val="minor"/>
    </font>
    <font>
      <b/>
      <sz val="10"/>
      <color indexed="9"/>
      <name val="Aptos Narrow"/>
      <family val="2"/>
      <scheme val="minor"/>
    </font>
    <font>
      <sz val="8"/>
      <name val="Arial"/>
      <family val="2"/>
    </font>
    <font>
      <sz val="10"/>
      <name val="Arial"/>
      <family val="2"/>
    </font>
    <font>
      <b/>
      <sz val="11"/>
      <name val="Arial"/>
      <family val="2"/>
    </font>
    <font>
      <b/>
      <sz val="11"/>
      <name val="Arial"/>
      <family val="2"/>
    </font>
    <font>
      <b/>
      <sz val="10"/>
      <color theme="2"/>
      <name val="Aptos Narrow"/>
      <family val="2"/>
      <scheme val="minor"/>
    </font>
    <font>
      <sz val="10"/>
      <name val="Arial"/>
      <family val="2"/>
    </font>
    <font>
      <sz val="11"/>
      <color theme="1"/>
      <name val="Aptos Narrow"/>
      <family val="2"/>
      <scheme val="minor"/>
    </font>
    <font>
      <sz val="10"/>
      <name val="MS Sans Serif"/>
      <family val="2"/>
    </font>
    <font>
      <sz val="12"/>
      <color theme="1"/>
      <name val="Aptos Narrow"/>
      <family val="2"/>
      <scheme val="minor"/>
    </font>
    <font>
      <sz val="10"/>
      <name val="Calibri"/>
      <family val="2"/>
    </font>
    <font>
      <b/>
      <sz val="10"/>
      <name val="Calibri"/>
      <family val="2"/>
    </font>
    <font>
      <b/>
      <i/>
      <sz val="10"/>
      <name val="Calibri"/>
      <family val="2"/>
    </font>
    <font>
      <b/>
      <sz val="11"/>
      <color rgb="FFFFFFFF"/>
      <name val="Calibri"/>
      <family val="2"/>
    </font>
    <font>
      <b/>
      <sz val="10"/>
      <color rgb="FFFFFFFF"/>
      <name val="Calibri"/>
      <family val="2"/>
    </font>
    <font>
      <sz val="10"/>
      <color theme="1"/>
      <name val="Arial"/>
      <family val="2"/>
    </font>
    <font>
      <b/>
      <sz val="20"/>
      <color theme="1"/>
      <name val="Aptos Narrow"/>
      <family val="2"/>
      <scheme val="minor"/>
    </font>
    <font>
      <sz val="9"/>
      <name val="Arial"/>
      <family val="2"/>
    </font>
  </fonts>
  <fills count="7">
    <fill>
      <patternFill patternType="none"/>
    </fill>
    <fill>
      <patternFill patternType="gray125"/>
    </fill>
    <fill>
      <patternFill patternType="solid">
        <fgColor rgb="FF157A3E"/>
        <bgColor indexed="64"/>
      </patternFill>
    </fill>
    <fill>
      <patternFill patternType="solid">
        <fgColor theme="0" tint="-0.34998626667073579"/>
        <bgColor indexed="64"/>
      </patternFill>
    </fill>
    <fill>
      <patternFill patternType="solid">
        <fgColor theme="0"/>
        <bgColor indexed="64"/>
      </patternFill>
    </fill>
    <fill>
      <patternFill patternType="solid">
        <fgColor indexed="55"/>
        <bgColor indexed="64"/>
      </patternFill>
    </fill>
    <fill>
      <patternFill patternType="solid">
        <fgColor rgb="FF969696"/>
        <bgColor rgb="FF000000"/>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19">
    <xf numFmtId="0" fontId="0" fillId="0" borderId="0"/>
    <xf numFmtId="0" fontId="3" fillId="0" borderId="0"/>
    <xf numFmtId="0" fontId="3" fillId="0" borderId="0"/>
    <xf numFmtId="43" fontId="3" fillId="0" borderId="0" applyFont="0" applyFill="0" applyBorder="0" applyAlignment="0" applyProtection="0"/>
    <xf numFmtId="12" fontId="3" fillId="0" borderId="0" applyFont="0" applyFill="0" applyProtection="0"/>
    <xf numFmtId="44" fontId="13" fillId="0" borderId="0" applyFont="0" applyFill="0" applyBorder="0" applyAlignment="0" applyProtection="0"/>
    <xf numFmtId="9" fontId="17" fillId="0" borderId="0" applyFont="0" applyFill="0" applyBorder="0" applyAlignment="0" applyProtection="0"/>
    <xf numFmtId="0" fontId="18" fillId="0" borderId="0"/>
    <xf numFmtId="0" fontId="2" fillId="0" borderId="0"/>
    <xf numFmtId="0" fontId="2" fillId="0" borderId="0"/>
    <xf numFmtId="0" fontId="19" fillId="0" borderId="0"/>
    <xf numFmtId="0" fontId="3" fillId="0" borderId="0"/>
    <xf numFmtId="0" fontId="20" fillId="0" borderId="0"/>
    <xf numFmtId="168" fontId="20" fillId="0" borderId="0" applyFont="0" applyFill="0" applyBorder="0" applyAlignment="0" applyProtection="0"/>
    <xf numFmtId="0" fontId="3" fillId="0" borderId="0"/>
    <xf numFmtId="0" fontId="26" fillId="0" borderId="0"/>
    <xf numFmtId="172" fontId="1" fillId="0" borderId="0" applyFont="0" applyFill="0" applyBorder="0" applyAlignment="0" applyProtection="0"/>
    <xf numFmtId="0" fontId="1" fillId="0" borderId="0"/>
    <xf numFmtId="9" fontId="3" fillId="0" borderId="0" applyFont="0" applyFill="0" applyBorder="0" applyAlignment="0" applyProtection="0"/>
  </cellStyleXfs>
  <cellXfs count="204">
    <xf numFmtId="0" fontId="0" fillId="0" borderId="0" xfId="0"/>
    <xf numFmtId="0" fontId="4" fillId="0" borderId="0" xfId="1" applyFont="1" applyAlignment="1">
      <alignment vertical="center"/>
    </xf>
    <xf numFmtId="0" fontId="5" fillId="2" borderId="1" xfId="1" applyFont="1" applyFill="1" applyBorder="1" applyAlignment="1">
      <alignment horizontal="center" vertical="center"/>
    </xf>
    <xf numFmtId="0" fontId="5" fillId="2" borderId="1" xfId="1" applyFont="1" applyFill="1" applyBorder="1" applyAlignment="1">
      <alignment horizontal="center" vertical="center" wrapText="1"/>
    </xf>
    <xf numFmtId="0" fontId="6" fillId="3" borderId="1" xfId="0" applyFont="1" applyFill="1" applyBorder="1" applyAlignment="1">
      <alignment vertical="center"/>
    </xf>
    <xf numFmtId="0" fontId="6" fillId="3" borderId="1" xfId="0" applyFont="1" applyFill="1" applyBorder="1" applyAlignment="1">
      <alignment horizontal="justify" vertical="center" wrapText="1"/>
    </xf>
    <xf numFmtId="0" fontId="4" fillId="3" borderId="1" xfId="0" applyFont="1" applyFill="1" applyBorder="1"/>
    <xf numFmtId="0" fontId="4" fillId="0" borderId="1" xfId="0" applyFont="1" applyBorder="1" applyAlignment="1">
      <alignment horizontal="left" vertical="center"/>
    </xf>
    <xf numFmtId="0" fontId="4" fillId="0" borderId="1" xfId="0" applyFont="1" applyBorder="1" applyAlignment="1">
      <alignment horizontal="justify" vertical="center" wrapText="1"/>
    </xf>
    <xf numFmtId="0" fontId="4" fillId="0" borderId="1" xfId="0" applyFont="1" applyBorder="1" applyAlignment="1">
      <alignment horizontal="center" vertical="center"/>
    </xf>
    <xf numFmtId="0" fontId="4" fillId="0" borderId="0" xfId="1" applyFont="1" applyAlignment="1">
      <alignment horizontal="justify" vertical="center" wrapText="1"/>
    </xf>
    <xf numFmtId="0" fontId="4" fillId="0" borderId="0" xfId="2" applyFont="1"/>
    <xf numFmtId="0" fontId="6" fillId="0" borderId="12" xfId="2" applyFont="1" applyBorder="1" applyAlignment="1">
      <alignment horizontal="center" vertical="center"/>
    </xf>
    <xf numFmtId="0" fontId="6" fillId="0" borderId="13" xfId="2" applyFont="1" applyBorder="1" applyAlignment="1">
      <alignment horizontal="center" vertical="center"/>
    </xf>
    <xf numFmtId="0" fontId="6" fillId="0" borderId="12" xfId="2" applyFont="1" applyBorder="1" applyAlignment="1">
      <alignment horizontal="center" vertical="center" wrapText="1"/>
    </xf>
    <xf numFmtId="0" fontId="6" fillId="0" borderId="13" xfId="2" applyFont="1" applyBorder="1" applyAlignment="1">
      <alignment horizontal="center" vertical="center" wrapText="1"/>
    </xf>
    <xf numFmtId="0" fontId="6" fillId="0" borderId="17" xfId="2" applyFont="1" applyBorder="1" applyAlignment="1">
      <alignment horizontal="left"/>
    </xf>
    <xf numFmtId="0" fontId="6" fillId="0" borderId="1" xfId="2" applyFont="1" applyBorder="1" applyAlignment="1">
      <alignment horizontal="left"/>
    </xf>
    <xf numFmtId="0" fontId="6" fillId="0" borderId="1" xfId="2" applyFont="1" applyBorder="1" applyAlignment="1">
      <alignment horizontal="centerContinuous"/>
    </xf>
    <xf numFmtId="0" fontId="6" fillId="0" borderId="13" xfId="2" applyFont="1" applyBorder="1" applyAlignment="1">
      <alignment horizontal="centerContinuous"/>
    </xf>
    <xf numFmtId="0" fontId="4" fillId="0" borderId="17" xfId="2" applyFont="1" applyBorder="1" applyAlignment="1">
      <alignment horizontal="left" vertical="center" wrapText="1"/>
    </xf>
    <xf numFmtId="0" fontId="4" fillId="0" borderId="1" xfId="2" applyFont="1" applyBorder="1" applyAlignment="1">
      <alignment horizontal="left" vertical="center" wrapText="1"/>
    </xf>
    <xf numFmtId="0" fontId="4" fillId="0" borderId="1" xfId="2" applyFont="1" applyBorder="1" applyAlignment="1">
      <alignment horizontal="center" vertical="center"/>
    </xf>
    <xf numFmtId="164" fontId="4" fillId="0" borderId="1" xfId="2" applyNumberFormat="1" applyFont="1" applyBorder="1" applyAlignment="1">
      <alignment horizontal="center" vertical="center"/>
    </xf>
    <xf numFmtId="165" fontId="4" fillId="0" borderId="1" xfId="2" applyNumberFormat="1" applyFont="1" applyBorder="1" applyAlignment="1">
      <alignment horizontal="right" vertical="center"/>
    </xf>
    <xf numFmtId="166" fontId="4" fillId="0" borderId="13" xfId="4" applyNumberFormat="1" applyFont="1" applyBorder="1" applyAlignment="1">
      <alignment horizontal="right" vertical="center"/>
    </xf>
    <xf numFmtId="0" fontId="6" fillId="0" borderId="18" xfId="2" applyFont="1" applyBorder="1" applyAlignment="1">
      <alignment horizontal="left"/>
    </xf>
    <xf numFmtId="0" fontId="4" fillId="0" borderId="19" xfId="2" applyFont="1" applyBorder="1" applyAlignment="1">
      <alignment horizontal="left"/>
    </xf>
    <xf numFmtId="167" fontId="4" fillId="0" borderId="19" xfId="2" applyNumberFormat="1" applyFont="1" applyBorder="1" applyAlignment="1">
      <alignment horizontal="centerContinuous"/>
    </xf>
    <xf numFmtId="0" fontId="9" fillId="0" borderId="19" xfId="2" applyFont="1" applyBorder="1" applyAlignment="1">
      <alignment horizontal="right"/>
    </xf>
    <xf numFmtId="165" fontId="6" fillId="0" borderId="20" xfId="2" applyNumberFormat="1" applyFont="1" applyBorder="1" applyAlignment="1">
      <alignment vertical="center"/>
    </xf>
    <xf numFmtId="0" fontId="4" fillId="0" borderId="4" xfId="2" applyFont="1" applyBorder="1"/>
    <xf numFmtId="0" fontId="4" fillId="0" borderId="5" xfId="2" applyFont="1" applyBorder="1"/>
    <xf numFmtId="166" fontId="4" fillId="0" borderId="13" xfId="4" applyNumberFormat="1" applyFont="1" applyFill="1" applyBorder="1" applyAlignment="1">
      <alignment horizontal="right" vertical="center"/>
    </xf>
    <xf numFmtId="0" fontId="4" fillId="0" borderId="21" xfId="2" applyFont="1" applyBorder="1" applyAlignment="1">
      <alignment horizontal="left" vertical="center" wrapText="1"/>
    </xf>
    <xf numFmtId="0" fontId="4" fillId="0" borderId="22" xfId="2" applyFont="1" applyBorder="1" applyAlignment="1">
      <alignment horizontal="left" vertical="center" wrapText="1"/>
    </xf>
    <xf numFmtId="0" fontId="4" fillId="0" borderId="22" xfId="2" applyFont="1" applyBorder="1" applyAlignment="1">
      <alignment horizontal="center" vertical="center"/>
    </xf>
    <xf numFmtId="164" fontId="4" fillId="0" borderId="22" xfId="2" applyNumberFormat="1" applyFont="1" applyBorder="1" applyAlignment="1">
      <alignment horizontal="center" vertical="center"/>
    </xf>
    <xf numFmtId="165" fontId="4" fillId="0" borderId="22" xfId="2" applyNumberFormat="1" applyFont="1" applyBorder="1" applyAlignment="1">
      <alignment horizontal="right" vertical="center"/>
    </xf>
    <xf numFmtId="167" fontId="4" fillId="0" borderId="19" xfId="2" applyNumberFormat="1" applyFont="1" applyBorder="1" applyAlignment="1">
      <alignment horizontal="center"/>
    </xf>
    <xf numFmtId="166" fontId="4" fillId="0" borderId="13" xfId="5" applyNumberFormat="1" applyFont="1" applyBorder="1" applyAlignment="1">
      <alignment horizontal="right" vertical="center"/>
    </xf>
    <xf numFmtId="0" fontId="4" fillId="0" borderId="32" xfId="2" applyFont="1" applyBorder="1" applyAlignment="1">
      <alignment horizontal="left" vertical="center" wrapText="1"/>
    </xf>
    <xf numFmtId="0" fontId="4" fillId="0" borderId="32" xfId="2" applyFont="1" applyBorder="1" applyAlignment="1">
      <alignment horizontal="center" vertical="center"/>
    </xf>
    <xf numFmtId="164" fontId="4" fillId="0" borderId="32" xfId="2" applyNumberFormat="1" applyFont="1" applyBorder="1" applyAlignment="1">
      <alignment horizontal="center" vertical="center"/>
    </xf>
    <xf numFmtId="0" fontId="7" fillId="0" borderId="17" xfId="2" applyFont="1" applyBorder="1" applyAlignment="1">
      <alignment horizontal="left" vertical="center" wrapText="1"/>
    </xf>
    <xf numFmtId="0" fontId="7" fillId="0" borderId="1" xfId="2" applyFont="1" applyBorder="1" applyAlignment="1">
      <alignment horizontal="left" vertical="center" wrapText="1"/>
    </xf>
    <xf numFmtId="2" fontId="4" fillId="0" borderId="1" xfId="0" applyNumberFormat="1" applyFont="1" applyBorder="1" applyAlignment="1">
      <alignment horizontal="justify" vertical="center" wrapText="1"/>
    </xf>
    <xf numFmtId="10" fontId="4" fillId="0" borderId="19" xfId="6" applyNumberFormat="1" applyFont="1" applyBorder="1" applyAlignment="1">
      <alignment horizontal="centerContinuous"/>
    </xf>
    <xf numFmtId="0" fontId="6" fillId="0" borderId="1" xfId="2" applyFont="1" applyBorder="1" applyAlignment="1">
      <alignment horizontal="center"/>
    </xf>
    <xf numFmtId="0" fontId="6" fillId="0" borderId="13" xfId="2" applyFont="1" applyBorder="1" applyAlignment="1">
      <alignment horizontal="center"/>
    </xf>
    <xf numFmtId="164" fontId="4" fillId="0" borderId="28" xfId="2" applyNumberFormat="1" applyFont="1" applyBorder="1" applyAlignment="1">
      <alignment horizontal="center" vertical="center"/>
    </xf>
    <xf numFmtId="165" fontId="4" fillId="0" borderId="28" xfId="2" applyNumberFormat="1" applyFont="1" applyBorder="1" applyAlignment="1">
      <alignment horizontal="right" vertical="center"/>
    </xf>
    <xf numFmtId="166" fontId="4" fillId="0" borderId="31" xfId="4" applyNumberFormat="1" applyFont="1" applyBorder="1" applyAlignment="1">
      <alignment horizontal="right" vertical="center"/>
    </xf>
    <xf numFmtId="0" fontId="3" fillId="0" borderId="33" xfId="0" applyFont="1" applyBorder="1" applyAlignment="1">
      <alignment horizontal="center" vertical="center" wrapText="1"/>
    </xf>
    <xf numFmtId="0" fontId="4" fillId="4" borderId="17" xfId="2" applyFont="1" applyFill="1" applyBorder="1" applyAlignment="1">
      <alignment horizontal="left" vertical="center" wrapText="1"/>
    </xf>
    <xf numFmtId="0" fontId="4" fillId="4" borderId="1" xfId="2" applyFont="1" applyFill="1" applyBorder="1" applyAlignment="1">
      <alignment horizontal="left" vertical="center" wrapText="1"/>
    </xf>
    <xf numFmtId="0" fontId="4" fillId="0" borderId="28" xfId="2" applyFont="1" applyBorder="1" applyAlignment="1">
      <alignment horizontal="left" vertical="center" wrapText="1"/>
    </xf>
    <xf numFmtId="0" fontId="4" fillId="0" borderId="28" xfId="2" applyFont="1" applyBorder="1" applyAlignment="1">
      <alignment horizontal="center" vertical="center"/>
    </xf>
    <xf numFmtId="166" fontId="4" fillId="0" borderId="31" xfId="5" applyNumberFormat="1" applyFont="1" applyBorder="1" applyAlignment="1">
      <alignment horizontal="right" vertical="center"/>
    </xf>
    <xf numFmtId="165" fontId="4" fillId="0" borderId="0" xfId="2" applyNumberFormat="1" applyFont="1"/>
    <xf numFmtId="0" fontId="4" fillId="4" borderId="1" xfId="0" applyFont="1" applyFill="1" applyBorder="1" applyAlignment="1">
      <alignment horizontal="left" vertical="center"/>
    </xf>
    <xf numFmtId="0" fontId="20" fillId="0" borderId="0" xfId="12"/>
    <xf numFmtId="0" fontId="22" fillId="0" borderId="12" xfId="12" applyFont="1" applyBorder="1" applyAlignment="1">
      <alignment horizontal="center" vertical="center"/>
    </xf>
    <xf numFmtId="0" fontId="22" fillId="0" borderId="13" xfId="12" applyFont="1" applyBorder="1" applyAlignment="1">
      <alignment horizontal="center" vertical="center"/>
    </xf>
    <xf numFmtId="0" fontId="22" fillId="0" borderId="12" xfId="12" applyFont="1" applyBorder="1" applyAlignment="1">
      <alignment horizontal="center" vertical="center" wrapText="1"/>
    </xf>
    <xf numFmtId="0" fontId="22" fillId="0" borderId="13" xfId="12" applyFont="1" applyBorder="1" applyAlignment="1">
      <alignment horizontal="center" vertical="center" wrapText="1"/>
    </xf>
    <xf numFmtId="0" fontId="6" fillId="0" borderId="19" xfId="2" applyFont="1" applyBorder="1" applyAlignment="1">
      <alignment horizontal="left"/>
    </xf>
    <xf numFmtId="0" fontId="6" fillId="0" borderId="19" xfId="2" applyFont="1" applyBorder="1" applyAlignment="1">
      <alignment horizontal="centerContinuous"/>
    </xf>
    <xf numFmtId="0" fontId="6" fillId="0" borderId="20" xfId="2" applyFont="1" applyBorder="1" applyAlignment="1">
      <alignment horizontal="centerContinuous"/>
    </xf>
    <xf numFmtId="0" fontId="21" fillId="0" borderId="17" xfId="12" applyFont="1" applyBorder="1" applyAlignment="1">
      <alignment horizontal="left" vertical="center" wrapText="1"/>
    </xf>
    <xf numFmtId="0" fontId="21" fillId="0" borderId="1" xfId="12" applyFont="1" applyBorder="1" applyAlignment="1">
      <alignment horizontal="left" vertical="center" wrapText="1"/>
    </xf>
    <xf numFmtId="0" fontId="21" fillId="0" borderId="1" xfId="12" applyFont="1" applyBorder="1" applyAlignment="1">
      <alignment horizontal="center" vertical="center"/>
    </xf>
    <xf numFmtId="6" fontId="21" fillId="0" borderId="1" xfId="12" applyNumberFormat="1" applyFont="1" applyBorder="1" applyAlignment="1">
      <alignment horizontal="right" vertical="center"/>
    </xf>
    <xf numFmtId="6" fontId="21" fillId="0" borderId="13" xfId="12" applyNumberFormat="1" applyFont="1" applyBorder="1" applyAlignment="1">
      <alignment horizontal="right" vertical="center"/>
    </xf>
    <xf numFmtId="0" fontId="22" fillId="0" borderId="18" xfId="12" applyFont="1" applyBorder="1" applyAlignment="1">
      <alignment horizontal="left"/>
    </xf>
    <xf numFmtId="0" fontId="21" fillId="0" borderId="19" xfId="12" applyFont="1" applyBorder="1" applyAlignment="1">
      <alignment horizontal="left"/>
    </xf>
    <xf numFmtId="0" fontId="21" fillId="0" borderId="19" xfId="12" applyFont="1" applyBorder="1" applyAlignment="1">
      <alignment horizontal="centerContinuous"/>
    </xf>
    <xf numFmtId="0" fontId="23" fillId="0" borderId="19" xfId="12" applyFont="1" applyBorder="1" applyAlignment="1">
      <alignment horizontal="right"/>
    </xf>
    <xf numFmtId="6" fontId="22" fillId="0" borderId="20" xfId="12" applyNumberFormat="1" applyFont="1" applyBorder="1" applyAlignment="1">
      <alignment vertical="center"/>
    </xf>
    <xf numFmtId="0" fontId="22" fillId="0" borderId="17" xfId="12" applyFont="1" applyBorder="1" applyAlignment="1">
      <alignment horizontal="left"/>
    </xf>
    <xf numFmtId="0" fontId="22" fillId="0" borderId="1" xfId="12" applyFont="1" applyBorder="1" applyAlignment="1">
      <alignment horizontal="left"/>
    </xf>
    <xf numFmtId="0" fontId="22" fillId="0" borderId="1" xfId="12" applyFont="1" applyBorder="1" applyAlignment="1">
      <alignment horizontal="centerContinuous"/>
    </xf>
    <xf numFmtId="0" fontId="22" fillId="0" borderId="13" xfId="12" applyFont="1" applyBorder="1" applyAlignment="1">
      <alignment horizontal="centerContinuous"/>
    </xf>
    <xf numFmtId="0" fontId="21" fillId="0" borderId="21" xfId="12" applyFont="1" applyBorder="1" applyAlignment="1">
      <alignment horizontal="left" vertical="center" wrapText="1"/>
    </xf>
    <xf numFmtId="0" fontId="21" fillId="0" borderId="22" xfId="12" applyFont="1" applyBorder="1" applyAlignment="1">
      <alignment horizontal="left" vertical="center" wrapText="1"/>
    </xf>
    <xf numFmtId="0" fontId="21" fillId="0" borderId="22" xfId="12" applyFont="1" applyBorder="1" applyAlignment="1">
      <alignment horizontal="center" vertical="center"/>
    </xf>
    <xf numFmtId="6" fontId="21" fillId="0" borderId="22" xfId="12" applyNumberFormat="1" applyFont="1" applyBorder="1" applyAlignment="1">
      <alignment horizontal="right" vertical="center"/>
    </xf>
    <xf numFmtId="0" fontId="24" fillId="0" borderId="23" xfId="12" applyFont="1" applyBorder="1" applyAlignment="1">
      <alignment horizontal="right"/>
    </xf>
    <xf numFmtId="0" fontId="24" fillId="0" borderId="24" xfId="12" applyFont="1" applyBorder="1" applyAlignment="1">
      <alignment horizontal="right"/>
    </xf>
    <xf numFmtId="6" fontId="25" fillId="0" borderId="24" xfId="12" applyNumberFormat="1" applyFont="1" applyBorder="1" applyAlignment="1">
      <alignment horizontal="right"/>
    </xf>
    <xf numFmtId="6" fontId="25" fillId="0" borderId="27" xfId="12" applyNumberFormat="1" applyFont="1" applyBorder="1" applyAlignment="1">
      <alignment horizontal="right"/>
    </xf>
    <xf numFmtId="0" fontId="6" fillId="0" borderId="11" xfId="2" applyFont="1" applyBorder="1" applyAlignment="1">
      <alignment horizontal="center" vertical="center" wrapText="1"/>
    </xf>
    <xf numFmtId="0" fontId="6" fillId="0" borderId="31" xfId="2" applyFont="1" applyBorder="1" applyAlignment="1">
      <alignment horizontal="center" vertical="center" wrapText="1"/>
    </xf>
    <xf numFmtId="0" fontId="4" fillId="0" borderId="34" xfId="2" applyFont="1" applyBorder="1" applyAlignment="1">
      <alignment horizontal="left"/>
    </xf>
    <xf numFmtId="0" fontId="4" fillId="0" borderId="33" xfId="2" applyFont="1" applyBorder="1" applyAlignment="1">
      <alignment horizontal="left" vertical="center" wrapText="1"/>
    </xf>
    <xf numFmtId="0" fontId="4" fillId="0" borderId="33" xfId="2" applyFont="1" applyBorder="1" applyAlignment="1">
      <alignment horizontal="center" vertical="center" wrapText="1"/>
    </xf>
    <xf numFmtId="165" fontId="4" fillId="0" borderId="33" xfId="2" applyNumberFormat="1" applyFont="1" applyBorder="1" applyAlignment="1">
      <alignment horizontal="right" vertical="center"/>
    </xf>
    <xf numFmtId="166" fontId="4" fillId="0" borderId="35" xfId="5" applyNumberFormat="1" applyFont="1" applyFill="1" applyBorder="1" applyAlignment="1">
      <alignment horizontal="right" vertical="center"/>
    </xf>
    <xf numFmtId="0" fontId="4" fillId="0" borderId="17" xfId="2" applyFont="1" applyBorder="1" applyAlignment="1">
      <alignment horizontal="left"/>
    </xf>
    <xf numFmtId="0" fontId="4" fillId="0" borderId="1" xfId="2" applyFont="1" applyBorder="1" applyAlignment="1">
      <alignment horizontal="center" vertical="center" wrapText="1"/>
    </xf>
    <xf numFmtId="166" fontId="4" fillId="0" borderId="13" xfId="5" applyNumberFormat="1" applyFont="1" applyFill="1" applyBorder="1" applyAlignment="1">
      <alignment horizontal="right" vertical="center"/>
    </xf>
    <xf numFmtId="169" fontId="4" fillId="0" borderId="22" xfId="2" applyNumberFormat="1" applyFont="1" applyBorder="1" applyAlignment="1">
      <alignment horizontal="center" vertical="center"/>
    </xf>
    <xf numFmtId="0" fontId="6" fillId="0" borderId="20" xfId="2" applyFont="1" applyBorder="1" applyAlignment="1">
      <alignment horizontal="center" vertical="center" wrapText="1"/>
    </xf>
    <xf numFmtId="170" fontId="4" fillId="0" borderId="1" xfId="2" applyNumberFormat="1" applyFont="1" applyBorder="1" applyAlignment="1">
      <alignment horizontal="center" vertical="center"/>
    </xf>
    <xf numFmtId="171" fontId="4" fillId="0" borderId="1" xfId="2" applyNumberFormat="1" applyFont="1" applyBorder="1" applyAlignment="1">
      <alignment horizontal="center" vertical="center"/>
    </xf>
    <xf numFmtId="0" fontId="4" fillId="0" borderId="1" xfId="2" applyFont="1" applyBorder="1" applyAlignment="1">
      <alignment horizontal="left"/>
    </xf>
    <xf numFmtId="0" fontId="4" fillId="0" borderId="21" xfId="2" applyFont="1" applyBorder="1" applyAlignment="1">
      <alignment horizontal="left"/>
    </xf>
    <xf numFmtId="169" fontId="4" fillId="0" borderId="1" xfId="2" applyNumberFormat="1" applyFont="1" applyBorder="1" applyAlignment="1">
      <alignment horizontal="center" vertical="center"/>
    </xf>
    <xf numFmtId="166" fontId="4" fillId="0" borderId="13" xfId="13" applyNumberFormat="1" applyFont="1" applyBorder="1" applyAlignment="1">
      <alignment horizontal="right" vertical="center"/>
    </xf>
    <xf numFmtId="2" fontId="4" fillId="0" borderId="1" xfId="2" applyNumberFormat="1" applyFont="1" applyBorder="1" applyAlignment="1">
      <alignment horizontal="justify" vertical="center" wrapText="1"/>
    </xf>
    <xf numFmtId="2" fontId="21" fillId="0" borderId="1" xfId="12" applyNumberFormat="1" applyFont="1" applyBorder="1" applyAlignment="1">
      <alignment horizontal="center" vertical="center"/>
    </xf>
    <xf numFmtId="171" fontId="4" fillId="0" borderId="19" xfId="2" applyNumberFormat="1" applyFont="1" applyBorder="1" applyAlignment="1">
      <alignment horizontal="left"/>
    </xf>
    <xf numFmtId="171" fontId="6" fillId="0" borderId="1" xfId="2" applyNumberFormat="1" applyFont="1" applyBorder="1" applyAlignment="1">
      <alignment horizontal="centerContinuous"/>
    </xf>
    <xf numFmtId="169" fontId="4" fillId="0" borderId="19" xfId="2" applyNumberFormat="1" applyFont="1" applyBorder="1" applyAlignment="1">
      <alignment horizontal="left"/>
    </xf>
    <xf numFmtId="169" fontId="6" fillId="0" borderId="1" xfId="2" applyNumberFormat="1" applyFont="1" applyBorder="1" applyAlignment="1">
      <alignment horizontal="centerContinuous"/>
    </xf>
    <xf numFmtId="0" fontId="4" fillId="0" borderId="1" xfId="14" applyFont="1" applyBorder="1" applyAlignment="1">
      <alignment horizontal="justify" vertical="center" wrapText="1"/>
    </xf>
    <xf numFmtId="0" fontId="10" fillId="0" borderId="4" xfId="3" applyNumberFormat="1" applyFont="1" applyFill="1" applyBorder="1" applyAlignment="1" applyProtection="1">
      <alignment horizontal="right"/>
    </xf>
    <xf numFmtId="0" fontId="10" fillId="0" borderId="0" xfId="3" applyNumberFormat="1" applyFont="1" applyFill="1" applyBorder="1" applyAlignment="1" applyProtection="1">
      <alignment horizontal="right"/>
    </xf>
    <xf numFmtId="165" fontId="11" fillId="0" borderId="0" xfId="2" applyNumberFormat="1" applyFont="1" applyAlignment="1">
      <alignment horizontal="right"/>
    </xf>
    <xf numFmtId="165" fontId="11" fillId="0" borderId="5" xfId="2" applyNumberFormat="1" applyFont="1" applyBorder="1" applyAlignment="1">
      <alignment horizontal="right"/>
    </xf>
    <xf numFmtId="2" fontId="4" fillId="0" borderId="0" xfId="6" applyNumberFormat="1" applyFont="1" applyAlignment="1">
      <alignment horizontal="center" vertical="center"/>
    </xf>
    <xf numFmtId="165" fontId="5" fillId="2" borderId="1" xfId="1" applyNumberFormat="1" applyFont="1" applyFill="1" applyBorder="1" applyAlignment="1">
      <alignment horizontal="center" vertical="center"/>
    </xf>
    <xf numFmtId="165" fontId="4" fillId="3" borderId="1" xfId="0" applyNumberFormat="1" applyFont="1" applyFill="1" applyBorder="1"/>
    <xf numFmtId="165" fontId="4" fillId="0" borderId="1" xfId="0" applyNumberFormat="1" applyFont="1" applyBorder="1" applyAlignment="1">
      <alignment horizontal="right" vertical="center"/>
    </xf>
    <xf numFmtId="165" fontId="4" fillId="0" borderId="0" xfId="1" applyNumberFormat="1" applyFont="1" applyAlignment="1">
      <alignment vertical="center"/>
    </xf>
    <xf numFmtId="6" fontId="21" fillId="0" borderId="8" xfId="12" applyNumberFormat="1" applyFont="1" applyBorder="1" applyAlignment="1">
      <alignment horizontal="right" vertical="center"/>
    </xf>
    <xf numFmtId="6" fontId="21" fillId="0" borderId="39" xfId="12" applyNumberFormat="1" applyFont="1" applyBorder="1" applyAlignment="1">
      <alignment horizontal="right" vertical="center"/>
    </xf>
    <xf numFmtId="165" fontId="4" fillId="0" borderId="0" xfId="2" applyNumberFormat="1" applyFont="1" applyAlignment="1">
      <alignment horizontal="right" vertical="center"/>
    </xf>
    <xf numFmtId="20" fontId="4" fillId="0" borderId="38" xfId="0" applyNumberFormat="1" applyFont="1" applyBorder="1" applyAlignment="1">
      <alignment horizontal="justify" vertical="center"/>
    </xf>
    <xf numFmtId="44" fontId="15" fillId="4" borderId="0" xfId="5" applyFont="1" applyFill="1" applyAlignment="1">
      <alignment horizontal="center" vertical="center"/>
    </xf>
    <xf numFmtId="44" fontId="4" fillId="0" borderId="0" xfId="5" applyFont="1" applyAlignment="1">
      <alignment vertical="center"/>
    </xf>
    <xf numFmtId="44" fontId="14" fillId="4" borderId="0" xfId="5" applyFont="1" applyFill="1" applyAlignment="1">
      <alignment horizontal="center" vertical="center"/>
    </xf>
    <xf numFmtId="44" fontId="4" fillId="0" borderId="0" xfId="1" applyNumberFormat="1" applyFont="1" applyAlignment="1">
      <alignment vertical="center"/>
    </xf>
    <xf numFmtId="0" fontId="14" fillId="4" borderId="2" xfId="0" applyFont="1" applyFill="1" applyBorder="1" applyAlignment="1">
      <alignment horizontal="center" vertical="center"/>
    </xf>
    <xf numFmtId="0" fontId="28" fillId="4" borderId="3" xfId="0" applyFont="1" applyFill="1" applyBorder="1" applyAlignment="1">
      <alignment horizontal="center" vertical="center"/>
    </xf>
    <xf numFmtId="0" fontId="28" fillId="4" borderId="40" xfId="0" applyFont="1" applyFill="1" applyBorder="1" applyAlignment="1">
      <alignment horizontal="center" vertical="center"/>
    </xf>
    <xf numFmtId="0" fontId="28" fillId="4" borderId="4" xfId="0" applyFont="1" applyFill="1" applyBorder="1" applyAlignment="1">
      <alignment horizontal="center" vertical="center"/>
    </xf>
    <xf numFmtId="0" fontId="28" fillId="4" borderId="0" xfId="0" applyFont="1" applyFill="1" applyAlignment="1">
      <alignment horizontal="center" vertical="center"/>
    </xf>
    <xf numFmtId="0" fontId="28" fillId="4" borderId="5" xfId="0" applyFont="1" applyFill="1" applyBorder="1" applyAlignment="1">
      <alignment horizontal="center" vertical="center"/>
    </xf>
    <xf numFmtId="0" fontId="28" fillId="4" borderId="29" xfId="0" applyFont="1" applyFill="1" applyBorder="1" applyAlignment="1">
      <alignment horizontal="center" vertical="center"/>
    </xf>
    <xf numFmtId="0" fontId="28" fillId="4" borderId="30" xfId="0" applyFont="1" applyFill="1" applyBorder="1" applyAlignment="1">
      <alignment horizontal="center" vertical="center"/>
    </xf>
    <xf numFmtId="0" fontId="28" fillId="4" borderId="41" xfId="0" applyFont="1" applyFill="1" applyBorder="1" applyAlignment="1">
      <alignment horizontal="center" vertical="center"/>
    </xf>
    <xf numFmtId="0" fontId="14" fillId="4" borderId="23" xfId="0" applyFont="1" applyFill="1" applyBorder="1" applyAlignment="1">
      <alignment horizontal="center" vertical="center"/>
    </xf>
    <xf numFmtId="0" fontId="14" fillId="4" borderId="24" xfId="0" applyFont="1" applyFill="1" applyBorder="1" applyAlignment="1">
      <alignment horizontal="center" vertical="center"/>
    </xf>
    <xf numFmtId="0" fontId="14" fillId="4" borderId="27" xfId="0" applyFont="1" applyFill="1" applyBorder="1" applyAlignment="1">
      <alignment horizontal="center" vertical="center"/>
    </xf>
    <xf numFmtId="0" fontId="4" fillId="0" borderId="15" xfId="1" applyFont="1" applyBorder="1" applyAlignment="1">
      <alignment horizontal="center" vertical="center" wrapText="1"/>
    </xf>
    <xf numFmtId="0" fontId="8" fillId="2" borderId="23" xfId="3" applyNumberFormat="1" applyFont="1" applyFill="1" applyBorder="1" applyAlignment="1" applyProtection="1">
      <alignment horizontal="center" vertical="center"/>
    </xf>
    <xf numFmtId="0" fontId="8" fillId="2" borderId="24" xfId="3" applyNumberFormat="1" applyFont="1" applyFill="1" applyBorder="1" applyAlignment="1" applyProtection="1">
      <alignment horizontal="center" vertical="center"/>
    </xf>
    <xf numFmtId="0" fontId="8" fillId="2" borderId="27" xfId="3" applyNumberFormat="1" applyFont="1" applyFill="1" applyBorder="1" applyAlignment="1" applyProtection="1">
      <alignment horizontal="center" vertical="center"/>
    </xf>
    <xf numFmtId="2" fontId="4" fillId="0" borderId="2" xfId="2" applyNumberFormat="1" applyFont="1" applyBorder="1" applyAlignment="1">
      <alignment horizontal="left" vertical="center" wrapText="1"/>
    </xf>
    <xf numFmtId="2" fontId="4" fillId="0" borderId="3" xfId="2" applyNumberFormat="1" applyFont="1" applyBorder="1" applyAlignment="1">
      <alignment horizontal="left" vertical="center" wrapText="1"/>
    </xf>
    <xf numFmtId="2" fontId="4" fillId="0" borderId="36" xfId="2" applyNumberFormat="1" applyFont="1" applyBorder="1" applyAlignment="1">
      <alignment horizontal="left" vertical="center" wrapText="1"/>
    </xf>
    <xf numFmtId="2" fontId="4" fillId="0" borderId="29" xfId="2" applyNumberFormat="1" applyFont="1" applyBorder="1" applyAlignment="1">
      <alignment horizontal="left" vertical="center" wrapText="1"/>
    </xf>
    <xf numFmtId="2" fontId="4" fillId="0" borderId="30" xfId="2" applyNumberFormat="1" applyFont="1" applyBorder="1" applyAlignment="1">
      <alignment horizontal="left" vertical="center" wrapText="1"/>
    </xf>
    <xf numFmtId="2" fontId="4" fillId="0" borderId="37" xfId="2" applyNumberFormat="1" applyFont="1" applyBorder="1" applyAlignment="1">
      <alignment horizontal="left" vertical="center" wrapText="1"/>
    </xf>
    <xf numFmtId="0" fontId="11" fillId="5" borderId="23" xfId="3" applyNumberFormat="1" applyFont="1" applyFill="1" applyBorder="1" applyAlignment="1" applyProtection="1">
      <alignment horizontal="right"/>
    </xf>
    <xf numFmtId="0" fontId="11" fillId="5" borderId="24" xfId="3" applyNumberFormat="1" applyFont="1" applyFill="1" applyBorder="1" applyAlignment="1" applyProtection="1">
      <alignment horizontal="right"/>
    </xf>
    <xf numFmtId="0" fontId="11" fillId="5" borderId="25" xfId="3" applyNumberFormat="1" applyFont="1" applyFill="1" applyBorder="1" applyAlignment="1" applyProtection="1">
      <alignment horizontal="right"/>
    </xf>
    <xf numFmtId="165" fontId="11" fillId="5" borderId="26" xfId="2" applyNumberFormat="1" applyFont="1" applyFill="1" applyBorder="1" applyAlignment="1">
      <alignment horizontal="right"/>
    </xf>
    <xf numFmtId="165" fontId="11" fillId="5" borderId="27" xfId="2" applyNumberFormat="1" applyFont="1" applyFill="1" applyBorder="1" applyAlignment="1">
      <alignment horizontal="right"/>
    </xf>
    <xf numFmtId="2" fontId="21" fillId="0" borderId="2" xfId="12" applyNumberFormat="1" applyFont="1" applyBorder="1" applyAlignment="1">
      <alignment horizontal="left" vertical="center" wrapText="1"/>
    </xf>
    <xf numFmtId="0" fontId="21" fillId="0" borderId="3" xfId="12" applyFont="1" applyBorder="1" applyAlignment="1">
      <alignment horizontal="left" vertical="center" wrapText="1"/>
    </xf>
    <xf numFmtId="0" fontId="21" fillId="0" borderId="36" xfId="12" applyFont="1" applyBorder="1" applyAlignment="1">
      <alignment horizontal="left" vertical="center" wrapText="1"/>
    </xf>
    <xf numFmtId="0" fontId="21" fillId="0" borderId="29" xfId="12" applyFont="1" applyBorder="1" applyAlignment="1">
      <alignment horizontal="left" vertical="center" wrapText="1"/>
    </xf>
    <xf numFmtId="0" fontId="21" fillId="0" borderId="30" xfId="12" applyFont="1" applyBorder="1" applyAlignment="1">
      <alignment horizontal="left" vertical="center" wrapText="1"/>
    </xf>
    <xf numFmtId="0" fontId="21" fillId="0" borderId="37" xfId="12" applyFont="1" applyBorder="1" applyAlignment="1">
      <alignment horizontal="left" vertical="center" wrapText="1"/>
    </xf>
    <xf numFmtId="0" fontId="24" fillId="6" borderId="23" xfId="12" applyFont="1" applyFill="1" applyBorder="1" applyAlignment="1">
      <alignment horizontal="right"/>
    </xf>
    <xf numFmtId="0" fontId="24" fillId="6" borderId="24" xfId="12" applyFont="1" applyFill="1" applyBorder="1" applyAlignment="1">
      <alignment horizontal="right"/>
    </xf>
    <xf numFmtId="0" fontId="24" fillId="6" borderId="25" xfId="12" applyFont="1" applyFill="1" applyBorder="1" applyAlignment="1">
      <alignment horizontal="right"/>
    </xf>
    <xf numFmtId="6" fontId="25" fillId="6" borderId="26" xfId="12" applyNumberFormat="1" applyFont="1" applyFill="1" applyBorder="1" applyAlignment="1">
      <alignment horizontal="right"/>
    </xf>
    <xf numFmtId="6" fontId="25" fillId="6" borderId="27" xfId="12" applyNumberFormat="1" applyFont="1" applyFill="1" applyBorder="1" applyAlignment="1">
      <alignment horizontal="right"/>
    </xf>
    <xf numFmtId="0" fontId="10" fillId="5" borderId="23" xfId="3" applyNumberFormat="1" applyFont="1" applyFill="1" applyBorder="1" applyAlignment="1" applyProtection="1">
      <alignment horizontal="right"/>
    </xf>
    <xf numFmtId="0" fontId="10" fillId="5" borderId="24" xfId="3" applyNumberFormat="1" applyFont="1" applyFill="1" applyBorder="1" applyAlignment="1" applyProtection="1">
      <alignment horizontal="right"/>
    </xf>
    <xf numFmtId="0" fontId="10" fillId="5" borderId="25" xfId="3" applyNumberFormat="1" applyFont="1" applyFill="1" applyBorder="1" applyAlignment="1" applyProtection="1">
      <alignment horizontal="right"/>
    </xf>
    <xf numFmtId="2" fontId="4" fillId="0" borderId="9" xfId="2" applyNumberFormat="1" applyFont="1" applyBorder="1" applyAlignment="1">
      <alignment horizontal="left" vertical="center" wrapText="1"/>
    </xf>
    <xf numFmtId="2" fontId="4" fillId="0" borderId="10" xfId="2" applyNumberFormat="1" applyFont="1" applyBorder="1" applyAlignment="1">
      <alignment horizontal="left" vertical="center" wrapText="1"/>
    </xf>
    <xf numFmtId="2" fontId="4" fillId="0" borderId="11" xfId="2" applyNumberFormat="1" applyFont="1" applyBorder="1" applyAlignment="1">
      <alignment horizontal="left" vertical="center" wrapText="1"/>
    </xf>
    <xf numFmtId="2" fontId="4" fillId="0" borderId="14" xfId="2" applyNumberFormat="1" applyFont="1" applyBorder="1" applyAlignment="1">
      <alignment horizontal="left" vertical="center" wrapText="1"/>
    </xf>
    <xf numFmtId="2" fontId="4" fillId="0" borderId="15" xfId="2" applyNumberFormat="1" applyFont="1" applyBorder="1" applyAlignment="1">
      <alignment horizontal="left" vertical="center" wrapText="1"/>
    </xf>
    <xf numFmtId="2" fontId="4" fillId="0" borderId="16" xfId="2" applyNumberFormat="1" applyFont="1" applyBorder="1" applyAlignment="1">
      <alignment horizontal="left" vertical="center" wrapText="1"/>
    </xf>
    <xf numFmtId="0" fontId="10" fillId="5" borderId="18" xfId="3" applyNumberFormat="1" applyFont="1" applyFill="1" applyBorder="1" applyAlignment="1" applyProtection="1">
      <alignment horizontal="right"/>
    </xf>
    <xf numFmtId="0" fontId="10" fillId="5" borderId="19" xfId="3" applyNumberFormat="1" applyFont="1" applyFill="1" applyBorder="1" applyAlignment="1" applyProtection="1">
      <alignment horizontal="right"/>
    </xf>
    <xf numFmtId="165" fontId="11" fillId="5" borderId="19" xfId="2" applyNumberFormat="1" applyFont="1" applyFill="1" applyBorder="1" applyAlignment="1">
      <alignment horizontal="right"/>
    </xf>
    <xf numFmtId="165" fontId="11" fillId="5" borderId="20" xfId="2" applyNumberFormat="1" applyFont="1" applyFill="1" applyBorder="1" applyAlignment="1">
      <alignment horizontal="right"/>
    </xf>
    <xf numFmtId="0" fontId="8" fillId="2" borderId="6" xfId="3" applyNumberFormat="1" applyFont="1" applyFill="1" applyBorder="1" applyAlignment="1" applyProtection="1">
      <alignment horizontal="center"/>
    </xf>
    <xf numFmtId="0" fontId="8" fillId="2" borderId="7" xfId="3" applyNumberFormat="1" applyFont="1" applyFill="1" applyBorder="1" applyAlignment="1" applyProtection="1">
      <alignment horizontal="center"/>
    </xf>
    <xf numFmtId="0" fontId="8" fillId="2" borderId="8" xfId="3" applyNumberFormat="1" applyFont="1" applyFill="1" applyBorder="1" applyAlignment="1" applyProtection="1">
      <alignment horizontal="center"/>
    </xf>
    <xf numFmtId="0" fontId="27" fillId="4" borderId="4" xfId="2" applyFont="1" applyFill="1" applyBorder="1" applyAlignment="1">
      <alignment horizontal="center" vertical="center"/>
    </xf>
    <xf numFmtId="0" fontId="27" fillId="4" borderId="0" xfId="2" applyFont="1" applyFill="1" applyAlignment="1">
      <alignment horizontal="center" vertical="center"/>
    </xf>
    <xf numFmtId="0" fontId="27" fillId="4" borderId="5" xfId="2" applyFont="1" applyFill="1" applyBorder="1" applyAlignment="1">
      <alignment horizontal="center" vertical="center"/>
    </xf>
    <xf numFmtId="2" fontId="4" fillId="4" borderId="9" xfId="2" applyNumberFormat="1" applyFont="1" applyFill="1" applyBorder="1" applyAlignment="1">
      <alignment horizontal="left" vertical="center" wrapText="1"/>
    </xf>
    <xf numFmtId="2" fontId="4" fillId="4" borderId="10" xfId="2" applyNumberFormat="1" applyFont="1" applyFill="1" applyBorder="1" applyAlignment="1">
      <alignment horizontal="left" vertical="center" wrapText="1"/>
    </xf>
    <xf numFmtId="2" fontId="4" fillId="4" borderId="11" xfId="2" applyNumberFormat="1" applyFont="1" applyFill="1" applyBorder="1" applyAlignment="1">
      <alignment horizontal="left" vertical="center" wrapText="1"/>
    </xf>
    <xf numFmtId="2" fontId="4" fillId="4" borderId="14" xfId="2" applyNumberFormat="1" applyFont="1" applyFill="1" applyBorder="1" applyAlignment="1">
      <alignment horizontal="left" vertical="center" wrapText="1"/>
    </xf>
    <xf numFmtId="2" fontId="4" fillId="4" borderId="15" xfId="2" applyNumberFormat="1" applyFont="1" applyFill="1" applyBorder="1" applyAlignment="1">
      <alignment horizontal="left" vertical="center" wrapText="1"/>
    </xf>
    <xf numFmtId="2" fontId="4" fillId="4" borderId="16" xfId="2" applyNumberFormat="1" applyFont="1" applyFill="1" applyBorder="1" applyAlignment="1">
      <alignment horizontal="left" vertical="center" wrapText="1"/>
    </xf>
    <xf numFmtId="0" fontId="10" fillId="4" borderId="0" xfId="3" applyNumberFormat="1" applyFont="1" applyFill="1" applyBorder="1" applyAlignment="1" applyProtection="1">
      <alignment horizontal="right"/>
    </xf>
    <xf numFmtId="165" fontId="11" fillId="4" borderId="0" xfId="2" applyNumberFormat="1" applyFont="1" applyFill="1" applyAlignment="1">
      <alignment horizontal="right"/>
    </xf>
    <xf numFmtId="0" fontId="16" fillId="2" borderId="6" xfId="3" applyNumberFormat="1" applyFont="1" applyFill="1" applyBorder="1" applyAlignment="1" applyProtection="1">
      <alignment horizontal="center"/>
    </xf>
    <xf numFmtId="0" fontId="16" fillId="2" borderId="7" xfId="3" applyNumberFormat="1" applyFont="1" applyFill="1" applyBorder="1" applyAlignment="1" applyProtection="1">
      <alignment horizontal="center"/>
    </xf>
    <xf numFmtId="0" fontId="16" fillId="2" borderId="8" xfId="3" applyNumberFormat="1" applyFont="1" applyFill="1" applyBorder="1" applyAlignment="1" applyProtection="1">
      <alignment horizontal="center"/>
    </xf>
    <xf numFmtId="0" fontId="11" fillId="5" borderId="18" xfId="3" applyNumberFormat="1" applyFont="1" applyFill="1" applyBorder="1" applyAlignment="1" applyProtection="1">
      <alignment horizontal="right"/>
    </xf>
    <xf numFmtId="0" fontId="11" fillId="5" borderId="19" xfId="3" applyNumberFormat="1" applyFont="1" applyFill="1" applyBorder="1" applyAlignment="1" applyProtection="1">
      <alignment horizontal="right"/>
    </xf>
    <xf numFmtId="0" fontId="4" fillId="0" borderId="0" xfId="2" applyFont="1" applyAlignment="1">
      <alignment horizontal="center" vertical="center" wrapText="1"/>
    </xf>
  </cellXfs>
  <cellStyles count="19">
    <cellStyle name="Millares 2 3" xfId="3" xr:uid="{00000000-0005-0000-0000-000000000000}"/>
    <cellStyle name="Moneda" xfId="5" builtinId="4"/>
    <cellStyle name="Moneda [0] 2" xfId="16" xr:uid="{00000000-0005-0000-0000-000002000000}"/>
    <cellStyle name="Moneda 2" xfId="4" xr:uid="{00000000-0005-0000-0000-000003000000}"/>
    <cellStyle name="Moneda 2 2" xfId="13" xr:uid="{00000000-0005-0000-0000-000004000000}"/>
    <cellStyle name="Normal" xfId="0" builtinId="0"/>
    <cellStyle name="Normal 10 10 2" xfId="14" xr:uid="{00000000-0005-0000-0000-000006000000}"/>
    <cellStyle name="Normal 12 3" xfId="9" xr:uid="{00000000-0005-0000-0000-000007000000}"/>
    <cellStyle name="Normal 18 2" xfId="8" xr:uid="{00000000-0005-0000-0000-000008000000}"/>
    <cellStyle name="Normal 2" xfId="7" xr:uid="{00000000-0005-0000-0000-000009000000}"/>
    <cellStyle name="Normal 2 10 2" xfId="2" xr:uid="{00000000-0005-0000-0000-00000A000000}"/>
    <cellStyle name="Normal 2 2" xfId="12" xr:uid="{00000000-0005-0000-0000-00000B000000}"/>
    <cellStyle name="Normal 2 2 2" xfId="11" xr:uid="{00000000-0005-0000-0000-00000C000000}"/>
    <cellStyle name="Normal 2 3 2 2 2" xfId="1" xr:uid="{00000000-0005-0000-0000-00000D000000}"/>
    <cellStyle name="Normal 2 5" xfId="10" xr:uid="{00000000-0005-0000-0000-00000E000000}"/>
    <cellStyle name="Normal 4" xfId="17" xr:uid="{00000000-0005-0000-0000-00000F000000}"/>
    <cellStyle name="Normal 5" xfId="15" xr:uid="{00000000-0005-0000-0000-000010000000}"/>
    <cellStyle name="Porcentaje" xfId="6" builtinId="5"/>
    <cellStyle name="Porcentaje 2" xfId="18" xr:uid="{00000000-0005-0000-0000-000013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185211</xdr:colOff>
      <xdr:row>0</xdr:row>
      <xdr:rowOff>105832</xdr:rowOff>
    </xdr:from>
    <xdr:to>
      <xdr:col>1</xdr:col>
      <xdr:colOff>1315132</xdr:colOff>
      <xdr:row>3</xdr:row>
      <xdr:rowOff>453902</xdr:rowOff>
    </xdr:to>
    <xdr:pic>
      <xdr:nvPicPr>
        <xdr:cNvPr id="3" name="Imagen 2">
          <a:extLst>
            <a:ext uri="{FF2B5EF4-FFF2-40B4-BE49-F238E27FC236}">
              <a16:creationId xmlns:a16="http://schemas.microsoft.com/office/drawing/2014/main" id="{3AD95DC5-27B8-4FCE-A269-A7956DC2CF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937" b="328"/>
        <a:stretch>
          <a:fillRect/>
        </a:stretch>
      </xdr:blipFill>
      <xdr:spPr>
        <a:xfrm>
          <a:off x="185211" y="105832"/>
          <a:ext cx="1796671" cy="8454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0</xdr:colOff>
      <xdr:row>922</xdr:row>
      <xdr:rowOff>0</xdr:rowOff>
    </xdr:from>
    <xdr:ext cx="304800" cy="304800"/>
    <xdr:sp macro="" textlink="">
      <xdr:nvSpPr>
        <xdr:cNvPr id="4" name="AutoShape 2">
          <a:extLst>
            <a:ext uri="{FF2B5EF4-FFF2-40B4-BE49-F238E27FC236}">
              <a16:creationId xmlns:a16="http://schemas.microsoft.com/office/drawing/2014/main" id="{E813859C-3E5E-4B7C-8281-DAC215B0773F}"/>
            </a:ext>
          </a:extLst>
        </xdr:cNvPr>
        <xdr:cNvSpPr>
          <a:spLocks noChangeAspect="1" noChangeArrowheads="1"/>
        </xdr:cNvSpPr>
      </xdr:nvSpPr>
      <xdr:spPr bwMode="auto">
        <a:xfrm>
          <a:off x="7038975" y="220275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922</xdr:row>
      <xdr:rowOff>0</xdr:rowOff>
    </xdr:from>
    <xdr:ext cx="304800" cy="304800"/>
    <xdr:sp macro="" textlink="">
      <xdr:nvSpPr>
        <xdr:cNvPr id="5" name="AutoShape 2">
          <a:extLst>
            <a:ext uri="{FF2B5EF4-FFF2-40B4-BE49-F238E27FC236}">
              <a16:creationId xmlns:a16="http://schemas.microsoft.com/office/drawing/2014/main" id="{D8F9AD82-2FEE-4F9C-A58F-4312D67D15D4}"/>
            </a:ext>
          </a:extLst>
        </xdr:cNvPr>
        <xdr:cNvSpPr>
          <a:spLocks noChangeAspect="1" noChangeArrowheads="1"/>
        </xdr:cNvSpPr>
      </xdr:nvSpPr>
      <xdr:spPr bwMode="auto">
        <a:xfrm>
          <a:off x="15803217" y="2508139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Users/danielagomeztobon/Documents/VIVA/Regal&#237;as/Magdalena%20Medio/Yond&#243;/Presupuesto/6m/Nasly/buzon/Users/Usuario/Desktop/Documents%20and%20Settings/Juan%20Arrubla/APU%20Secundaria%20Corvid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E/Para%20presupuesto/Documents%20and%20Settings/67370/Configuraci&#243;n%20local/Archivos%20temporales%20de%20Internet/Content.IE5/UOTNRVQZ/Presupuesto%20correigio%20nora%20morales(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gobantioquia-my.sharepoint.com/Users/ISAFLOW/Downloads/POE_ORIENTE_V1_(MEJORAMIENTO%2025CM)_%20(V1).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seproan-my.sharepoint.com/Users/Javier/Desktop/CRUCES/MIL%20MEJORAMIENTOS%2050-50%20(1-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vivagov-my.sharepoint.com/Users/santiago.lopez/Downloads/PLANTILLA_PRESUPUESTO_VIVIENDA_RURAL.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vivagov-my.sharepoint.com/Users/Usser/Downloads/Plantilla_Estructuraci&#243;n_Presupuestos_Municipios_V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gobantioquia-my.sharepoint.com/Users/USER/Downloads/PPTO-Suroeste-V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vivagov-my.sharepoint.com/personal/tecnologoplaneacion_viva_gov_co/Documents/Ppto_Def/20230328-Presupuesto-%20VNR%20La%20Union.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vivagov-my.sharepoint.com/Users/luis.ospina/OneDrive%20-%20VIVA%20-%20EMPRESA%20DE%20VIVIENDA%20DE%20ANTIOQUIA/Ppto_Def/20230314-Presupuesto-MV%20Caracol&#237;.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Maria%20Antonia/Desktop/VIVA/PRESUPUESTOS%20BA&#209;OS%20RURALES/20230516_PPT_ITUANGO_CL_22_2023.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vivagov-my.sharepoint.com/personal/tecnologoplaneacion_viva_gov_co/Documents/Luis%20Eduardo%20Ospina-VIVA/11-Regional%20UNIDOS-MV/Presupuesto/20220823-Cantidades%20de%20obra%20Reg.Unid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vivagov-my.sharepoint.com/Users/luis.ospina/OneDrive%20-%20VIVA%20-%20EMPRESA%20DE%20VIVIENDA%20DE%20ANTIOQUIA/Luis%20Eduardo%20Ospina-VIVA/2-La%20Uni&#243;n/2022080-Presupuesto%20General-%20La%20Uni&#243;n-V4.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vivagov-my.sharepoint.com/Users/bibiana.zuluaga/Downloads/Presupuesto-%20VNR_Ituango_24102022%20rev%20BZ.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gobantioquia-my.sharepoint.com/japarra/Documents%20and%20Settings/crendon.HMV/Local%20Settings/Temporary%20Internet%20Files/OLK3/859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BACKUP%20ANGELA\OBRAS\Casa%20Juanda\Presupuesto\20201115-Liquidacion%20Juan%20David%20Meza.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gobantioquia-my.sharepoint.com/PROYECTOS/DIRECTOS/MUNICIPIO%20DE%20SANTA%20FE/PRESUPUESTO/PRESUPUESTO%20PAVIMENTO%20SANTA%20FE_Versi&#243;n1.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lortega/Downloads/PRESUPUESTO%20ANDRES%20FELIPE%20MONDRAGON%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lortega/Desktop/PROGRAMAS%20MEJORAMIENTO%20DE%20VIVIENDA/ISVIMED/FORMATOS/APU%20SOCYA%20Mejoramiento%20de%20vivienda_180325.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53AB67C\AJUSTE_FINAL_20220819-Presupuesto-%20Regional%20MM.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seproan-my.sharepoint.com/personal/fernandaortega_serproan_net/Documents/DIAGNOSTICOS%20VIVA/ANDES/1-Cristian%20Andres%20Suarez%20Uribe/ID_01_PRESUPUESTO.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vivagov-my.sharepoint.com/Users/USUARIO/OneDrive%20-%20VIVA%20-%20EMPRESA%20DE%20VIVIENDA%20DE%20ANTIOQUIA/Luis%20Eduardo%20Ospina-VIVA/5-Occidente/Ajuste/20220816-Presupuesto%20VNR%20SGR%20OCCIDENTE-V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Flujo de inversion"/>
      <sheetName val="FOR2-CONSOR"/>
      <sheetName val="PPTO ADMINISTRATIVO 137.xls"/>
      <sheetName val="Tab_aux"/>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Listado"/>
      <sheetName val="SRN-005"/>
      <sheetName val="PRESUPUESTO LICITACIÓN SRN 001"/>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Precios."/>
      <sheetName val="Lista"/>
      <sheetName val="Hoja6"/>
      <sheetName val="EQUIPOS"/>
      <sheetName val="M.O."/>
      <sheetName val="MATERIALES"/>
      <sheetName val="RESUMEN MES MARZO"/>
      <sheetName val="DATBAND"/>
      <sheetName val="Lineas"/>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HE"/>
      <sheetName val="Localizaciones"/>
      <sheetName val="Datos"/>
      <sheetName val="Res-Accide-10"/>
      <sheetName val="SOPORTE ALC PLUVIAL"/>
      <sheetName val="SOPORTE "/>
      <sheetName val="Quadro-Orç. Resumo"/>
      <sheetName val="ESTRUCTURA"/>
      <sheetName val="ARQUITECTONICO PEAJE"/>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C SF GAVIONES"/>
      <sheetName val="g.g"/>
    </sheetNames>
    <sheetDataSet>
      <sheetData sheetId="0" refreshError="1">
        <row r="5">
          <cell r="E5">
            <v>1</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10">
          <cell r="M10">
            <v>1302940.7487084535</v>
          </cell>
        </row>
      </sheetData>
      <sheetData sheetId="46">
        <row r="10">
          <cell r="M10">
            <v>1302940.7487084535</v>
          </cell>
        </row>
      </sheetData>
      <sheetData sheetId="47">
        <row r="10">
          <cell r="M10">
            <v>1302940.7487084535</v>
          </cell>
        </row>
      </sheetData>
      <sheetData sheetId="48">
        <row r="10">
          <cell r="M10">
            <v>1302940.7487084535</v>
          </cell>
        </row>
      </sheetData>
      <sheetData sheetId="49">
        <row r="10">
          <cell r="M10">
            <v>1302940.7487084535</v>
          </cell>
        </row>
      </sheetData>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10">
          <cell r="M10">
            <v>1302940.7487084535</v>
          </cell>
        </row>
      </sheetData>
      <sheetData sheetId="73">
        <row r="6">
          <cell r="D6">
            <v>0</v>
          </cell>
        </row>
      </sheetData>
      <sheetData sheetId="74">
        <row r="10">
          <cell r="M10">
            <v>1302940.7487084535</v>
          </cell>
        </row>
      </sheetData>
      <sheetData sheetId="75">
        <row r="6">
          <cell r="D6">
            <v>0</v>
          </cell>
        </row>
      </sheetData>
      <sheetData sheetId="76"/>
      <sheetData sheetId="77">
        <row r="6">
          <cell r="D6">
            <v>0</v>
          </cell>
        </row>
      </sheetData>
      <sheetData sheetId="78">
        <row r="10">
          <cell r="M10">
            <v>1302940.7487084535</v>
          </cell>
        </row>
      </sheetData>
      <sheetData sheetId="79">
        <row r="10">
          <cell r="M10">
            <v>1302940.7487084535</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sheetData sheetId="86">
        <row r="6">
          <cell r="D6">
            <v>0</v>
          </cell>
        </row>
      </sheetData>
      <sheetData sheetId="87"/>
      <sheetData sheetId="88"/>
      <sheetData sheetId="89"/>
      <sheetData sheetId="90">
        <row r="6">
          <cell r="D6">
            <v>0</v>
          </cell>
        </row>
      </sheetData>
      <sheetData sheetId="91">
        <row r="10">
          <cell r="M10">
            <v>1302940.7487084535</v>
          </cell>
        </row>
      </sheetData>
      <sheetData sheetId="92"/>
      <sheetData sheetId="93"/>
      <sheetData sheetId="94">
        <row r="6">
          <cell r="D6">
            <v>0</v>
          </cell>
        </row>
      </sheetData>
      <sheetData sheetId="95"/>
      <sheetData sheetId="96"/>
      <sheetData sheetId="97"/>
      <sheetData sheetId="98">
        <row r="6">
          <cell r="D6">
            <v>0</v>
          </cell>
        </row>
      </sheetData>
      <sheetData sheetId="99"/>
      <sheetData sheetId="100"/>
      <sheetData sheetId="101">
        <row r="6">
          <cell r="D6">
            <v>0</v>
          </cell>
        </row>
      </sheetData>
      <sheetData sheetId="102">
        <row r="6">
          <cell r="D6">
            <v>0</v>
          </cell>
        </row>
      </sheetData>
      <sheetData sheetId="103">
        <row r="10">
          <cell r="M10">
            <v>1302940.7487084535</v>
          </cell>
        </row>
      </sheetData>
      <sheetData sheetId="104"/>
      <sheetData sheetId="105">
        <row r="6">
          <cell r="D6">
            <v>0</v>
          </cell>
        </row>
      </sheetData>
      <sheetData sheetId="106"/>
      <sheetData sheetId="107"/>
      <sheetData sheetId="108"/>
      <sheetData sheetId="109">
        <row r="6">
          <cell r="D6">
            <v>0</v>
          </cell>
        </row>
      </sheetData>
      <sheetData sheetId="110"/>
      <sheetData sheetId="111"/>
      <sheetData sheetId="112"/>
      <sheetData sheetId="113">
        <row r="6">
          <cell r="D6">
            <v>0</v>
          </cell>
        </row>
      </sheetData>
      <sheetData sheetId="114"/>
      <sheetData sheetId="115"/>
      <sheetData sheetId="116">
        <row r="10">
          <cell r="M10">
            <v>1302940.7487084535</v>
          </cell>
        </row>
      </sheetData>
      <sheetData sheetId="117">
        <row r="6">
          <cell r="D6">
            <v>0</v>
          </cell>
        </row>
      </sheetData>
      <sheetData sheetId="118"/>
      <sheetData sheetId="119"/>
      <sheetData sheetId="120"/>
      <sheetData sheetId="121">
        <row r="6">
          <cell r="D6">
            <v>0</v>
          </cell>
        </row>
      </sheetData>
      <sheetData sheetId="122"/>
      <sheetData sheetId="123">
        <row r="6">
          <cell r="D6">
            <v>0</v>
          </cell>
        </row>
      </sheetData>
      <sheetData sheetId="124"/>
      <sheetData sheetId="125">
        <row r="6">
          <cell r="D6">
            <v>0</v>
          </cell>
        </row>
      </sheetData>
      <sheetData sheetId="126">
        <row r="10">
          <cell r="M10">
            <v>1302940.7487084535</v>
          </cell>
        </row>
      </sheetData>
      <sheetData sheetId="127">
        <row r="6">
          <cell r="D6">
            <v>0</v>
          </cell>
        </row>
      </sheetData>
      <sheetData sheetId="128"/>
      <sheetData sheetId="129">
        <row r="10">
          <cell r="M10">
            <v>1302940.7487084535</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sheetData sheetId="136">
        <row r="6">
          <cell r="D6">
            <v>43666</v>
          </cell>
        </row>
      </sheetData>
      <sheetData sheetId="137">
        <row r="10">
          <cell r="M10">
            <v>1302940.7487084535</v>
          </cell>
        </row>
      </sheetData>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sheetData sheetId="160"/>
      <sheetData sheetId="161">
        <row r="6">
          <cell r="D6">
            <v>0</v>
          </cell>
        </row>
      </sheetData>
      <sheetData sheetId="162">
        <row r="6">
          <cell r="D6">
            <v>0</v>
          </cell>
        </row>
      </sheetData>
      <sheetData sheetId="163">
        <row r="10">
          <cell r="M10">
            <v>1302940.7487084535</v>
          </cell>
        </row>
      </sheetData>
      <sheetData sheetId="164">
        <row r="10">
          <cell r="M10">
            <v>1302940.7487084535</v>
          </cell>
        </row>
      </sheetData>
      <sheetData sheetId="165"/>
      <sheetData sheetId="166"/>
      <sheetData sheetId="167">
        <row r="6">
          <cell r="D6">
            <v>43666</v>
          </cell>
        </row>
      </sheetData>
      <sheetData sheetId="168">
        <row r="6">
          <cell r="D6">
            <v>43666</v>
          </cell>
        </row>
      </sheetData>
      <sheetData sheetId="169"/>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sheetData sheetId="182"/>
      <sheetData sheetId="183"/>
      <sheetData sheetId="184"/>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sheetData sheetId="225"/>
      <sheetData sheetId="226"/>
      <sheetData sheetId="227">
        <row r="6">
          <cell r="D6">
            <v>43666</v>
          </cell>
        </row>
      </sheetData>
      <sheetData sheetId="228">
        <row r="10">
          <cell r="M10">
            <v>1302940.7487084535</v>
          </cell>
        </row>
      </sheetData>
      <sheetData sheetId="229">
        <row r="6">
          <cell r="D6">
            <v>0</v>
          </cell>
        </row>
      </sheetData>
      <sheetData sheetId="230"/>
      <sheetData sheetId="231">
        <row r="6">
          <cell r="D6">
            <v>0</v>
          </cell>
        </row>
      </sheetData>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refreshError="1"/>
      <sheetData sheetId="247" refreshError="1"/>
      <sheetData sheetId="248" refreshError="1"/>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row r="6">
          <cell r="D6">
            <v>5433063.0008333344</v>
          </cell>
        </row>
      </sheetData>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ow r="6">
          <cell r="D6" t="str">
            <v>CONSORCIO CONSTRUCTOR PACIFICO 3</v>
          </cell>
        </row>
      </sheetData>
      <sheetData sheetId="438"/>
      <sheetData sheetId="439"/>
      <sheetData sheetId="440"/>
      <sheetData sheetId="441">
        <row r="6">
          <cell r="D6" t="str">
            <v>CONSORCIO CONSTRUCTOR PACIFICO 3</v>
          </cell>
        </row>
      </sheetData>
      <sheetData sheetId="442">
        <row r="6">
          <cell r="D6">
            <v>5433063.0008333344</v>
          </cell>
        </row>
      </sheetData>
      <sheetData sheetId="443">
        <row r="6">
          <cell r="D6">
            <v>5433063.0008333344</v>
          </cell>
        </row>
      </sheetData>
      <sheetData sheetId="444"/>
      <sheetData sheetId="445"/>
      <sheetData sheetId="446">
        <row r="6">
          <cell r="D6">
            <v>5433063.0008333344</v>
          </cell>
        </row>
      </sheetData>
      <sheetData sheetId="447">
        <row r="6">
          <cell r="D6">
            <v>5433063.0008333344</v>
          </cell>
        </row>
      </sheetData>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ow r="6">
          <cell r="D6" t="str">
            <v>CONSORCIO CONSTRUCTOR PACIFICO 3</v>
          </cell>
        </row>
      </sheetData>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ow r="6">
          <cell r="D6">
            <v>0</v>
          </cell>
        </row>
      </sheetData>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4"/>
      <sheetName val="MPC3I2"/>
      <sheetName val="MPC3I3"/>
      <sheetName val="MPC3I5"/>
      <sheetName val="MPC3I1"/>
      <sheetName val="Hoja1"/>
      <sheetName val="Hoja2"/>
      <sheetName val="Hoja3"/>
      <sheetName val="Presupuesto"/>
      <sheetName val="presupuesto_via_distribuidora"/>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Hoja2"/>
      <sheetName val="Presupuesto correigio nora mora"/>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Equipo"/>
      <sheetName val="otr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Hoja3"/>
      <sheetName val="MI"/>
      <sheetName val="INSUMOS"/>
      <sheetName val="MAQUILA"/>
      <sheetName val="SUBPRODUCTOS"/>
      <sheetName val="MPC3I4"/>
    </sheetNames>
    <sheetDataSet>
      <sheetData sheetId="0" refreshError="1"/>
      <sheetData sheetId="1" refreshError="1"/>
      <sheetData sheetId="2" refreshError="1"/>
      <sheetData sheetId="3" refreshError="1"/>
      <sheetData sheetId="4"/>
      <sheetData sheetId="5" refreshError="1"/>
      <sheetData sheetId="6">
        <row r="1">
          <cell r="C1">
            <v>0</v>
          </cell>
        </row>
      </sheetData>
      <sheetData sheetId="7">
        <row r="1">
          <cell r="C1">
            <v>0</v>
          </cell>
        </row>
      </sheetData>
      <sheetData sheetId="8">
        <row r="1">
          <cell r="C1">
            <v>0</v>
          </cell>
        </row>
      </sheetData>
      <sheetData sheetId="9">
        <row r="1">
          <cell r="C1">
            <v>0</v>
          </cell>
        </row>
      </sheetData>
      <sheetData sheetId="10">
        <row r="1">
          <cell r="C1">
            <v>0</v>
          </cell>
        </row>
      </sheetData>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ow r="1">
          <cell r="C1">
            <v>0</v>
          </cell>
        </row>
      </sheetData>
      <sheetData sheetId="30" refreshError="1"/>
      <sheetData sheetId="31" refreshError="1"/>
      <sheetData sheetId="32" refreshError="1"/>
      <sheetData sheetId="33" refreshError="1"/>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sheetData sheetId="40"/>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1">
          <cell r="C1">
            <v>0</v>
          </cell>
        </row>
      </sheetData>
      <sheetData sheetId="79"/>
      <sheetData sheetId="80"/>
      <sheetData sheetId="81"/>
      <sheetData sheetId="82"/>
      <sheetData sheetId="83"/>
      <sheetData sheetId="84"/>
      <sheetData sheetId="85"/>
      <sheetData sheetId="86">
        <row r="1">
          <cell r="C1">
            <v>0</v>
          </cell>
        </row>
      </sheetData>
      <sheetData sheetId="87"/>
      <sheetData sheetId="88"/>
      <sheetData sheetId="89">
        <row r="1">
          <cell r="C1">
            <v>0</v>
          </cell>
        </row>
      </sheetData>
      <sheetData sheetId="90"/>
      <sheetData sheetId="91"/>
      <sheetData sheetId="92"/>
      <sheetData sheetId="93"/>
      <sheetData sheetId="94">
        <row r="1">
          <cell r="C1">
            <v>0</v>
          </cell>
        </row>
      </sheetData>
      <sheetData sheetId="95">
        <row r="1">
          <cell r="C1">
            <v>0</v>
          </cell>
        </row>
      </sheetData>
      <sheetData sheetId="96"/>
      <sheetData sheetId="97">
        <row r="1">
          <cell r="C1">
            <v>0</v>
          </cell>
        </row>
      </sheetData>
      <sheetData sheetId="98"/>
      <sheetData sheetId="99"/>
      <sheetData sheetId="100"/>
      <sheetData sheetId="101"/>
      <sheetData sheetId="102"/>
      <sheetData sheetId="103"/>
      <sheetData sheetId="104">
        <row r="1">
          <cell r="C1">
            <v>0</v>
          </cell>
        </row>
      </sheetData>
      <sheetData sheetId="105"/>
      <sheetData sheetId="106">
        <row r="1">
          <cell r="C1">
            <v>0</v>
          </cell>
        </row>
      </sheetData>
      <sheetData sheetId="107"/>
      <sheetData sheetId="108">
        <row r="1">
          <cell r="C1">
            <v>0</v>
          </cell>
        </row>
      </sheetData>
      <sheetData sheetId="109"/>
      <sheetData sheetId="110"/>
      <sheetData sheetId="111"/>
      <sheetData sheetId="112"/>
      <sheetData sheetId="113" refreshError="1"/>
      <sheetData sheetId="114" refreshError="1"/>
      <sheetData sheetId="115" refreshError="1"/>
      <sheetData sheetId="116" refreshError="1"/>
      <sheetData sheetId="1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DULAS"/>
      <sheetName val="PERSONAS"/>
      <sheetName val="FORMATO DILIGENCIADO"/>
      <sheetName val="AFILIADOS"/>
      <sheetName val="BENEFICIARIOS"/>
      <sheetName val="BENEFICIARIOS ARRIENDO"/>
      <sheetName val="CATASTROS"/>
      <sheetName val="NUEVO HOGAR"/>
      <sheetName val="FECHAS DE CORTE"/>
      <sheetName val="SISBEN"/>
      <sheetName val="UNIDOS"/>
      <sheetName val="REUNIDOS"/>
    </sheetNames>
    <sheetDataSet>
      <sheetData sheetId="0"/>
      <sheetData sheetId="1">
        <row r="1">
          <cell r="A1" t="str">
            <v>Cedula</v>
          </cell>
          <cell r="B1" t="str">
            <v>Nombre</v>
          </cell>
          <cell r="C1" t="str">
            <v>Cedula</v>
          </cell>
          <cell r="D1" t="str">
            <v>Vereda</v>
          </cell>
          <cell r="E1" t="str">
            <v>Celular</v>
          </cell>
          <cell r="F1" t="str">
            <v>Escritura</v>
          </cell>
          <cell r="G1" t="str">
            <v>Compra venta</v>
          </cell>
          <cell r="H1" t="str">
            <v xml:space="preserve">Sana posecion </v>
          </cell>
          <cell r="I1" t="str">
            <v>Grupo familiar</v>
          </cell>
          <cell r="J1" t="str">
            <v>Piso</v>
          </cell>
          <cell r="K1" t="str">
            <v>Cocina</v>
          </cell>
          <cell r="L1" t="str">
            <v>Alcoba</v>
          </cell>
          <cell r="M1" t="str">
            <v>Techo</v>
          </cell>
          <cell r="N1" t="str">
            <v>unisafa</v>
          </cell>
          <cell r="O1" t="str">
            <v>Fogon</v>
          </cell>
          <cell r="P1" t="str">
            <v>Ubicación</v>
          </cell>
          <cell r="Q1" t="str">
            <v>Observacion</v>
          </cell>
          <cell r="R1" t="str">
            <v>LIDER</v>
          </cell>
          <cell r="S1" t="str">
            <v>SUBSIDIO</v>
          </cell>
          <cell r="T1" t="str">
            <v>VIVIENDA</v>
          </cell>
          <cell r="U1" t="str">
            <v>Ficha sisben</v>
          </cell>
          <cell r="V1" t="str">
            <v>hogar</v>
          </cell>
          <cell r="W1" t="str">
            <v>Cabeza de familia</v>
          </cell>
        </row>
        <row r="2">
          <cell r="A2">
            <v>3391197</v>
          </cell>
          <cell r="B2" t="str">
            <v>Hernan de Jesus Hernandez Lopez</v>
          </cell>
          <cell r="C2">
            <v>3391197</v>
          </cell>
          <cell r="D2" t="str">
            <v>Urbano</v>
          </cell>
          <cell r="E2">
            <v>3107399635</v>
          </cell>
          <cell r="J2" t="str">
            <v>X</v>
          </cell>
          <cell r="S2" t="e">
            <v>#N/A</v>
          </cell>
          <cell r="T2" t="e">
            <v>#N/A</v>
          </cell>
        </row>
        <row r="3">
          <cell r="A3">
            <v>3430426</v>
          </cell>
          <cell r="B3" t="str">
            <v xml:space="preserve">Libardo Antonio Castañeda Rodriguez </v>
          </cell>
          <cell r="C3">
            <v>3430426</v>
          </cell>
          <cell r="D3" t="str">
            <v>Loma de la alegria</v>
          </cell>
          <cell r="E3">
            <v>3147051022</v>
          </cell>
          <cell r="J3" t="str">
            <v>X</v>
          </cell>
          <cell r="S3" t="str">
            <v xml:space="preserve">inurbe </v>
          </cell>
          <cell r="T3">
            <v>1</v>
          </cell>
        </row>
        <row r="4">
          <cell r="A4">
            <v>3430222</v>
          </cell>
          <cell r="B4" t="str">
            <v>HERIBERTO GOMEZ LOAIZA</v>
          </cell>
          <cell r="C4">
            <v>3430222</v>
          </cell>
          <cell r="D4" t="str">
            <v>Macanal</v>
          </cell>
          <cell r="E4">
            <v>3137941211</v>
          </cell>
          <cell r="J4" t="str">
            <v>X</v>
          </cell>
          <cell r="Q4" t="str">
            <v>Visitar</v>
          </cell>
          <cell r="S4" t="e">
            <v>#N/A</v>
          </cell>
          <cell r="T4">
            <v>1</v>
          </cell>
        </row>
        <row r="5">
          <cell r="A5">
            <v>3430406</v>
          </cell>
          <cell r="B5" t="str">
            <v>Reynaldo Antonio Durango usuga</v>
          </cell>
          <cell r="C5">
            <v>3430406</v>
          </cell>
          <cell r="D5" t="str">
            <v>La lloroncita</v>
          </cell>
          <cell r="F5" t="str">
            <v>X</v>
          </cell>
          <cell r="I5" t="str">
            <v>El y un hijo</v>
          </cell>
          <cell r="J5" t="str">
            <v>X</v>
          </cell>
          <cell r="P5" t="str">
            <v>Por los pinos arriba</v>
          </cell>
          <cell r="Q5" t="str">
            <v>Necesita un baño</v>
          </cell>
          <cell r="R5" t="str">
            <v>Humbeiro</v>
          </cell>
          <cell r="S5" t="e">
            <v>#N/A</v>
          </cell>
          <cell r="T5">
            <v>0</v>
          </cell>
        </row>
        <row r="6">
          <cell r="A6">
            <v>3430730</v>
          </cell>
          <cell r="B6" t="str">
            <v>honorio Holguín</v>
          </cell>
          <cell r="C6">
            <v>3430730</v>
          </cell>
          <cell r="D6" t="str">
            <v>San Luis del Cafe</v>
          </cell>
          <cell r="E6" t="str">
            <v>313 846 3546</v>
          </cell>
          <cell r="J6" t="str">
            <v>x</v>
          </cell>
          <cell r="S6" t="e">
            <v>#N/A</v>
          </cell>
          <cell r="T6" t="e">
            <v>#N/A</v>
          </cell>
        </row>
        <row r="7">
          <cell r="A7">
            <v>1035304027</v>
          </cell>
          <cell r="B7" t="str">
            <v>Edwin Alonso Velasquez Dias</v>
          </cell>
          <cell r="C7">
            <v>1035304027</v>
          </cell>
          <cell r="D7" t="str">
            <v>Paso arriba</v>
          </cell>
          <cell r="E7">
            <v>3126092775</v>
          </cell>
          <cell r="J7" t="str">
            <v>x</v>
          </cell>
          <cell r="Q7" t="str">
            <v>DOBLE PREDIO</v>
          </cell>
          <cell r="R7" t="str">
            <v>PRESIDENTE</v>
          </cell>
          <cell r="S7" t="e">
            <v>#N/A</v>
          </cell>
          <cell r="T7">
            <v>0</v>
          </cell>
        </row>
        <row r="8">
          <cell r="A8">
            <v>3431087</v>
          </cell>
          <cell r="B8" t="str">
            <v>bernardo de jesus oliveros oliveros</v>
          </cell>
          <cell r="C8">
            <v>3431087</v>
          </cell>
          <cell r="D8" t="str">
            <v>mediacuesta</v>
          </cell>
          <cell r="E8">
            <v>3116460514</v>
          </cell>
          <cell r="J8" t="str">
            <v>x</v>
          </cell>
          <cell r="S8" t="e">
            <v>#N/A</v>
          </cell>
          <cell r="T8">
            <v>1</v>
          </cell>
        </row>
        <row r="9">
          <cell r="A9">
            <v>3431149</v>
          </cell>
          <cell r="B9" t="str">
            <v xml:space="preserve">Carlos Jose Guisao </v>
          </cell>
          <cell r="C9">
            <v>3431149</v>
          </cell>
          <cell r="D9" t="str">
            <v xml:space="preserve">Alto del roble </v>
          </cell>
          <cell r="J9" t="str">
            <v>X</v>
          </cell>
          <cell r="S9" t="e">
            <v>#N/A</v>
          </cell>
          <cell r="T9">
            <v>1</v>
          </cell>
        </row>
        <row r="10">
          <cell r="A10">
            <v>3431203</v>
          </cell>
          <cell r="B10" t="str">
            <v>Julio Cesar  Graciano</v>
          </cell>
          <cell r="C10">
            <v>3431203</v>
          </cell>
          <cell r="D10" t="str">
            <v>Urbano</v>
          </cell>
          <cell r="E10">
            <v>3135644817</v>
          </cell>
          <cell r="J10" t="str">
            <v>x</v>
          </cell>
          <cell r="P10" t="str">
            <v>Barrio los balsos</v>
          </cell>
          <cell r="S10" t="e">
            <v>#N/A</v>
          </cell>
          <cell r="T10" t="e">
            <v>#N/A</v>
          </cell>
        </row>
        <row r="11">
          <cell r="A11">
            <v>3431314</v>
          </cell>
          <cell r="B11" t="str">
            <v xml:space="preserve">Luis Eduardo Bedoya </v>
          </cell>
          <cell r="C11">
            <v>3431314</v>
          </cell>
          <cell r="D11" t="str">
            <v xml:space="preserve">Alto del roble </v>
          </cell>
          <cell r="E11">
            <v>3173183949</v>
          </cell>
          <cell r="J11" t="str">
            <v>X</v>
          </cell>
          <cell r="S11" t="e">
            <v>#N/A</v>
          </cell>
          <cell r="T11" t="e">
            <v>#N/A</v>
          </cell>
        </row>
        <row r="12">
          <cell r="A12">
            <v>7486394</v>
          </cell>
          <cell r="B12" t="str">
            <v>Eulogio Velasquez Ayala</v>
          </cell>
          <cell r="C12">
            <v>7486394</v>
          </cell>
          <cell r="D12" t="str">
            <v>La Escalera</v>
          </cell>
          <cell r="E12">
            <v>3136548178</v>
          </cell>
          <cell r="G12" t="str">
            <v>x</v>
          </cell>
          <cell r="J12" t="str">
            <v>x</v>
          </cell>
          <cell r="S12" t="e">
            <v>#N/A</v>
          </cell>
          <cell r="T12">
            <v>1</v>
          </cell>
        </row>
        <row r="13">
          <cell r="A13">
            <v>4378086</v>
          </cell>
          <cell r="B13" t="str">
            <v>maria josefina hernandes benitez</v>
          </cell>
          <cell r="C13">
            <v>4378086</v>
          </cell>
          <cell r="D13" t="str">
            <v xml:space="preserve">el madero </v>
          </cell>
          <cell r="E13">
            <v>3215373646</v>
          </cell>
          <cell r="J13" t="str">
            <v>x</v>
          </cell>
          <cell r="S13" t="e">
            <v>#N/A</v>
          </cell>
          <cell r="T13" t="e">
            <v>#N/A</v>
          </cell>
        </row>
        <row r="14">
          <cell r="A14">
            <v>21580044</v>
          </cell>
          <cell r="B14" t="str">
            <v>Ana Joaquina Hidalgo</v>
          </cell>
          <cell r="C14">
            <v>21580044</v>
          </cell>
          <cell r="D14" t="str">
            <v>Urbano</v>
          </cell>
          <cell r="E14">
            <v>3226747595</v>
          </cell>
          <cell r="J14" t="str">
            <v>x</v>
          </cell>
          <cell r="P14" t="str">
            <v>Barrio los balsos</v>
          </cell>
          <cell r="S14" t="e">
            <v>#N/A</v>
          </cell>
          <cell r="T14" t="e">
            <v>#N/A</v>
          </cell>
        </row>
        <row r="15">
          <cell r="A15">
            <v>21580453</v>
          </cell>
          <cell r="B15" t="str">
            <v>Roselia Tangarife</v>
          </cell>
          <cell r="C15">
            <v>21580453</v>
          </cell>
          <cell r="D15" t="str">
            <v>La loma San Pascual</v>
          </cell>
          <cell r="J15" t="str">
            <v>x</v>
          </cell>
          <cell r="S15" t="e">
            <v>#N/A</v>
          </cell>
          <cell r="T15">
            <v>1</v>
          </cell>
        </row>
        <row r="16">
          <cell r="A16">
            <v>21593092</v>
          </cell>
          <cell r="B16" t="str">
            <v>Aide Carbajal</v>
          </cell>
          <cell r="C16">
            <v>21593092</v>
          </cell>
          <cell r="D16" t="str">
            <v>Insor</v>
          </cell>
          <cell r="E16">
            <v>3216078210</v>
          </cell>
          <cell r="J16" t="str">
            <v>x</v>
          </cell>
          <cell r="S16" t="e">
            <v>#N/A</v>
          </cell>
          <cell r="T16" t="e">
            <v>#N/A</v>
          </cell>
        </row>
        <row r="17">
          <cell r="A17">
            <v>21609743</v>
          </cell>
          <cell r="B17" t="str">
            <v>Maria Graciela David</v>
          </cell>
          <cell r="C17">
            <v>21609743</v>
          </cell>
          <cell r="D17" t="str">
            <v xml:space="preserve">Alto del roble </v>
          </cell>
          <cell r="E17">
            <v>3128527468</v>
          </cell>
          <cell r="J17" t="str">
            <v>X</v>
          </cell>
          <cell r="S17" t="e">
            <v>#N/A</v>
          </cell>
          <cell r="T17">
            <v>0</v>
          </cell>
        </row>
        <row r="18">
          <cell r="A18">
            <v>21610450</v>
          </cell>
          <cell r="B18" t="str">
            <v xml:space="preserve">Martha Ines Vasquez Vega </v>
          </cell>
          <cell r="C18">
            <v>21610450</v>
          </cell>
          <cell r="D18" t="str">
            <v>La Escalera</v>
          </cell>
          <cell r="E18">
            <v>3205159351</v>
          </cell>
          <cell r="F18" t="str">
            <v>x</v>
          </cell>
          <cell r="J18" t="str">
            <v>x</v>
          </cell>
          <cell r="S18" t="str">
            <v xml:space="preserve">inurbe </v>
          </cell>
          <cell r="T18">
            <v>1</v>
          </cell>
        </row>
        <row r="19">
          <cell r="A19">
            <v>43780654</v>
          </cell>
          <cell r="B19" t="str">
            <v>Marta Isabel Quintero David</v>
          </cell>
          <cell r="C19">
            <v>43780654</v>
          </cell>
          <cell r="D19" t="str">
            <v>Paso Arriba</v>
          </cell>
          <cell r="E19">
            <v>3127778989</v>
          </cell>
          <cell r="N19" t="str">
            <v>x</v>
          </cell>
          <cell r="P19" t="str">
            <v>PARTE BAJA</v>
          </cell>
          <cell r="Q19" t="str">
            <v>DOBLE PREDIO</v>
          </cell>
          <cell r="R19" t="str">
            <v>PRESIDENTE</v>
          </cell>
          <cell r="S19" t="e">
            <v>#N/A</v>
          </cell>
          <cell r="T19">
            <v>0</v>
          </cell>
        </row>
        <row r="20">
          <cell r="A20">
            <v>21609567</v>
          </cell>
          <cell r="B20" t="str">
            <v>Marta de Jesus Usuga Tangarife</v>
          </cell>
          <cell r="C20">
            <v>21609567</v>
          </cell>
          <cell r="D20" t="str">
            <v>Urbano</v>
          </cell>
          <cell r="E20">
            <v>3043250069</v>
          </cell>
          <cell r="J20" t="str">
            <v>X</v>
          </cell>
          <cell r="S20" t="e">
            <v>#N/A</v>
          </cell>
          <cell r="T20" t="e">
            <v>#N/A</v>
          </cell>
        </row>
        <row r="21">
          <cell r="A21">
            <v>21609798</v>
          </cell>
          <cell r="B21" t="str">
            <v>Martha Geniver Oquendo Ruiz</v>
          </cell>
          <cell r="C21">
            <v>21609798</v>
          </cell>
          <cell r="D21" t="str">
            <v>Buenos Aires</v>
          </cell>
          <cell r="E21">
            <v>3195096225</v>
          </cell>
          <cell r="J21" t="str">
            <v>x</v>
          </cell>
          <cell r="S21" t="e">
            <v>#N/A</v>
          </cell>
          <cell r="T21">
            <v>1</v>
          </cell>
        </row>
        <row r="22">
          <cell r="A22">
            <v>21610145</v>
          </cell>
          <cell r="B22" t="str">
            <v>Aura Aminta Uribe Lopez</v>
          </cell>
          <cell r="C22">
            <v>21610145</v>
          </cell>
          <cell r="D22" t="str">
            <v>Urbano</v>
          </cell>
          <cell r="E22">
            <v>3147125582</v>
          </cell>
          <cell r="J22" t="str">
            <v>X</v>
          </cell>
          <cell r="S22" t="e">
            <v>#N/A</v>
          </cell>
          <cell r="T22" t="e">
            <v>#N/A</v>
          </cell>
        </row>
        <row r="23">
          <cell r="A23">
            <v>1035302893</v>
          </cell>
          <cell r="B23" t="str">
            <v>Uriel Esteban Manco Valencia</v>
          </cell>
          <cell r="C23">
            <v>1035302893</v>
          </cell>
          <cell r="D23" t="str">
            <v>Paso Arriba</v>
          </cell>
          <cell r="O23" t="str">
            <v>X</v>
          </cell>
          <cell r="Q23" t="str">
            <v>DOBLE PREDIO</v>
          </cell>
          <cell r="S23" t="e">
            <v>#N/A</v>
          </cell>
          <cell r="T23">
            <v>0</v>
          </cell>
        </row>
        <row r="24">
          <cell r="A24">
            <v>21610680</v>
          </cell>
          <cell r="B24" t="str">
            <v>Ana Liria Graciano Carmona</v>
          </cell>
          <cell r="C24">
            <v>21610680</v>
          </cell>
          <cell r="D24" t="str">
            <v xml:space="preserve">Alto del roble </v>
          </cell>
          <cell r="E24">
            <v>3128114492</v>
          </cell>
          <cell r="J24" t="str">
            <v>X</v>
          </cell>
          <cell r="S24" t="e">
            <v>#N/A</v>
          </cell>
          <cell r="T24">
            <v>1</v>
          </cell>
        </row>
        <row r="25">
          <cell r="A25">
            <v>21612322</v>
          </cell>
          <cell r="B25" t="str">
            <v>Emma Dora Arango</v>
          </cell>
          <cell r="C25">
            <v>21612322</v>
          </cell>
          <cell r="D25" t="str">
            <v>La Palomera</v>
          </cell>
          <cell r="E25" t="str">
            <v>3162793906   3148782039</v>
          </cell>
          <cell r="J25" t="str">
            <v>x</v>
          </cell>
          <cell r="Q25" t="str">
            <v>viegncia anterior</v>
          </cell>
          <cell r="S25" t="str">
            <v xml:space="preserve">inurbe </v>
          </cell>
          <cell r="T25" t="e">
            <v>#N/A</v>
          </cell>
        </row>
        <row r="26">
          <cell r="A26">
            <v>21610719</v>
          </cell>
          <cell r="B26" t="str">
            <v>Argemira Manco</v>
          </cell>
          <cell r="C26">
            <v>21610719</v>
          </cell>
          <cell r="D26" t="str">
            <v>Bellavista</v>
          </cell>
          <cell r="E26">
            <v>3508763294</v>
          </cell>
          <cell r="J26" t="str">
            <v>x</v>
          </cell>
          <cell r="S26" t="e">
            <v>#N/A</v>
          </cell>
          <cell r="T26" t="e">
            <v>#N/A</v>
          </cell>
        </row>
        <row r="27">
          <cell r="A27">
            <v>21610719</v>
          </cell>
          <cell r="B27" t="str">
            <v>Argemira Manco</v>
          </cell>
          <cell r="C27">
            <v>21610719</v>
          </cell>
          <cell r="D27" t="str">
            <v>Bellavista</v>
          </cell>
          <cell r="E27">
            <v>3508763294</v>
          </cell>
          <cell r="J27" t="str">
            <v>x</v>
          </cell>
          <cell r="S27" t="e">
            <v>#N/A</v>
          </cell>
          <cell r="T27" t="e">
            <v>#N/A</v>
          </cell>
        </row>
        <row r="28">
          <cell r="A28">
            <v>21611070</v>
          </cell>
          <cell r="B28" t="str">
            <v>Piedad de Jesus  Tangarife</v>
          </cell>
          <cell r="C28">
            <v>21611070</v>
          </cell>
          <cell r="D28" t="str">
            <v>Urbano</v>
          </cell>
          <cell r="E28">
            <v>3136213992</v>
          </cell>
          <cell r="F28" t="str">
            <v>x</v>
          </cell>
          <cell r="I28" t="str">
            <v>Jefe de hogar, Madre, Dos hijos y hermano</v>
          </cell>
          <cell r="J28" t="str">
            <v>x</v>
          </cell>
          <cell r="P28" t="str">
            <v>Vereda mediacuesta</v>
          </cell>
          <cell r="Q28" t="str">
            <v xml:space="preserve">La madre y la hermana tienen dificultades para caminar </v>
          </cell>
          <cell r="S28" t="e">
            <v>#N/A</v>
          </cell>
          <cell r="T28">
            <v>1</v>
          </cell>
        </row>
        <row r="29">
          <cell r="A29">
            <v>21611401</v>
          </cell>
          <cell r="B29" t="str">
            <v>Maria Rocio Goez Goez</v>
          </cell>
          <cell r="C29">
            <v>21611401</v>
          </cell>
          <cell r="D29" t="str">
            <v>El canelo</v>
          </cell>
          <cell r="E29">
            <v>3116534619</v>
          </cell>
          <cell r="J29" t="str">
            <v>x</v>
          </cell>
          <cell r="S29" t="e">
            <v>#N/A</v>
          </cell>
          <cell r="T29" t="e">
            <v>#N/A</v>
          </cell>
        </row>
        <row r="30">
          <cell r="A30">
            <v>21611877</v>
          </cell>
          <cell r="B30" t="str">
            <v xml:space="preserve">carmen lucia ospina de montoya </v>
          </cell>
          <cell r="C30">
            <v>21611877</v>
          </cell>
          <cell r="D30" t="str">
            <v xml:space="preserve">versalles </v>
          </cell>
          <cell r="E30">
            <v>8564336</v>
          </cell>
          <cell r="J30" t="str">
            <v>x</v>
          </cell>
          <cell r="S30" t="e">
            <v>#N/A</v>
          </cell>
          <cell r="T30" t="e">
            <v>#N/A</v>
          </cell>
        </row>
        <row r="31">
          <cell r="A31">
            <v>39295184</v>
          </cell>
          <cell r="B31" t="str">
            <v>Alicia de Jesus Uribe Uribe</v>
          </cell>
          <cell r="C31">
            <v>39295184</v>
          </cell>
          <cell r="D31" t="str">
            <v>Urbano</v>
          </cell>
          <cell r="E31">
            <v>3117817133</v>
          </cell>
          <cell r="J31" t="str">
            <v>X</v>
          </cell>
          <cell r="S31" t="str">
            <v>fondo nacional de vivienda</v>
          </cell>
          <cell r="T31">
            <v>0</v>
          </cell>
        </row>
        <row r="32">
          <cell r="A32">
            <v>21614304</v>
          </cell>
          <cell r="B32" t="str">
            <v>Franquelina Puerta Higuita</v>
          </cell>
          <cell r="C32">
            <v>21614304</v>
          </cell>
          <cell r="D32" t="str">
            <v>Buena Vista</v>
          </cell>
          <cell r="E32">
            <v>3116237009</v>
          </cell>
          <cell r="J32" t="str">
            <v>x</v>
          </cell>
          <cell r="S32" t="e">
            <v>#N/A</v>
          </cell>
          <cell r="T32" t="e">
            <v>#N/A</v>
          </cell>
        </row>
        <row r="33">
          <cell r="A33">
            <v>21614304</v>
          </cell>
          <cell r="B33" t="str">
            <v>Franquelina Puerta Higuita</v>
          </cell>
          <cell r="C33">
            <v>21614304</v>
          </cell>
          <cell r="D33" t="str">
            <v>Buena Vista</v>
          </cell>
          <cell r="E33">
            <v>3116237009</v>
          </cell>
          <cell r="J33" t="str">
            <v>x</v>
          </cell>
          <cell r="S33" t="e">
            <v>#N/A</v>
          </cell>
          <cell r="T33" t="e">
            <v>#N/A</v>
          </cell>
        </row>
        <row r="34">
          <cell r="A34">
            <v>21758268</v>
          </cell>
          <cell r="B34" t="str">
            <v>maria pastora campo de sepulveda</v>
          </cell>
          <cell r="C34">
            <v>21758268</v>
          </cell>
          <cell r="D34" t="str">
            <v>cordoncillal</v>
          </cell>
          <cell r="E34">
            <v>3104757398</v>
          </cell>
          <cell r="J34" t="str">
            <v>x</v>
          </cell>
          <cell r="S34" t="e">
            <v>#N/A</v>
          </cell>
          <cell r="T34" t="e">
            <v>#N/A</v>
          </cell>
        </row>
        <row r="35">
          <cell r="A35">
            <v>32102974</v>
          </cell>
          <cell r="B35" t="str">
            <v>Dora Lilian Artega David</v>
          </cell>
          <cell r="C35">
            <v>32102974</v>
          </cell>
          <cell r="D35" t="str">
            <v>Urbano</v>
          </cell>
          <cell r="E35">
            <v>3122758845</v>
          </cell>
          <cell r="G35" t="str">
            <v>x</v>
          </cell>
          <cell r="I35" t="str">
            <v>Ella, Hermana y la hija</v>
          </cell>
          <cell r="J35" t="str">
            <v>x</v>
          </cell>
          <cell r="P35" t="str">
            <v>Barrio Fatima</v>
          </cell>
          <cell r="S35" t="e">
            <v>#N/A</v>
          </cell>
          <cell r="T35" t="e">
            <v>#N/A</v>
          </cell>
        </row>
        <row r="36">
          <cell r="A36">
            <v>21609280</v>
          </cell>
          <cell r="B36" t="str">
            <v>Argemira Dedoya de Sierra</v>
          </cell>
          <cell r="C36">
            <v>21609280</v>
          </cell>
          <cell r="D36" t="str">
            <v>Paso arriba</v>
          </cell>
          <cell r="E36">
            <v>3122498326</v>
          </cell>
          <cell r="J36" t="str">
            <v>x</v>
          </cell>
          <cell r="Q36" t="str">
            <v>SI</v>
          </cell>
          <cell r="R36" t="str">
            <v>PRESIDENTE</v>
          </cell>
          <cell r="S36" t="e">
            <v>#N/A</v>
          </cell>
          <cell r="T36">
            <v>1</v>
          </cell>
        </row>
        <row r="37">
          <cell r="A37">
            <v>39200728</v>
          </cell>
          <cell r="B37" t="str">
            <v>dora enith alzate alzate</v>
          </cell>
          <cell r="C37">
            <v>39200728</v>
          </cell>
          <cell r="D37" t="str">
            <v xml:space="preserve">el madero </v>
          </cell>
          <cell r="E37">
            <v>3178493520</v>
          </cell>
          <cell r="J37" t="str">
            <v>x</v>
          </cell>
          <cell r="S37" t="e">
            <v>#N/A</v>
          </cell>
          <cell r="T37" t="e">
            <v>#N/A</v>
          </cell>
        </row>
        <row r="38">
          <cell r="A38">
            <v>43503797</v>
          </cell>
          <cell r="B38" t="str">
            <v>Miriam de Jesus Graciano Garces</v>
          </cell>
          <cell r="C38">
            <v>43503797</v>
          </cell>
          <cell r="D38" t="str">
            <v>La estrella</v>
          </cell>
          <cell r="E38">
            <v>3117123571</v>
          </cell>
          <cell r="F38" t="str">
            <v>x</v>
          </cell>
          <cell r="I38" t="str">
            <v>3 adultos mayores</v>
          </cell>
          <cell r="J38" t="str">
            <v>x</v>
          </cell>
          <cell r="P38" t="str">
            <v>Parte baja</v>
          </cell>
          <cell r="Q38" t="str">
            <v xml:space="preserve">Visitar </v>
          </cell>
          <cell r="R38" t="str">
            <v>edison quiceno</v>
          </cell>
          <cell r="S38" t="e">
            <v>#N/A</v>
          </cell>
          <cell r="T38">
            <v>1</v>
          </cell>
        </row>
        <row r="39">
          <cell r="A39">
            <v>43780581</v>
          </cell>
          <cell r="B39" t="str">
            <v xml:space="preserve">Martha Gladis David </v>
          </cell>
          <cell r="C39">
            <v>43780581</v>
          </cell>
          <cell r="D39" t="str">
            <v xml:space="preserve">Alto del roble </v>
          </cell>
          <cell r="E39">
            <v>3126825284</v>
          </cell>
          <cell r="J39" t="str">
            <v>X</v>
          </cell>
          <cell r="S39" t="e">
            <v>#N/A</v>
          </cell>
          <cell r="T39" t="e">
            <v>#N/A</v>
          </cell>
        </row>
        <row r="40">
          <cell r="A40">
            <v>70430058</v>
          </cell>
          <cell r="B40" t="str">
            <v>Jose de Jesus Vargas Giraldo</v>
          </cell>
          <cell r="C40">
            <v>70430058</v>
          </cell>
          <cell r="D40" t="str">
            <v>El canelo</v>
          </cell>
          <cell r="E40">
            <v>3146625186</v>
          </cell>
          <cell r="J40" t="str">
            <v>x</v>
          </cell>
          <cell r="S40" t="e">
            <v>#N/A</v>
          </cell>
          <cell r="T40">
            <v>0</v>
          </cell>
        </row>
        <row r="41">
          <cell r="A41">
            <v>43780956</v>
          </cell>
          <cell r="B41" t="str">
            <v xml:space="preserve">maria sanchez </v>
          </cell>
          <cell r="C41">
            <v>43780956</v>
          </cell>
          <cell r="D41" t="str">
            <v xml:space="preserve">el madero </v>
          </cell>
          <cell r="E41">
            <v>3206172412</v>
          </cell>
          <cell r="J41" t="str">
            <v>x</v>
          </cell>
          <cell r="S41" t="e">
            <v>#N/A</v>
          </cell>
          <cell r="T41">
            <v>1</v>
          </cell>
        </row>
        <row r="42">
          <cell r="A42">
            <v>43781053</v>
          </cell>
          <cell r="B42" t="str">
            <v>gladis eumelia agudelo gomez</v>
          </cell>
          <cell r="C42">
            <v>43781053</v>
          </cell>
          <cell r="D42" t="str">
            <v>mediacuesta</v>
          </cell>
          <cell r="E42">
            <v>3106594551</v>
          </cell>
          <cell r="J42" t="str">
            <v>x</v>
          </cell>
          <cell r="S42" t="e">
            <v>#N/A</v>
          </cell>
          <cell r="T42" t="e">
            <v>#N/A</v>
          </cell>
        </row>
        <row r="43">
          <cell r="A43">
            <v>43781127</v>
          </cell>
          <cell r="B43" t="str">
            <v>luz astrid correa garcia</v>
          </cell>
          <cell r="C43">
            <v>43781127</v>
          </cell>
          <cell r="D43" t="str">
            <v>cordoncillal</v>
          </cell>
          <cell r="E43">
            <v>3137826528</v>
          </cell>
          <cell r="J43" t="str">
            <v>x</v>
          </cell>
          <cell r="S43" t="e">
            <v>#N/A</v>
          </cell>
          <cell r="T43">
            <v>1</v>
          </cell>
        </row>
        <row r="44">
          <cell r="A44">
            <v>43781306</v>
          </cell>
          <cell r="B44" t="str">
            <v>Elvia pulgarin correa</v>
          </cell>
          <cell r="C44">
            <v>43781306</v>
          </cell>
          <cell r="D44" t="str">
            <v>El Retiro</v>
          </cell>
          <cell r="E44" t="str">
            <v>316 279 1790</v>
          </cell>
          <cell r="J44" t="str">
            <v>x</v>
          </cell>
          <cell r="S44" t="e">
            <v>#N/A</v>
          </cell>
          <cell r="T44" t="e">
            <v>#N/A</v>
          </cell>
        </row>
        <row r="45">
          <cell r="A45">
            <v>43781363</v>
          </cell>
          <cell r="B45" t="str">
            <v>fanny campo campo</v>
          </cell>
          <cell r="C45">
            <v>43781363</v>
          </cell>
          <cell r="D45" t="str">
            <v xml:space="preserve">insor </v>
          </cell>
          <cell r="E45">
            <v>3124972562</v>
          </cell>
          <cell r="J45" t="str">
            <v>x</v>
          </cell>
          <cell r="S45" t="e">
            <v>#N/A</v>
          </cell>
          <cell r="T45" t="e">
            <v>#N/A</v>
          </cell>
        </row>
        <row r="46">
          <cell r="A46">
            <v>43781436</v>
          </cell>
          <cell r="B46" t="str">
            <v>Diana Torres</v>
          </cell>
          <cell r="C46">
            <v>43781436</v>
          </cell>
          <cell r="D46" t="str">
            <v>La Escalera</v>
          </cell>
          <cell r="E46">
            <v>3135512791</v>
          </cell>
          <cell r="J46" t="str">
            <v>x</v>
          </cell>
          <cell r="S46" t="e">
            <v>#N/A</v>
          </cell>
          <cell r="T46" t="e">
            <v>#N/A</v>
          </cell>
        </row>
        <row r="47">
          <cell r="A47">
            <v>43781591</v>
          </cell>
          <cell r="B47" t="str">
            <v>Patricia Elena Uribe londoño</v>
          </cell>
          <cell r="C47">
            <v>43781591</v>
          </cell>
          <cell r="D47" t="str">
            <v>Apucarco</v>
          </cell>
          <cell r="E47" t="str">
            <v>310 544 0201</v>
          </cell>
          <cell r="J47" t="str">
            <v>x</v>
          </cell>
          <cell r="S47" t="e">
            <v>#N/A</v>
          </cell>
          <cell r="T47" t="e">
            <v>#N/A</v>
          </cell>
        </row>
        <row r="48">
          <cell r="A48">
            <v>43781952</v>
          </cell>
          <cell r="B48" t="str">
            <v>Dora Elena  Yepes Guisao</v>
          </cell>
          <cell r="C48">
            <v>43781952</v>
          </cell>
          <cell r="D48" t="str">
            <v>El canelo</v>
          </cell>
          <cell r="E48">
            <v>3128527465</v>
          </cell>
          <cell r="J48" t="str">
            <v>x</v>
          </cell>
          <cell r="S48" t="e">
            <v>#N/A</v>
          </cell>
          <cell r="T48" t="e">
            <v>#N/A</v>
          </cell>
        </row>
        <row r="49">
          <cell r="A49">
            <v>43782542</v>
          </cell>
          <cell r="B49" t="str">
            <v>Diana Milena  GARCES USUGA</v>
          </cell>
          <cell r="C49">
            <v>43782542</v>
          </cell>
          <cell r="D49" t="str">
            <v>Los Naranjos</v>
          </cell>
          <cell r="E49">
            <v>3135784650</v>
          </cell>
          <cell r="G49" t="str">
            <v>x</v>
          </cell>
          <cell r="I49" t="str">
            <v>Ella, esposo y dos niños</v>
          </cell>
          <cell r="J49" t="str">
            <v>x</v>
          </cell>
          <cell r="P49" t="str">
            <v>Arriba de la caseta y fernando vasquez</v>
          </cell>
          <cell r="Q49" t="str">
            <v>Visitar</v>
          </cell>
          <cell r="R49" t="str">
            <v>Julieta</v>
          </cell>
          <cell r="S49" t="e">
            <v>#N/A</v>
          </cell>
          <cell r="T49" t="e">
            <v>#N/A</v>
          </cell>
        </row>
        <row r="50">
          <cell r="A50">
            <v>43782572</v>
          </cell>
          <cell r="B50" t="str">
            <v xml:space="preserve">diana yanet tuberquia </v>
          </cell>
          <cell r="C50">
            <v>43782572</v>
          </cell>
          <cell r="D50" t="str">
            <v xml:space="preserve">el madero </v>
          </cell>
          <cell r="E50">
            <v>3012188340</v>
          </cell>
          <cell r="J50" t="str">
            <v>x</v>
          </cell>
          <cell r="S50" t="e">
            <v>#N/A</v>
          </cell>
          <cell r="T50">
            <v>0</v>
          </cell>
        </row>
        <row r="51">
          <cell r="A51">
            <v>70434350</v>
          </cell>
          <cell r="B51" t="str">
            <v>Abelardo Antonio  Guisao Urrego</v>
          </cell>
          <cell r="C51">
            <v>70434350</v>
          </cell>
          <cell r="D51" t="str">
            <v>La estrella</v>
          </cell>
          <cell r="E51">
            <v>3145912016</v>
          </cell>
          <cell r="G51" t="str">
            <v>x</v>
          </cell>
          <cell r="I51" t="str">
            <v>Solo</v>
          </cell>
          <cell r="J51" t="str">
            <v>x</v>
          </cell>
          <cell r="L51" t="str">
            <v>x</v>
          </cell>
          <cell r="P51" t="str">
            <v>Parte baja</v>
          </cell>
          <cell r="Q51" t="str">
            <v xml:space="preserve">Visitar </v>
          </cell>
          <cell r="S51" t="str">
            <v>fondo nacional de vivienda</v>
          </cell>
          <cell r="T51">
            <v>0</v>
          </cell>
        </row>
        <row r="52">
          <cell r="A52">
            <v>70435275</v>
          </cell>
          <cell r="B52" t="str">
            <v>Cesar Suarez</v>
          </cell>
          <cell r="C52">
            <v>70435275</v>
          </cell>
          <cell r="D52" t="str">
            <v>Vereda Cumbarra</v>
          </cell>
          <cell r="E52">
            <v>3216447754</v>
          </cell>
          <cell r="J52" t="str">
            <v>x</v>
          </cell>
          <cell r="P52" t="str">
            <v>Vereda Cumbarra</v>
          </cell>
          <cell r="S52" t="str">
            <v>caja popular de vivienda militar</v>
          </cell>
          <cell r="T52">
            <v>1</v>
          </cell>
        </row>
        <row r="53">
          <cell r="A53">
            <v>53430736</v>
          </cell>
          <cell r="B53" t="str">
            <v>arelis angulo manco</v>
          </cell>
          <cell r="C53">
            <v>53430736</v>
          </cell>
          <cell r="D53" t="str">
            <v xml:space="preserve">el madero </v>
          </cell>
          <cell r="E53">
            <v>3122394855</v>
          </cell>
          <cell r="J53" t="str">
            <v>x</v>
          </cell>
          <cell r="S53" t="e">
            <v>#N/A</v>
          </cell>
          <cell r="T53" t="e">
            <v>#N/A</v>
          </cell>
        </row>
        <row r="54">
          <cell r="A54">
            <v>70430017</v>
          </cell>
          <cell r="B54" t="str">
            <v>edgar de jesus mazo guerra</v>
          </cell>
          <cell r="C54">
            <v>70430017</v>
          </cell>
          <cell r="D54" t="str">
            <v>santa ana</v>
          </cell>
          <cell r="E54">
            <v>3127476630</v>
          </cell>
          <cell r="J54" t="str">
            <v>x</v>
          </cell>
          <cell r="Q54" t="str">
            <v>priorizar ??</v>
          </cell>
          <cell r="S54" t="e">
            <v>#N/A</v>
          </cell>
          <cell r="T54">
            <v>1</v>
          </cell>
        </row>
        <row r="55">
          <cell r="A55">
            <v>3430955</v>
          </cell>
          <cell r="B55" t="str">
            <v>Luis Angel  CORREA QUINTERO</v>
          </cell>
          <cell r="C55">
            <v>3430955</v>
          </cell>
          <cell r="D55" t="str">
            <v>Paso arriba</v>
          </cell>
          <cell r="E55">
            <v>3113138172</v>
          </cell>
          <cell r="L55" t="str">
            <v>X</v>
          </cell>
          <cell r="Q55" t="str">
            <v>NO PERTENECE A LA JUNTA</v>
          </cell>
          <cell r="S55" t="e">
            <v>#N/A</v>
          </cell>
          <cell r="T55">
            <v>1</v>
          </cell>
        </row>
        <row r="56">
          <cell r="A56">
            <v>70434219</v>
          </cell>
          <cell r="B56" t="str">
            <v>Luis Enrique Cardona Carmona</v>
          </cell>
          <cell r="C56">
            <v>70434219</v>
          </cell>
          <cell r="D56" t="str">
            <v>Paso arriba</v>
          </cell>
          <cell r="J56" t="str">
            <v>x</v>
          </cell>
          <cell r="Q56" t="str">
            <v>SI</v>
          </cell>
          <cell r="R56" t="str">
            <v>PRESIDENTE</v>
          </cell>
          <cell r="S56" t="e">
            <v>#N/A</v>
          </cell>
          <cell r="T56">
            <v>1</v>
          </cell>
        </row>
        <row r="57">
          <cell r="A57">
            <v>71645468</v>
          </cell>
          <cell r="B57" t="str">
            <v>Nolberto Benitez</v>
          </cell>
          <cell r="C57">
            <v>71645468</v>
          </cell>
          <cell r="D57" t="str">
            <v>La Loma</v>
          </cell>
          <cell r="E57">
            <v>3184875455</v>
          </cell>
          <cell r="J57" t="str">
            <v>X</v>
          </cell>
          <cell r="S57" t="str">
            <v>banco agrario</v>
          </cell>
          <cell r="T57">
            <v>1</v>
          </cell>
        </row>
        <row r="58">
          <cell r="A58">
            <v>70431919</v>
          </cell>
          <cell r="B58" t="str">
            <v>John Antonio Higuita</v>
          </cell>
          <cell r="C58">
            <v>70431919</v>
          </cell>
          <cell r="D58" t="str">
            <v>San Jose</v>
          </cell>
          <cell r="J58" t="str">
            <v>x</v>
          </cell>
          <cell r="P58" t="str">
            <v>Juntas</v>
          </cell>
          <cell r="S58" t="e">
            <v>#N/A</v>
          </cell>
          <cell r="T58">
            <v>1</v>
          </cell>
        </row>
        <row r="59">
          <cell r="A59">
            <v>70432182</v>
          </cell>
          <cell r="B59" t="str">
            <v>Lazaro Usuga</v>
          </cell>
          <cell r="C59">
            <v>70432182</v>
          </cell>
          <cell r="D59" t="str">
            <v>Macanal</v>
          </cell>
          <cell r="E59">
            <v>3184596709</v>
          </cell>
          <cell r="J59" t="str">
            <v>x</v>
          </cell>
          <cell r="R59" t="str">
            <v>PRESIDENTE</v>
          </cell>
          <cell r="S59" t="e">
            <v>#N/A</v>
          </cell>
          <cell r="T59" t="e">
            <v>#N/A</v>
          </cell>
        </row>
        <row r="60">
          <cell r="A60">
            <v>70432504</v>
          </cell>
          <cell r="B60" t="str">
            <v>aldemar de Jesús londoño londoño</v>
          </cell>
          <cell r="C60">
            <v>70432504</v>
          </cell>
          <cell r="D60" t="str">
            <v>Apucarco</v>
          </cell>
          <cell r="E60" t="str">
            <v>320 792 7670</v>
          </cell>
          <cell r="J60" t="str">
            <v>x</v>
          </cell>
          <cell r="S60" t="e">
            <v>#N/A</v>
          </cell>
          <cell r="T60">
            <v>1</v>
          </cell>
        </row>
        <row r="61">
          <cell r="A61">
            <v>70433490</v>
          </cell>
          <cell r="B61" t="str">
            <v>Ernesto Gracias</v>
          </cell>
          <cell r="C61">
            <v>70433490</v>
          </cell>
          <cell r="D61" t="str">
            <v>Bellavista</v>
          </cell>
          <cell r="E61">
            <v>3206983485</v>
          </cell>
          <cell r="J61" t="str">
            <v>x</v>
          </cell>
          <cell r="S61" t="e">
            <v>#N/A</v>
          </cell>
          <cell r="T61">
            <v>1</v>
          </cell>
        </row>
        <row r="62">
          <cell r="A62">
            <v>70433490</v>
          </cell>
          <cell r="B62" t="str">
            <v>Ernesto Gracias</v>
          </cell>
          <cell r="C62">
            <v>70433490</v>
          </cell>
          <cell r="D62" t="str">
            <v>Bellavista</v>
          </cell>
          <cell r="E62">
            <v>3206983485</v>
          </cell>
          <cell r="J62" t="str">
            <v>x</v>
          </cell>
          <cell r="S62" t="e">
            <v>#N/A</v>
          </cell>
          <cell r="T62">
            <v>1</v>
          </cell>
        </row>
        <row r="63">
          <cell r="A63">
            <v>70433513</v>
          </cell>
          <cell r="B63" t="str">
            <v>Argemiro Muñoz</v>
          </cell>
          <cell r="C63">
            <v>70433513</v>
          </cell>
          <cell r="D63" t="str">
            <v>Insor</v>
          </cell>
          <cell r="E63">
            <v>3174920822</v>
          </cell>
          <cell r="J63" t="str">
            <v>x</v>
          </cell>
          <cell r="S63" t="e">
            <v>#N/A</v>
          </cell>
          <cell r="T63" t="e">
            <v>#N/A</v>
          </cell>
        </row>
        <row r="64">
          <cell r="A64">
            <v>70433782</v>
          </cell>
          <cell r="B64" t="str">
            <v>Obdulio  Higuita</v>
          </cell>
          <cell r="C64">
            <v>70433782</v>
          </cell>
          <cell r="D64" t="str">
            <v>Urbano</v>
          </cell>
          <cell r="E64">
            <v>3103951302</v>
          </cell>
          <cell r="J64" t="str">
            <v>x</v>
          </cell>
          <cell r="P64" t="str">
            <v>Imantago</v>
          </cell>
          <cell r="S64" t="e">
            <v>#N/A</v>
          </cell>
          <cell r="T64">
            <v>1</v>
          </cell>
        </row>
        <row r="65">
          <cell r="A65">
            <v>70433799</v>
          </cell>
          <cell r="B65" t="str">
            <v>Wilson Tangarife</v>
          </cell>
          <cell r="C65">
            <v>70433799</v>
          </cell>
          <cell r="D65" t="str">
            <v>El canelito</v>
          </cell>
          <cell r="E65">
            <v>3128799724</v>
          </cell>
          <cell r="J65" t="str">
            <v>x</v>
          </cell>
          <cell r="S65" t="e">
            <v>#N/A</v>
          </cell>
          <cell r="T65">
            <v>1</v>
          </cell>
        </row>
        <row r="66">
          <cell r="A66">
            <v>71526457</v>
          </cell>
          <cell r="B66" t="str">
            <v>Luis Fernando Restrepo Hernadez</v>
          </cell>
          <cell r="C66">
            <v>71526457</v>
          </cell>
          <cell r="D66" t="str">
            <v>Paso arriba</v>
          </cell>
          <cell r="E66" t="str">
            <v>3116319361 - 3116936696</v>
          </cell>
          <cell r="Q66" t="str">
            <v>BANCO DE MATERIALES</v>
          </cell>
          <cell r="R66" t="str">
            <v>ALCALDE</v>
          </cell>
          <cell r="S66" t="e">
            <v>#N/A</v>
          </cell>
          <cell r="T66">
            <v>1</v>
          </cell>
        </row>
        <row r="67">
          <cell r="A67">
            <v>70434298</v>
          </cell>
          <cell r="B67" t="str">
            <v>Calos Campo Gonzales</v>
          </cell>
          <cell r="C67">
            <v>70434298</v>
          </cell>
          <cell r="D67" t="str">
            <v>Urbano</v>
          </cell>
          <cell r="E67">
            <v>3136199192</v>
          </cell>
          <cell r="J67" t="str">
            <v>x</v>
          </cell>
          <cell r="P67" t="str">
            <v>Versalles y el eden</v>
          </cell>
          <cell r="S67" t="e">
            <v>#N/A</v>
          </cell>
          <cell r="T67" t="e">
            <v>#N/A</v>
          </cell>
        </row>
        <row r="68">
          <cell r="A68">
            <v>70434533</v>
          </cell>
          <cell r="B68" t="str">
            <v>Leon Tangarife</v>
          </cell>
          <cell r="C68">
            <v>70434533</v>
          </cell>
          <cell r="D68" t="str">
            <v>El canelito</v>
          </cell>
          <cell r="E68">
            <v>3218800170</v>
          </cell>
          <cell r="J68" t="str">
            <v>x</v>
          </cell>
          <cell r="S68" t="e">
            <v>#N/A</v>
          </cell>
          <cell r="T68">
            <v>1</v>
          </cell>
        </row>
        <row r="69">
          <cell r="A69">
            <v>70434928</v>
          </cell>
          <cell r="B69" t="str">
            <v>Jose Antonio Soto Jimenez</v>
          </cell>
          <cell r="C69">
            <v>70434928</v>
          </cell>
          <cell r="D69" t="str">
            <v>Media cuesta</v>
          </cell>
          <cell r="E69">
            <v>3137407812</v>
          </cell>
          <cell r="G69" t="str">
            <v>x</v>
          </cell>
          <cell r="I69" t="str">
            <v>Madre, hermana y el</v>
          </cell>
          <cell r="J69" t="str">
            <v>X</v>
          </cell>
          <cell r="L69" t="str">
            <v>x</v>
          </cell>
          <cell r="P69" t="str">
            <v>Sobre el hogar juvenil</v>
          </cell>
          <cell r="Q69" t="str">
            <v>Visitar</v>
          </cell>
          <cell r="S69" t="e">
            <v>#N/A</v>
          </cell>
          <cell r="T69">
            <v>1</v>
          </cell>
        </row>
        <row r="70">
          <cell r="A70">
            <v>1035302232</v>
          </cell>
          <cell r="B70" t="str">
            <v>Elkin Dario  Graciano Valderrama</v>
          </cell>
          <cell r="C70">
            <v>1035302232</v>
          </cell>
          <cell r="D70" t="str">
            <v>San Jose</v>
          </cell>
          <cell r="E70">
            <v>3207604922</v>
          </cell>
          <cell r="J70" t="str">
            <v>x</v>
          </cell>
          <cell r="P70" t="str">
            <v>Juntas</v>
          </cell>
          <cell r="S70" t="str">
            <v>banco agrario</v>
          </cell>
          <cell r="T70" t="e">
            <v>#N/A</v>
          </cell>
        </row>
        <row r="71">
          <cell r="A71">
            <v>70435316</v>
          </cell>
          <cell r="B71" t="str">
            <v>eduar ledis quinchia arias</v>
          </cell>
          <cell r="C71">
            <v>70435316</v>
          </cell>
          <cell r="D71" t="str">
            <v>cordoncillal</v>
          </cell>
          <cell r="E71">
            <v>3208843723</v>
          </cell>
          <cell r="J71" t="str">
            <v>x</v>
          </cell>
          <cell r="S71" t="e">
            <v>#N/A</v>
          </cell>
          <cell r="T71">
            <v>0</v>
          </cell>
        </row>
        <row r="72">
          <cell r="A72">
            <v>70435316</v>
          </cell>
          <cell r="B72" t="str">
            <v>eduar ledis quinchia arias</v>
          </cell>
          <cell r="C72">
            <v>70435316</v>
          </cell>
          <cell r="D72" t="str">
            <v>cordoncillal</v>
          </cell>
          <cell r="E72">
            <v>3208843723</v>
          </cell>
          <cell r="J72" t="str">
            <v>x</v>
          </cell>
          <cell r="S72" t="e">
            <v>#N/A</v>
          </cell>
          <cell r="T72">
            <v>0</v>
          </cell>
        </row>
        <row r="73">
          <cell r="A73">
            <v>70435464</v>
          </cell>
          <cell r="B73" t="str">
            <v xml:space="preserve">Saulo de Jesus Osorno Garcia </v>
          </cell>
          <cell r="C73">
            <v>70435464</v>
          </cell>
          <cell r="D73" t="str">
            <v>Loma de la alegria</v>
          </cell>
          <cell r="E73">
            <v>3136513334</v>
          </cell>
          <cell r="J73" t="str">
            <v>X</v>
          </cell>
          <cell r="S73" t="e">
            <v>#N/A</v>
          </cell>
          <cell r="T73" t="e">
            <v>#N/A</v>
          </cell>
        </row>
        <row r="74">
          <cell r="A74">
            <v>70435792</v>
          </cell>
          <cell r="B74" t="str">
            <v>Jair Aicardo Usuga Florez</v>
          </cell>
          <cell r="C74">
            <v>70435792</v>
          </cell>
          <cell r="D74" t="str">
            <v>Bellavista</v>
          </cell>
          <cell r="E74">
            <v>3206919832</v>
          </cell>
          <cell r="J74" t="str">
            <v>x</v>
          </cell>
          <cell r="S74" t="e">
            <v>#N/A</v>
          </cell>
          <cell r="T74" t="e">
            <v>#N/A</v>
          </cell>
        </row>
        <row r="75">
          <cell r="A75">
            <v>70435792</v>
          </cell>
          <cell r="B75" t="str">
            <v>Jair Aicardo Usuga Florez</v>
          </cell>
          <cell r="C75">
            <v>70435792</v>
          </cell>
          <cell r="D75" t="str">
            <v>Bellavista</v>
          </cell>
          <cell r="E75">
            <v>3206919832</v>
          </cell>
          <cell r="J75" t="str">
            <v>x</v>
          </cell>
          <cell r="S75" t="e">
            <v>#N/A</v>
          </cell>
          <cell r="T75" t="e">
            <v>#N/A</v>
          </cell>
        </row>
        <row r="76">
          <cell r="A76">
            <v>21611500</v>
          </cell>
          <cell r="B76" t="str">
            <v>Luz Amparo  Yepes guisao</v>
          </cell>
          <cell r="C76">
            <v>21611500</v>
          </cell>
          <cell r="D76" t="str">
            <v>Paso arriba</v>
          </cell>
          <cell r="E76">
            <v>3215714006</v>
          </cell>
          <cell r="G76" t="str">
            <v>x</v>
          </cell>
          <cell r="L76" t="str">
            <v>x</v>
          </cell>
          <cell r="Q76" t="str">
            <v>NO PERTENECE A LA JUNTA</v>
          </cell>
          <cell r="S76" t="e">
            <v>#N/A</v>
          </cell>
          <cell r="T76">
            <v>1</v>
          </cell>
        </row>
        <row r="77">
          <cell r="A77">
            <v>70436071</v>
          </cell>
          <cell r="B77" t="str">
            <v>Juan Bautista Uribe López</v>
          </cell>
          <cell r="C77">
            <v>70436071</v>
          </cell>
          <cell r="D77" t="str">
            <v>Apucarco</v>
          </cell>
          <cell r="E77" t="str">
            <v>312 223 6901</v>
          </cell>
          <cell r="J77" t="str">
            <v>x</v>
          </cell>
          <cell r="S77" t="e">
            <v>#N/A</v>
          </cell>
          <cell r="T77" t="e">
            <v>#N/A</v>
          </cell>
        </row>
        <row r="78">
          <cell r="A78">
            <v>21610337</v>
          </cell>
          <cell r="B78" t="str">
            <v>Maria Adelina Quintero de Quintero</v>
          </cell>
          <cell r="C78">
            <v>21610337</v>
          </cell>
          <cell r="D78" t="str">
            <v>Paso arriba</v>
          </cell>
          <cell r="E78">
            <v>3146481031</v>
          </cell>
          <cell r="J78" t="str">
            <v>x</v>
          </cell>
          <cell r="Q78" t="str">
            <v>SI</v>
          </cell>
          <cell r="R78" t="str">
            <v>PRESIDENTE</v>
          </cell>
          <cell r="S78" t="e">
            <v>#N/A</v>
          </cell>
          <cell r="T78">
            <v>1</v>
          </cell>
        </row>
        <row r="79">
          <cell r="A79">
            <v>71390036</v>
          </cell>
          <cell r="B79" t="str">
            <v>Carlos Andres</v>
          </cell>
          <cell r="C79">
            <v>71390036</v>
          </cell>
          <cell r="D79" t="str">
            <v>Urbano</v>
          </cell>
          <cell r="E79">
            <v>3105919088</v>
          </cell>
          <cell r="J79" t="str">
            <v>X</v>
          </cell>
          <cell r="S79" t="e">
            <v>#N/A</v>
          </cell>
          <cell r="T79" t="e">
            <v>#N/A</v>
          </cell>
        </row>
        <row r="80">
          <cell r="A80">
            <v>71434312</v>
          </cell>
          <cell r="B80" t="str">
            <v>Jorge Eliecer Montoya Jimenez</v>
          </cell>
          <cell r="C80">
            <v>71434312</v>
          </cell>
          <cell r="D80" t="str">
            <v>El reten</v>
          </cell>
          <cell r="E80">
            <v>3136938023</v>
          </cell>
          <cell r="F80" t="str">
            <v>x</v>
          </cell>
          <cell r="I80" t="str">
            <v>mama</v>
          </cell>
          <cell r="J80" t="str">
            <v>x</v>
          </cell>
          <cell r="P80" t="str">
            <v>El reten</v>
          </cell>
          <cell r="S80" t="e">
            <v>#N/A</v>
          </cell>
          <cell r="T80" t="e">
            <v>#N/A</v>
          </cell>
        </row>
        <row r="81">
          <cell r="A81">
            <v>21609214</v>
          </cell>
          <cell r="B81" t="str">
            <v>Maria Noely Rojas de Guisao</v>
          </cell>
          <cell r="C81">
            <v>21609214</v>
          </cell>
          <cell r="D81" t="str">
            <v>Paso Arriba</v>
          </cell>
          <cell r="O81" t="str">
            <v>X</v>
          </cell>
          <cell r="Q81" t="str">
            <v>SI</v>
          </cell>
          <cell r="R81" t="str">
            <v>PRESIDENTE</v>
          </cell>
          <cell r="S81" t="e">
            <v>#N/A</v>
          </cell>
          <cell r="T81">
            <v>1</v>
          </cell>
        </row>
        <row r="82">
          <cell r="A82">
            <v>21609111</v>
          </cell>
          <cell r="B82" t="str">
            <v>Oliva Margarita Jimenez de Florez</v>
          </cell>
          <cell r="C82">
            <v>21609111</v>
          </cell>
          <cell r="D82" t="str">
            <v>Paso Arriba</v>
          </cell>
          <cell r="E82">
            <v>3122983075</v>
          </cell>
          <cell r="O82" t="str">
            <v>X</v>
          </cell>
          <cell r="P82" t="str">
            <v>Paso arriba</v>
          </cell>
          <cell r="Q82" t="str">
            <v>NO PERTENECE A LA JUNTA</v>
          </cell>
          <cell r="S82" t="e">
            <v>#N/A</v>
          </cell>
          <cell r="T82">
            <v>1</v>
          </cell>
        </row>
        <row r="83">
          <cell r="A83">
            <v>98529209</v>
          </cell>
          <cell r="B83" t="str">
            <v>Leon Augusto Florez</v>
          </cell>
          <cell r="C83">
            <v>98529209</v>
          </cell>
          <cell r="D83" t="str">
            <v>Bellavista</v>
          </cell>
          <cell r="E83">
            <v>3136814660</v>
          </cell>
          <cell r="J83" t="str">
            <v>x</v>
          </cell>
          <cell r="S83" t="e">
            <v>#N/A</v>
          </cell>
          <cell r="T83">
            <v>0</v>
          </cell>
        </row>
        <row r="84">
          <cell r="A84">
            <v>98529209</v>
          </cell>
          <cell r="B84" t="str">
            <v>Leon Augusto Florez</v>
          </cell>
          <cell r="C84">
            <v>98529209</v>
          </cell>
          <cell r="D84" t="str">
            <v>Bellavista</v>
          </cell>
          <cell r="E84">
            <v>3136814660</v>
          </cell>
          <cell r="J84" t="str">
            <v>x</v>
          </cell>
          <cell r="S84" t="e">
            <v>#N/A</v>
          </cell>
          <cell r="T84">
            <v>0</v>
          </cell>
        </row>
        <row r="85">
          <cell r="A85">
            <v>98613659</v>
          </cell>
          <cell r="B85" t="str">
            <v>Humberto Antonio Usuga Puerta</v>
          </cell>
          <cell r="C85">
            <v>98613659</v>
          </cell>
          <cell r="D85" t="str">
            <v>San Luis de Juntas</v>
          </cell>
          <cell r="E85">
            <v>3207155337</v>
          </cell>
          <cell r="J85" t="str">
            <v>x</v>
          </cell>
          <cell r="S85" t="e">
            <v>#N/A</v>
          </cell>
          <cell r="T85">
            <v>1</v>
          </cell>
        </row>
        <row r="86">
          <cell r="A86">
            <v>98613659</v>
          </cell>
          <cell r="B86" t="str">
            <v>Humberto Antonio Usuga Puerta</v>
          </cell>
          <cell r="C86">
            <v>98613659</v>
          </cell>
          <cell r="D86" t="str">
            <v>San Luis de Juntas</v>
          </cell>
          <cell r="E86">
            <v>3207155337</v>
          </cell>
          <cell r="J86" t="str">
            <v>x</v>
          </cell>
          <cell r="S86" t="e">
            <v>#N/A</v>
          </cell>
          <cell r="T86">
            <v>1</v>
          </cell>
        </row>
        <row r="87">
          <cell r="A87">
            <v>98613818</v>
          </cell>
          <cell r="B87" t="str">
            <v>Ovidio Antonio Usuga</v>
          </cell>
          <cell r="C87">
            <v>98613818</v>
          </cell>
          <cell r="D87" t="str">
            <v>San Jose</v>
          </cell>
          <cell r="J87" t="str">
            <v>x</v>
          </cell>
          <cell r="P87" t="str">
            <v>Juntas</v>
          </cell>
          <cell r="S87" t="e">
            <v>#N/A</v>
          </cell>
          <cell r="T87">
            <v>1</v>
          </cell>
        </row>
        <row r="88">
          <cell r="A88">
            <v>1120361069</v>
          </cell>
          <cell r="B88" t="str">
            <v xml:space="preserve">Eduar Zapata Agudelo </v>
          </cell>
          <cell r="C88">
            <v>1120361069</v>
          </cell>
          <cell r="D88" t="str">
            <v xml:space="preserve">Alto del roble </v>
          </cell>
          <cell r="E88">
            <v>3128241754</v>
          </cell>
          <cell r="J88" t="str">
            <v>X</v>
          </cell>
          <cell r="S88" t="str">
            <v>fondo nacional de vivienda</v>
          </cell>
          <cell r="T88" t="e">
            <v>#N/A</v>
          </cell>
        </row>
        <row r="89">
          <cell r="A89">
            <v>98670500</v>
          </cell>
          <cell r="B89" t="str">
            <v>Aurelio pulgarín Vega</v>
          </cell>
          <cell r="C89">
            <v>98670500</v>
          </cell>
          <cell r="D89" t="str">
            <v>Chontaduro</v>
          </cell>
          <cell r="E89" t="str">
            <v>317 409 6751</v>
          </cell>
          <cell r="J89" t="str">
            <v>x</v>
          </cell>
          <cell r="S89" t="e">
            <v>#N/A</v>
          </cell>
          <cell r="T89" t="e">
            <v>#N/A</v>
          </cell>
        </row>
        <row r="90">
          <cell r="A90">
            <v>1001386284</v>
          </cell>
          <cell r="B90" t="str">
            <v>Santiago correa</v>
          </cell>
          <cell r="C90">
            <v>1001386284</v>
          </cell>
          <cell r="D90" t="str">
            <v>San Luis del Cafe</v>
          </cell>
          <cell r="E90" t="str">
            <v>312 764 9848</v>
          </cell>
          <cell r="J90" t="str">
            <v>x</v>
          </cell>
          <cell r="S90" t="e">
            <v>#N/A</v>
          </cell>
          <cell r="T90" t="e">
            <v>#N/A</v>
          </cell>
        </row>
        <row r="91">
          <cell r="A91">
            <v>1001403790</v>
          </cell>
          <cell r="B91" t="str">
            <v>Miguel Arcangel Hidalgo</v>
          </cell>
          <cell r="C91">
            <v>1001403790</v>
          </cell>
          <cell r="D91" t="str">
            <v xml:space="preserve">Alto del roble </v>
          </cell>
          <cell r="E91">
            <v>3106594571</v>
          </cell>
          <cell r="J91" t="str">
            <v>X</v>
          </cell>
          <cell r="S91" t="e">
            <v>#N/A</v>
          </cell>
          <cell r="T91">
            <v>1</v>
          </cell>
        </row>
        <row r="92">
          <cell r="A92">
            <v>1001403882</v>
          </cell>
          <cell r="B92" t="str">
            <v>Andrea Estefania Usuga</v>
          </cell>
          <cell r="C92">
            <v>1001403882</v>
          </cell>
          <cell r="D92" t="str">
            <v>La Loma</v>
          </cell>
          <cell r="E92">
            <v>3135252432</v>
          </cell>
          <cell r="J92" t="str">
            <v>X</v>
          </cell>
          <cell r="S92" t="e">
            <v>#N/A</v>
          </cell>
          <cell r="T92" t="e">
            <v>#N/A</v>
          </cell>
        </row>
        <row r="93">
          <cell r="A93">
            <v>1001404576</v>
          </cell>
          <cell r="B93" t="str">
            <v>Leydi Montoya</v>
          </cell>
          <cell r="C93">
            <v>1001404576</v>
          </cell>
          <cell r="D93" t="str">
            <v>Insor</v>
          </cell>
          <cell r="E93">
            <v>3127575843</v>
          </cell>
          <cell r="J93" t="str">
            <v>x</v>
          </cell>
          <cell r="S93" t="e">
            <v>#N/A</v>
          </cell>
          <cell r="T93" t="e">
            <v>#N/A</v>
          </cell>
        </row>
        <row r="94">
          <cell r="A94">
            <v>1017161903</v>
          </cell>
          <cell r="B94" t="str">
            <v>Margot Tuberquia</v>
          </cell>
          <cell r="C94">
            <v>1017161903</v>
          </cell>
          <cell r="D94" t="str">
            <v>Vereda Cumbarra</v>
          </cell>
          <cell r="E94">
            <v>3136701880</v>
          </cell>
          <cell r="J94" t="str">
            <v>x</v>
          </cell>
          <cell r="P94" t="str">
            <v>Vereda Cumbarra</v>
          </cell>
          <cell r="S94" t="e">
            <v>#N/A</v>
          </cell>
          <cell r="T94" t="e">
            <v>#N/A</v>
          </cell>
        </row>
        <row r="95">
          <cell r="A95">
            <v>70431109</v>
          </cell>
          <cell r="B95" t="str">
            <v>Oscar de Jesus Florez Correa</v>
          </cell>
          <cell r="C95">
            <v>70431109</v>
          </cell>
          <cell r="D95" t="str">
            <v>Paso arriba</v>
          </cell>
          <cell r="J95" t="str">
            <v>x</v>
          </cell>
          <cell r="Q95" t="str">
            <v>SI</v>
          </cell>
          <cell r="R95" t="str">
            <v>PRESIDENTE</v>
          </cell>
          <cell r="S95" t="e">
            <v>#N/A</v>
          </cell>
          <cell r="T95">
            <v>1</v>
          </cell>
        </row>
        <row r="96">
          <cell r="A96">
            <v>1035303800</v>
          </cell>
          <cell r="B96" t="str">
            <v>Sergio correa</v>
          </cell>
          <cell r="C96">
            <v>1035303800</v>
          </cell>
          <cell r="D96" t="str">
            <v>San Luis del Cafe</v>
          </cell>
          <cell r="E96" t="str">
            <v>321 884 4049</v>
          </cell>
          <cell r="J96" t="str">
            <v>x</v>
          </cell>
          <cell r="S96" t="e">
            <v>#N/A</v>
          </cell>
          <cell r="T96" t="e">
            <v>#N/A</v>
          </cell>
        </row>
        <row r="97">
          <cell r="A97">
            <v>1035304060</v>
          </cell>
          <cell r="B97" t="str">
            <v>jhon dario higuita garces</v>
          </cell>
          <cell r="C97">
            <v>1035304060</v>
          </cell>
          <cell r="D97" t="str">
            <v xml:space="preserve">el madero </v>
          </cell>
          <cell r="E97">
            <v>3207126558</v>
          </cell>
          <cell r="J97" t="str">
            <v>x</v>
          </cell>
          <cell r="S97" t="e">
            <v>#N/A</v>
          </cell>
          <cell r="T97" t="e">
            <v>#N/A</v>
          </cell>
        </row>
        <row r="98">
          <cell r="A98">
            <v>1035304846</v>
          </cell>
          <cell r="B98" t="str">
            <v>Deysi Jhoana Graciano Garcia</v>
          </cell>
          <cell r="C98">
            <v>1035304846</v>
          </cell>
          <cell r="D98" t="str">
            <v>Loma de la alegria</v>
          </cell>
          <cell r="E98">
            <v>3207012370</v>
          </cell>
          <cell r="J98" t="str">
            <v>X</v>
          </cell>
          <cell r="S98" t="e">
            <v>#N/A</v>
          </cell>
          <cell r="T98" t="e">
            <v>#N/A</v>
          </cell>
        </row>
        <row r="99">
          <cell r="A99">
            <v>1035305230</v>
          </cell>
          <cell r="B99" t="str">
            <v xml:space="preserve">Sindy Lorena usuga Aguirre </v>
          </cell>
          <cell r="C99">
            <v>1035305230</v>
          </cell>
          <cell r="D99" t="str">
            <v>La Soledad</v>
          </cell>
          <cell r="E99">
            <v>3137488522</v>
          </cell>
          <cell r="H99" t="str">
            <v>x</v>
          </cell>
          <cell r="J99" t="str">
            <v>x</v>
          </cell>
          <cell r="S99" t="e">
            <v>#N/A</v>
          </cell>
          <cell r="T99" t="e">
            <v>#N/A</v>
          </cell>
        </row>
        <row r="100">
          <cell r="A100">
            <v>1035305230</v>
          </cell>
          <cell r="B100" t="str">
            <v xml:space="preserve">Sindy Lorena usuga Aguirre </v>
          </cell>
          <cell r="C100">
            <v>1035305230</v>
          </cell>
          <cell r="D100" t="str">
            <v>La Soledad</v>
          </cell>
          <cell r="E100">
            <v>3137488522</v>
          </cell>
          <cell r="H100" t="str">
            <v>x</v>
          </cell>
          <cell r="J100" t="str">
            <v>x</v>
          </cell>
          <cell r="S100" t="e">
            <v>#N/A</v>
          </cell>
          <cell r="T100" t="e">
            <v>#N/A</v>
          </cell>
        </row>
        <row r="101">
          <cell r="A101">
            <v>1035305872</v>
          </cell>
          <cell r="B101" t="str">
            <v>julian enrique usuga muñoz</v>
          </cell>
          <cell r="C101">
            <v>1035305872</v>
          </cell>
          <cell r="D101" t="str">
            <v xml:space="preserve">insor </v>
          </cell>
          <cell r="E101">
            <v>3122646368</v>
          </cell>
          <cell r="J101" t="str">
            <v>x</v>
          </cell>
          <cell r="S101" t="e">
            <v>#N/A</v>
          </cell>
          <cell r="T101">
            <v>1</v>
          </cell>
        </row>
        <row r="102">
          <cell r="A102">
            <v>1128396542</v>
          </cell>
          <cell r="B102" t="str">
            <v>Andrés correa</v>
          </cell>
          <cell r="C102">
            <v>1128396542</v>
          </cell>
          <cell r="D102" t="str">
            <v>San Luis del Cafe</v>
          </cell>
          <cell r="E102" t="str">
            <v>310 597 9415</v>
          </cell>
          <cell r="J102" t="str">
            <v>x</v>
          </cell>
          <cell r="S102" t="e">
            <v>#N/A</v>
          </cell>
          <cell r="T102" t="e">
            <v>#N/A</v>
          </cell>
        </row>
        <row r="103">
          <cell r="B103" t="str">
            <v>Luz Marina Usuga</v>
          </cell>
          <cell r="J103" t="str">
            <v>X</v>
          </cell>
          <cell r="S103" t="e">
            <v>#N/A</v>
          </cell>
          <cell r="T103" t="e">
            <v>#N/A</v>
          </cell>
        </row>
        <row r="104">
          <cell r="A104">
            <v>70431725</v>
          </cell>
          <cell r="B104" t="str">
            <v>Fabian de Jesus Mazo</v>
          </cell>
          <cell r="C104">
            <v>70431725</v>
          </cell>
          <cell r="D104" t="str">
            <v>Urbano</v>
          </cell>
          <cell r="E104">
            <v>3122420271</v>
          </cell>
          <cell r="J104" t="str">
            <v>x</v>
          </cell>
          <cell r="P104" t="str">
            <v>Don alejandro</v>
          </cell>
          <cell r="S104" t="e">
            <v>#N/A</v>
          </cell>
          <cell r="T104">
            <v>1</v>
          </cell>
        </row>
        <row r="105">
          <cell r="A105">
            <v>70433717</v>
          </cell>
          <cell r="B105" t="str">
            <v>yobany antonio usuga yepes</v>
          </cell>
          <cell r="C105">
            <v>70433717</v>
          </cell>
          <cell r="D105" t="str">
            <v>los naranjos</v>
          </cell>
          <cell r="E105">
            <v>3182270247</v>
          </cell>
          <cell r="J105" t="str">
            <v>x</v>
          </cell>
          <cell r="S105" t="e">
            <v>#N/A</v>
          </cell>
          <cell r="T105">
            <v>1</v>
          </cell>
        </row>
        <row r="106">
          <cell r="A106">
            <v>70431985</v>
          </cell>
          <cell r="B106" t="str">
            <v>argemiro tangarife david</v>
          </cell>
          <cell r="C106">
            <v>70431985</v>
          </cell>
          <cell r="D106" t="str">
            <v>la soledad</v>
          </cell>
          <cell r="E106">
            <v>3135975449</v>
          </cell>
          <cell r="J106" t="str">
            <v>x</v>
          </cell>
          <cell r="S106" t="e">
            <v>#N/A</v>
          </cell>
          <cell r="T106" t="e">
            <v>#N/A</v>
          </cell>
        </row>
        <row r="107">
          <cell r="A107">
            <v>3431228</v>
          </cell>
          <cell r="B107" t="str">
            <v>gilberto cifuentes</v>
          </cell>
          <cell r="C107">
            <v>3431228</v>
          </cell>
          <cell r="D107" t="str">
            <v>santa barbara</v>
          </cell>
          <cell r="E107">
            <v>3103939814</v>
          </cell>
          <cell r="J107" t="str">
            <v>x</v>
          </cell>
          <cell r="S107" t="e">
            <v>#N/A</v>
          </cell>
          <cell r="T107">
            <v>1</v>
          </cell>
        </row>
        <row r="108">
          <cell r="A108">
            <v>70430215</v>
          </cell>
          <cell r="B108" t="str">
            <v>la lloroncita</v>
          </cell>
          <cell r="C108">
            <v>70430215</v>
          </cell>
          <cell r="D108" t="str">
            <v>la lloroncita</v>
          </cell>
          <cell r="E108">
            <v>3207627755</v>
          </cell>
          <cell r="J108" t="str">
            <v>x</v>
          </cell>
          <cell r="S108" t="e">
            <v>#N/A</v>
          </cell>
          <cell r="T108">
            <v>1</v>
          </cell>
        </row>
        <row r="109">
          <cell r="A109">
            <v>1039079228</v>
          </cell>
          <cell r="B109" t="str">
            <v>gloria alexis florez cañola</v>
          </cell>
          <cell r="C109">
            <v>1039079228</v>
          </cell>
          <cell r="D109" t="str">
            <v>cestillal</v>
          </cell>
          <cell r="E109">
            <v>3217588567</v>
          </cell>
          <cell r="J109" t="str">
            <v>x</v>
          </cell>
          <cell r="Q109" t="str">
            <v>desplazada</v>
          </cell>
          <cell r="R109" t="str">
            <v>alcalde</v>
          </cell>
          <cell r="S109" t="e">
            <v>#N/A</v>
          </cell>
          <cell r="T109" t="e">
            <v>#N/A</v>
          </cell>
        </row>
        <row r="110">
          <cell r="A110">
            <v>70435024</v>
          </cell>
          <cell r="B110" t="str">
            <v>jorge mario usuga usuga</v>
          </cell>
          <cell r="C110">
            <v>70435024</v>
          </cell>
          <cell r="D110" t="str">
            <v>versalles</v>
          </cell>
          <cell r="E110">
            <v>3106249057</v>
          </cell>
          <cell r="J110" t="str">
            <v>x</v>
          </cell>
          <cell r="Q110" t="str">
            <v>compromiso campaña</v>
          </cell>
          <cell r="S110" t="e">
            <v>#N/A</v>
          </cell>
          <cell r="T110">
            <v>1</v>
          </cell>
        </row>
        <row r="111">
          <cell r="A111">
            <v>1035304142</v>
          </cell>
          <cell r="B111" t="str">
            <v>jonathan durango ibarra</v>
          </cell>
          <cell r="C111">
            <v>1035304142</v>
          </cell>
          <cell r="D111" t="str">
            <v>los naranjos</v>
          </cell>
          <cell r="E111">
            <v>3105974244</v>
          </cell>
          <cell r="J111" t="str">
            <v>x</v>
          </cell>
          <cell r="S111" t="e">
            <v>#N/A</v>
          </cell>
          <cell r="T111" t="e">
            <v>#N/A</v>
          </cell>
        </row>
        <row r="112">
          <cell r="A112">
            <v>70430833</v>
          </cell>
          <cell r="B112" t="str">
            <v>luis efren arteaga guerra</v>
          </cell>
          <cell r="C112">
            <v>70430833</v>
          </cell>
          <cell r="D112" t="str">
            <v>la manga</v>
          </cell>
          <cell r="J112" t="str">
            <v>x</v>
          </cell>
          <cell r="S112" t="e">
            <v>#N/A</v>
          </cell>
          <cell r="T112">
            <v>1</v>
          </cell>
        </row>
        <row r="113">
          <cell r="A113">
            <v>1035304334</v>
          </cell>
          <cell r="B113" t="str">
            <v>orleida maria zanchez murillo</v>
          </cell>
          <cell r="C113">
            <v>1035304334</v>
          </cell>
          <cell r="D113" t="str">
            <v>cordoncillal</v>
          </cell>
          <cell r="E113">
            <v>3108239831</v>
          </cell>
          <cell r="J113" t="str">
            <v>x</v>
          </cell>
          <cell r="S113" t="e">
            <v>#N/A</v>
          </cell>
          <cell r="T113" t="e">
            <v>#N/A</v>
          </cell>
        </row>
        <row r="114">
          <cell r="A114">
            <v>1035303231</v>
          </cell>
          <cell r="B114" t="str">
            <v>dina milena tangarife usuga</v>
          </cell>
          <cell r="C114">
            <v>1035303231</v>
          </cell>
          <cell r="D114" t="str">
            <v>san pascual</v>
          </cell>
          <cell r="J114" t="str">
            <v>x</v>
          </cell>
          <cell r="S114" t="e">
            <v>#N/A</v>
          </cell>
          <cell r="T114" t="e">
            <v>#N/A</v>
          </cell>
        </row>
        <row r="115">
          <cell r="A115">
            <v>43870488</v>
          </cell>
          <cell r="B115" t="str">
            <v>claudia elena correa ocampo</v>
          </cell>
          <cell r="C115">
            <v>43870488</v>
          </cell>
          <cell r="D115" t="str">
            <v>moroto</v>
          </cell>
          <cell r="E115">
            <v>3173218334</v>
          </cell>
          <cell r="G115" t="str">
            <v>x</v>
          </cell>
          <cell r="J115" t="str">
            <v>x</v>
          </cell>
          <cell r="S115" t="e">
            <v>#N/A</v>
          </cell>
          <cell r="T115">
            <v>1</v>
          </cell>
        </row>
        <row r="116">
          <cell r="A116">
            <v>21609951</v>
          </cell>
          <cell r="B116" t="str">
            <v>maria ismelia correa</v>
          </cell>
          <cell r="C116">
            <v>21609951</v>
          </cell>
          <cell r="D116" t="str">
            <v>los balsos</v>
          </cell>
          <cell r="E116">
            <v>3214411525</v>
          </cell>
          <cell r="J116" t="str">
            <v>x</v>
          </cell>
          <cell r="S116" t="e">
            <v>#N/A</v>
          </cell>
          <cell r="T116">
            <v>1</v>
          </cell>
        </row>
        <row r="117">
          <cell r="A117">
            <v>43782324</v>
          </cell>
          <cell r="B117" t="str">
            <v>lucila manco usuga</v>
          </cell>
          <cell r="C117">
            <v>43782324</v>
          </cell>
          <cell r="D117" t="str">
            <v>la aldea</v>
          </cell>
          <cell r="E117">
            <v>3113372350</v>
          </cell>
          <cell r="G117" t="str">
            <v>x</v>
          </cell>
          <cell r="J117" t="str">
            <v>x</v>
          </cell>
          <cell r="S117" t="e">
            <v>#N/A</v>
          </cell>
          <cell r="T117" t="e">
            <v>#N/A</v>
          </cell>
        </row>
        <row r="118">
          <cell r="A118">
            <v>70431919</v>
          </cell>
          <cell r="B118" t="str">
            <v>jhon antonio higuita valderrama</v>
          </cell>
          <cell r="C118">
            <v>70431919</v>
          </cell>
          <cell r="D118" t="str">
            <v>san jose</v>
          </cell>
          <cell r="E118">
            <v>3136784215</v>
          </cell>
          <cell r="G118" t="str">
            <v>x</v>
          </cell>
          <cell r="J118" t="str">
            <v>x</v>
          </cell>
          <cell r="S118" t="e">
            <v>#N/A</v>
          </cell>
          <cell r="T118">
            <v>1</v>
          </cell>
        </row>
        <row r="119">
          <cell r="A119">
            <v>32537257</v>
          </cell>
          <cell r="B119" t="str">
            <v>ana emilse florez carvajal</v>
          </cell>
          <cell r="C119">
            <v>32537257</v>
          </cell>
          <cell r="D119" t="str">
            <v>los naranjos</v>
          </cell>
          <cell r="E119">
            <v>3147883171</v>
          </cell>
          <cell r="G119" t="str">
            <v>x</v>
          </cell>
          <cell r="J119" t="str">
            <v>x</v>
          </cell>
          <cell r="Q119" t="str">
            <v>quedo pendiente por techo</v>
          </cell>
          <cell r="S119" t="e">
            <v>#N/A</v>
          </cell>
          <cell r="T119" t="e">
            <v>#N/A</v>
          </cell>
        </row>
        <row r="120">
          <cell r="A120">
            <v>21610807</v>
          </cell>
          <cell r="B120" t="str">
            <v>maria ismaelina ruiz</v>
          </cell>
          <cell r="C120">
            <v>21610807</v>
          </cell>
          <cell r="D120" t="str">
            <v>buenos aires parte alta</v>
          </cell>
          <cell r="E120">
            <v>3226096566</v>
          </cell>
          <cell r="J120" t="str">
            <v>x</v>
          </cell>
          <cell r="S120" t="e">
            <v>#N/A</v>
          </cell>
          <cell r="T120" t="e">
            <v>#N/A</v>
          </cell>
        </row>
        <row r="121">
          <cell r="A121">
            <v>43506609</v>
          </cell>
          <cell r="B121" t="str">
            <v>flor estela cano</v>
          </cell>
          <cell r="C121">
            <v>43506609</v>
          </cell>
          <cell r="D121" t="str">
            <v>buenos aires parte alta</v>
          </cell>
          <cell r="E121">
            <v>3005480850</v>
          </cell>
          <cell r="J121" t="str">
            <v>x</v>
          </cell>
          <cell r="S121" t="e">
            <v>#N/A</v>
          </cell>
          <cell r="T121" t="e">
            <v>#N/A</v>
          </cell>
        </row>
        <row r="122">
          <cell r="A122">
            <v>70433099</v>
          </cell>
          <cell r="B122" t="str">
            <v>luis oracio usuga florez</v>
          </cell>
          <cell r="C122">
            <v>70433099</v>
          </cell>
          <cell r="D122" t="str">
            <v>buenos aires parte alta</v>
          </cell>
          <cell r="E122">
            <v>3217839197</v>
          </cell>
          <cell r="J122" t="str">
            <v>x</v>
          </cell>
          <cell r="S122" t="e">
            <v>#N/A</v>
          </cell>
          <cell r="T122">
            <v>1</v>
          </cell>
        </row>
        <row r="123">
          <cell r="A123">
            <v>70433468</v>
          </cell>
          <cell r="B123" t="str">
            <v>nicolas bastidas alcaraz</v>
          </cell>
          <cell r="C123">
            <v>70433468</v>
          </cell>
          <cell r="D123" t="str">
            <v>buenos aires parte alta</v>
          </cell>
          <cell r="E123">
            <v>3114171293</v>
          </cell>
          <cell r="J123" t="str">
            <v>x</v>
          </cell>
          <cell r="S123" t="e">
            <v>#N/A</v>
          </cell>
          <cell r="T123">
            <v>1</v>
          </cell>
        </row>
        <row r="124">
          <cell r="A124">
            <v>70092399</v>
          </cell>
          <cell r="B124" t="str">
            <v>hernan de jesus velasquez george</v>
          </cell>
          <cell r="C124">
            <v>70092399</v>
          </cell>
          <cell r="D124" t="str">
            <v>la curva san pascual</v>
          </cell>
          <cell r="E124">
            <v>3122590953</v>
          </cell>
          <cell r="J124" t="str">
            <v>x</v>
          </cell>
          <cell r="S124" t="e">
            <v>#N/A</v>
          </cell>
          <cell r="T124">
            <v>0</v>
          </cell>
        </row>
        <row r="125">
          <cell r="A125">
            <v>32285977</v>
          </cell>
          <cell r="B125" t="str">
            <v>argemira valderrama de guisao</v>
          </cell>
          <cell r="C125">
            <v>32285977</v>
          </cell>
          <cell r="D125" t="str">
            <v>san julian</v>
          </cell>
          <cell r="E125">
            <v>3117743128</v>
          </cell>
          <cell r="J125" t="str">
            <v>x</v>
          </cell>
          <cell r="S125" t="e">
            <v>#N/A</v>
          </cell>
          <cell r="T125" t="e">
            <v>#N/A</v>
          </cell>
        </row>
        <row r="126">
          <cell r="A126">
            <v>70431551</v>
          </cell>
          <cell r="B126" t="str">
            <v>gerardo antonio arias hurtado</v>
          </cell>
          <cell r="C126">
            <v>70431551</v>
          </cell>
          <cell r="D126" t="str">
            <v>el café</v>
          </cell>
          <cell r="E126">
            <v>3105094573</v>
          </cell>
          <cell r="J126" t="str">
            <v>x</v>
          </cell>
          <cell r="R126" t="str">
            <v>julieta</v>
          </cell>
          <cell r="S126" t="e">
            <v>#N/A</v>
          </cell>
          <cell r="T126">
            <v>1</v>
          </cell>
        </row>
        <row r="127">
          <cell r="A127">
            <v>70430017</v>
          </cell>
          <cell r="B127" t="str">
            <v>edgar de jesus mazo guerra</v>
          </cell>
          <cell r="C127">
            <v>70430017</v>
          </cell>
          <cell r="D127" t="str">
            <v>urbano santa ana</v>
          </cell>
          <cell r="E127">
            <v>3127476630</v>
          </cell>
          <cell r="J127" t="str">
            <v>x</v>
          </cell>
          <cell r="S127" t="e">
            <v>#N/A</v>
          </cell>
          <cell r="T127">
            <v>1</v>
          </cell>
        </row>
        <row r="128">
          <cell r="A128">
            <v>1035303097</v>
          </cell>
          <cell r="B128" t="str">
            <v>claudia cristina presiga</v>
          </cell>
          <cell r="C128">
            <v>1035303097</v>
          </cell>
          <cell r="D128" t="str">
            <v>ciriguan</v>
          </cell>
          <cell r="E128">
            <v>3218637329</v>
          </cell>
          <cell r="J128" t="str">
            <v>x</v>
          </cell>
          <cell r="S128" t="e">
            <v>#N/A</v>
          </cell>
          <cell r="T128" t="e">
            <v>#N/A</v>
          </cell>
        </row>
        <row r="129">
          <cell r="A129">
            <v>3431373</v>
          </cell>
          <cell r="B129" t="str">
            <v>anibal de jesus garcia</v>
          </cell>
          <cell r="C129">
            <v>3431373</v>
          </cell>
          <cell r="D129" t="str">
            <v>la balsita</v>
          </cell>
          <cell r="E129">
            <v>3212062061</v>
          </cell>
          <cell r="J129" t="str">
            <v>x</v>
          </cell>
          <cell r="R129" t="str">
            <v>presidenta</v>
          </cell>
          <cell r="S129" t="e">
            <v>#N/A</v>
          </cell>
          <cell r="T129">
            <v>1</v>
          </cell>
        </row>
        <row r="130">
          <cell r="A130">
            <v>1035303404</v>
          </cell>
          <cell r="B130" t="str">
            <v>hector arnulfo lopera muñoz</v>
          </cell>
          <cell r="C130">
            <v>1035303404</v>
          </cell>
          <cell r="D130" t="str">
            <v>la aguadita</v>
          </cell>
          <cell r="E130">
            <v>3157903223</v>
          </cell>
          <cell r="J130" t="str">
            <v>x</v>
          </cell>
          <cell r="S130" t="e">
            <v>#N/A</v>
          </cell>
          <cell r="T130" t="e">
            <v>#N/A</v>
          </cell>
        </row>
        <row r="131">
          <cell r="A131">
            <v>70430697</v>
          </cell>
          <cell r="B131" t="str">
            <v>jose angel goez david</v>
          </cell>
          <cell r="C131">
            <v>70430697</v>
          </cell>
          <cell r="D131" t="str">
            <v>san pascual</v>
          </cell>
          <cell r="E131">
            <v>3116885137</v>
          </cell>
          <cell r="J131" t="str">
            <v>x</v>
          </cell>
          <cell r="S131" t="e">
            <v>#N/A</v>
          </cell>
          <cell r="T131">
            <v>1</v>
          </cell>
        </row>
        <row r="132">
          <cell r="A132">
            <v>6706402</v>
          </cell>
          <cell r="B132" t="str">
            <v>carlos mario toro araque</v>
          </cell>
          <cell r="C132">
            <v>6706402</v>
          </cell>
          <cell r="D132" t="str">
            <v>san pascual</v>
          </cell>
          <cell r="E132">
            <v>3116885137</v>
          </cell>
          <cell r="J132" t="str">
            <v>x</v>
          </cell>
          <cell r="S132" t="e">
            <v>#N/A</v>
          </cell>
          <cell r="T132" t="e">
            <v>#N/A</v>
          </cell>
        </row>
        <row r="133">
          <cell r="A133">
            <v>1035302172</v>
          </cell>
          <cell r="B133" t="str">
            <v>maria doreli diaz arias</v>
          </cell>
          <cell r="C133">
            <v>1035302172</v>
          </cell>
          <cell r="D133" t="str">
            <v>san pascual</v>
          </cell>
          <cell r="E133">
            <v>3116885137</v>
          </cell>
          <cell r="J133" t="str">
            <v>x</v>
          </cell>
          <cell r="S133" t="e">
            <v>#N/A</v>
          </cell>
          <cell r="T133" t="e">
            <v>#N/A</v>
          </cell>
        </row>
        <row r="134">
          <cell r="A134">
            <v>70430075</v>
          </cell>
          <cell r="B134" t="str">
            <v>gildardo de jesus higuita zapata</v>
          </cell>
          <cell r="C134">
            <v>70430075</v>
          </cell>
          <cell r="D134" t="str">
            <v>versalles</v>
          </cell>
          <cell r="J134" t="str">
            <v>x</v>
          </cell>
          <cell r="S134" t="e">
            <v>#N/A</v>
          </cell>
          <cell r="T134">
            <v>0</v>
          </cell>
        </row>
        <row r="135">
          <cell r="A135">
            <v>43781206</v>
          </cell>
          <cell r="B135" t="str">
            <v>LUCY YANET FERNANDEZ GAVIRIA</v>
          </cell>
          <cell r="C135">
            <v>43781206</v>
          </cell>
          <cell r="D135" t="str">
            <v xml:space="preserve">URBANO </v>
          </cell>
          <cell r="E135">
            <v>3216478937</v>
          </cell>
          <cell r="J135" t="str">
            <v>X</v>
          </cell>
          <cell r="P135" t="str">
            <v>CR BOLIVAR</v>
          </cell>
          <cell r="S135" t="e">
            <v>#N/A</v>
          </cell>
          <cell r="T135">
            <v>1</v>
          </cell>
        </row>
        <row r="136">
          <cell r="A136">
            <v>1035303771</v>
          </cell>
          <cell r="B136" t="str">
            <v xml:space="preserve">WILMAR DE JESUS CORREA USUGA </v>
          </cell>
          <cell r="C136">
            <v>1035303771</v>
          </cell>
          <cell r="E136">
            <v>3122566687</v>
          </cell>
          <cell r="J136" t="str">
            <v>X</v>
          </cell>
          <cell r="S136" t="e">
            <v>#N/A</v>
          </cell>
          <cell r="T136" t="e">
            <v>#N/A</v>
          </cell>
        </row>
        <row r="137">
          <cell r="A137">
            <v>71656384</v>
          </cell>
          <cell r="B137" t="str">
            <v>GERMAN VALDERRAMA BERRIO</v>
          </cell>
          <cell r="C137">
            <v>71656384</v>
          </cell>
          <cell r="E137">
            <v>3114116627</v>
          </cell>
          <cell r="J137" t="str">
            <v>X</v>
          </cell>
          <cell r="S137" t="e">
            <v>#N/A</v>
          </cell>
          <cell r="T137">
            <v>1</v>
          </cell>
        </row>
        <row r="138">
          <cell r="A138">
            <v>43781884</v>
          </cell>
          <cell r="B138" t="str">
            <v>BLANCA LUZ HIDALGO USUGA</v>
          </cell>
          <cell r="C138">
            <v>43781884</v>
          </cell>
          <cell r="E138">
            <v>3167241815</v>
          </cell>
          <cell r="J138" t="str">
            <v>X</v>
          </cell>
          <cell r="S138" t="e">
            <v>#N/A</v>
          </cell>
          <cell r="T138" t="e">
            <v>#N/A</v>
          </cell>
        </row>
        <row r="139">
          <cell r="A139">
            <v>98455886</v>
          </cell>
          <cell r="B139" t="str">
            <v>JOSE OCTAVIO MORALES TORO</v>
          </cell>
          <cell r="C139">
            <v>98455886</v>
          </cell>
          <cell r="D139" t="str">
            <v>Urbano</v>
          </cell>
          <cell r="E139">
            <v>3103750648</v>
          </cell>
          <cell r="I139" t="str">
            <v>El y el Hijo</v>
          </cell>
          <cell r="Q139" t="str">
            <v>La esperanza</v>
          </cell>
          <cell r="S139" t="e">
            <v>#N/A</v>
          </cell>
          <cell r="T139">
            <v>1</v>
          </cell>
        </row>
        <row r="140">
          <cell r="A140">
            <v>21608582</v>
          </cell>
          <cell r="B140" t="str">
            <v>MARIA DE LOS ANGELES DAVID LOAIZA</v>
          </cell>
          <cell r="C140">
            <v>21608582</v>
          </cell>
          <cell r="D140" t="str">
            <v>Urbano</v>
          </cell>
          <cell r="F140" t="str">
            <v>x</v>
          </cell>
          <cell r="I140" t="str">
            <v>Solita</v>
          </cell>
          <cell r="L140" t="str">
            <v>x</v>
          </cell>
          <cell r="Q140" t="str">
            <v>San Martin</v>
          </cell>
          <cell r="S140" t="e">
            <v>#N/A</v>
          </cell>
          <cell r="T140">
            <v>1</v>
          </cell>
        </row>
        <row r="141">
          <cell r="A141">
            <v>70430</v>
          </cell>
          <cell r="B141" t="str">
            <v>Jose  Higuita</v>
          </cell>
          <cell r="C141">
            <v>70430</v>
          </cell>
          <cell r="D141" t="str">
            <v>La Escalera</v>
          </cell>
          <cell r="E141">
            <v>3104925790</v>
          </cell>
          <cell r="O141" t="str">
            <v>X</v>
          </cell>
          <cell r="S141" t="e">
            <v>#N/A</v>
          </cell>
          <cell r="T141">
            <v>0</v>
          </cell>
        </row>
        <row r="142">
          <cell r="A142">
            <v>340060</v>
          </cell>
          <cell r="B142" t="str">
            <v>Tobias Montoya</v>
          </cell>
          <cell r="C142">
            <v>340060</v>
          </cell>
          <cell r="D142" t="str">
            <v>Urbano</v>
          </cell>
          <cell r="E142">
            <v>3126334850</v>
          </cell>
          <cell r="P142" t="str">
            <v>Versalles y el eden</v>
          </cell>
          <cell r="S142" t="e">
            <v>#N/A</v>
          </cell>
          <cell r="T142" t="e">
            <v>#N/A</v>
          </cell>
        </row>
        <row r="143">
          <cell r="A143">
            <v>345599</v>
          </cell>
          <cell r="B143" t="str">
            <v>Joaquin Emilio Gomez Herrera</v>
          </cell>
          <cell r="C143">
            <v>345599</v>
          </cell>
          <cell r="D143" t="str">
            <v>La Curva</v>
          </cell>
          <cell r="E143">
            <v>3108271140</v>
          </cell>
          <cell r="N143" t="str">
            <v>X</v>
          </cell>
          <cell r="S143" t="e">
            <v>#N/A</v>
          </cell>
          <cell r="T143">
            <v>0</v>
          </cell>
        </row>
        <row r="144">
          <cell r="A144">
            <v>604391</v>
          </cell>
          <cell r="B144" t="str">
            <v>Antonio David Usuga</v>
          </cell>
          <cell r="C144">
            <v>604391</v>
          </cell>
          <cell r="D144" t="str">
            <v>Ciriguan</v>
          </cell>
          <cell r="E144">
            <v>3207311835</v>
          </cell>
          <cell r="L144" t="str">
            <v>x</v>
          </cell>
          <cell r="S144" t="str">
            <v>banco agrario</v>
          </cell>
          <cell r="T144">
            <v>1</v>
          </cell>
        </row>
        <row r="145">
          <cell r="A145">
            <v>606457</v>
          </cell>
          <cell r="B145" t="str">
            <v>gerardo antonio holguin durango</v>
          </cell>
          <cell r="C145">
            <v>606457</v>
          </cell>
          <cell r="D145" t="str">
            <v>la estrella</v>
          </cell>
          <cell r="L145" t="str">
            <v>x</v>
          </cell>
          <cell r="S145" t="e">
            <v>#N/A</v>
          </cell>
          <cell r="T145">
            <v>1</v>
          </cell>
        </row>
        <row r="146">
          <cell r="A146">
            <v>613041</v>
          </cell>
          <cell r="B146" t="str">
            <v>GONZALO VARELA</v>
          </cell>
          <cell r="C146">
            <v>613041</v>
          </cell>
          <cell r="D146" t="str">
            <v>CESTILLAL</v>
          </cell>
          <cell r="S146" t="str">
            <v xml:space="preserve">inurbe </v>
          </cell>
          <cell r="T146">
            <v>1</v>
          </cell>
        </row>
        <row r="147">
          <cell r="A147">
            <v>610976</v>
          </cell>
          <cell r="B147" t="str">
            <v>Carlos Enrique Usuga Lopera</v>
          </cell>
          <cell r="C147">
            <v>610976</v>
          </cell>
          <cell r="D147" t="str">
            <v>Rubicon</v>
          </cell>
          <cell r="L147" t="str">
            <v>x</v>
          </cell>
          <cell r="S147" t="e">
            <v>#N/A</v>
          </cell>
          <cell r="T147" t="e">
            <v>#N/A</v>
          </cell>
        </row>
        <row r="148">
          <cell r="A148">
            <v>612421</v>
          </cell>
          <cell r="B148" t="str">
            <v>luis amando usuga david</v>
          </cell>
          <cell r="C148">
            <v>612421</v>
          </cell>
          <cell r="D148" t="str">
            <v>san pascual</v>
          </cell>
          <cell r="E148">
            <v>3234907640</v>
          </cell>
          <cell r="L148" t="str">
            <v>x</v>
          </cell>
          <cell r="R148" t="str">
            <v>secretario salud</v>
          </cell>
          <cell r="S148" t="e">
            <v>#N/A</v>
          </cell>
          <cell r="T148" t="e">
            <v>#N/A</v>
          </cell>
        </row>
        <row r="149">
          <cell r="A149">
            <v>613200</v>
          </cell>
          <cell r="B149" t="str">
            <v>Mauro Antonio  Salas Duarte</v>
          </cell>
          <cell r="C149">
            <v>613200</v>
          </cell>
          <cell r="D149" t="str">
            <v>Juntas de Uramita</v>
          </cell>
          <cell r="E149">
            <v>3135740772</v>
          </cell>
          <cell r="P149" t="str">
            <v>Juntas de Uramita</v>
          </cell>
          <cell r="S149" t="e">
            <v>#N/A</v>
          </cell>
          <cell r="T149" t="e">
            <v>#N/A</v>
          </cell>
        </row>
        <row r="150">
          <cell r="A150">
            <v>613371</v>
          </cell>
          <cell r="B150" t="str">
            <v>Luis Alfredo Alcaraz David</v>
          </cell>
          <cell r="C150">
            <v>613371</v>
          </cell>
          <cell r="D150" t="str">
            <v>San Julian</v>
          </cell>
          <cell r="E150" t="str">
            <v>3207662328 - 3227808713</v>
          </cell>
          <cell r="F150" t="str">
            <v>x</v>
          </cell>
          <cell r="O150" t="str">
            <v>x</v>
          </cell>
          <cell r="S150" t="e">
            <v>#N/A</v>
          </cell>
          <cell r="T150" t="e">
            <v>#N/A</v>
          </cell>
        </row>
        <row r="151">
          <cell r="A151">
            <v>613371</v>
          </cell>
          <cell r="B151" t="str">
            <v>Luis Alfredo Alcaraz David</v>
          </cell>
          <cell r="C151">
            <v>613371</v>
          </cell>
          <cell r="D151" t="str">
            <v>San Julian</v>
          </cell>
          <cell r="E151" t="str">
            <v>3207662328 - 3227808713</v>
          </cell>
          <cell r="F151" t="str">
            <v>x</v>
          </cell>
          <cell r="O151" t="str">
            <v>x</v>
          </cell>
          <cell r="S151" t="e">
            <v>#N/A</v>
          </cell>
          <cell r="T151" t="e">
            <v>#N/A</v>
          </cell>
        </row>
        <row r="152">
          <cell r="A152">
            <v>613347</v>
          </cell>
          <cell r="B152" t="str">
            <v>Israel Durango Guisao</v>
          </cell>
          <cell r="C152">
            <v>613347</v>
          </cell>
          <cell r="D152" t="str">
            <v>Buena Vista</v>
          </cell>
          <cell r="E152">
            <v>3122783299</v>
          </cell>
          <cell r="L152" t="str">
            <v>x</v>
          </cell>
          <cell r="S152" t="e">
            <v>#N/A</v>
          </cell>
          <cell r="T152">
            <v>1</v>
          </cell>
        </row>
        <row r="153">
          <cell r="A153">
            <v>613374</v>
          </cell>
          <cell r="B153" t="str">
            <v>Luis Carlos Lopez Vargas</v>
          </cell>
          <cell r="C153">
            <v>613374</v>
          </cell>
          <cell r="D153" t="str">
            <v>Vereda san Julian</v>
          </cell>
          <cell r="N153" t="str">
            <v>X</v>
          </cell>
          <cell r="S153" t="e">
            <v>#N/A</v>
          </cell>
          <cell r="T153">
            <v>1</v>
          </cell>
        </row>
        <row r="154">
          <cell r="A154">
            <v>613426</v>
          </cell>
          <cell r="B154" t="str">
            <v>Argemiro Quiroz Higuita</v>
          </cell>
          <cell r="C154">
            <v>613426</v>
          </cell>
          <cell r="D154" t="str">
            <v>Juntas de Uramita</v>
          </cell>
          <cell r="E154">
            <v>3126725745</v>
          </cell>
          <cell r="P154" t="str">
            <v>Juntas de Uramita</v>
          </cell>
          <cell r="S154" t="e">
            <v>#N/A</v>
          </cell>
          <cell r="T154">
            <v>0</v>
          </cell>
        </row>
        <row r="155">
          <cell r="A155">
            <v>622963</v>
          </cell>
          <cell r="B155" t="str">
            <v>Ramon Areiza</v>
          </cell>
          <cell r="C155">
            <v>622963</v>
          </cell>
          <cell r="D155" t="str">
            <v>Vereda Cumbarra</v>
          </cell>
          <cell r="E155">
            <v>3216881438</v>
          </cell>
          <cell r="O155" t="str">
            <v>x</v>
          </cell>
          <cell r="P155" t="str">
            <v>Vereda Cumbarra</v>
          </cell>
          <cell r="S155" t="e">
            <v>#N/A</v>
          </cell>
          <cell r="T155" t="e">
            <v>#N/A</v>
          </cell>
        </row>
        <row r="156">
          <cell r="A156">
            <v>622963</v>
          </cell>
          <cell r="B156" t="str">
            <v>Ramon Areiza</v>
          </cell>
          <cell r="C156">
            <v>622963</v>
          </cell>
          <cell r="D156" t="str">
            <v>Vereda Cumbarra</v>
          </cell>
          <cell r="E156">
            <v>3216881438</v>
          </cell>
          <cell r="O156" t="str">
            <v>x</v>
          </cell>
          <cell r="P156" t="str">
            <v>Vereda Cumbarra</v>
          </cell>
          <cell r="S156" t="e">
            <v>#N/A</v>
          </cell>
          <cell r="T156" t="e">
            <v>#N/A</v>
          </cell>
        </row>
        <row r="157">
          <cell r="A157">
            <v>613347</v>
          </cell>
          <cell r="B157" t="str">
            <v>Israel Durango Guisao</v>
          </cell>
          <cell r="C157">
            <v>613347</v>
          </cell>
          <cell r="D157" t="str">
            <v>Buena Vista</v>
          </cell>
          <cell r="E157">
            <v>3122783299</v>
          </cell>
          <cell r="L157" t="str">
            <v>x</v>
          </cell>
          <cell r="S157" t="e">
            <v>#N/A</v>
          </cell>
          <cell r="T157">
            <v>1</v>
          </cell>
        </row>
        <row r="158">
          <cell r="A158">
            <v>613371</v>
          </cell>
          <cell r="B158" t="str">
            <v>Luis Alfredo Alcaraz</v>
          </cell>
          <cell r="C158">
            <v>613371</v>
          </cell>
          <cell r="D158" t="str">
            <v>Vereda san Julian</v>
          </cell>
          <cell r="E158">
            <v>3207662328</v>
          </cell>
          <cell r="S158" t="e">
            <v>#N/A</v>
          </cell>
          <cell r="T158" t="e">
            <v>#N/A</v>
          </cell>
        </row>
        <row r="159">
          <cell r="A159">
            <v>3363130</v>
          </cell>
          <cell r="B159" t="str">
            <v xml:space="preserve">roger alberto lopera puerta </v>
          </cell>
          <cell r="C159">
            <v>3363130</v>
          </cell>
          <cell r="D159" t="str">
            <v>lloroncita</v>
          </cell>
          <cell r="E159">
            <v>3116176902</v>
          </cell>
          <cell r="L159" t="str">
            <v>x</v>
          </cell>
          <cell r="S159" t="e">
            <v>#N/A</v>
          </cell>
          <cell r="T159">
            <v>1</v>
          </cell>
        </row>
        <row r="160">
          <cell r="A160">
            <v>3391197</v>
          </cell>
          <cell r="B160" t="str">
            <v>Hernan de Jesus Hernandez Lopez</v>
          </cell>
          <cell r="C160">
            <v>3391197</v>
          </cell>
          <cell r="D160" t="str">
            <v>Urbano</v>
          </cell>
          <cell r="E160" t="str">
            <v>3107399635-3136213992</v>
          </cell>
          <cell r="F160" t="str">
            <v>x</v>
          </cell>
          <cell r="I160" t="str">
            <v>Jefe de hogar e hijo</v>
          </cell>
          <cell r="L160" t="str">
            <v>x</v>
          </cell>
          <cell r="P160" t="str">
            <v>Vereda mediacuesta</v>
          </cell>
          <cell r="S160" t="e">
            <v>#N/A</v>
          </cell>
          <cell r="T160" t="e">
            <v>#N/A</v>
          </cell>
        </row>
        <row r="161">
          <cell r="A161">
            <v>3413569</v>
          </cell>
          <cell r="B161" t="str">
            <v>Leonardo Cartagena Urrego</v>
          </cell>
          <cell r="C161">
            <v>3413569</v>
          </cell>
          <cell r="D161" t="str">
            <v>Santo Domingo</v>
          </cell>
          <cell r="E161">
            <v>3107331026</v>
          </cell>
          <cell r="K161" t="str">
            <v>x</v>
          </cell>
          <cell r="S161" t="e">
            <v>#N/A</v>
          </cell>
          <cell r="T161">
            <v>0</v>
          </cell>
        </row>
        <row r="162">
          <cell r="A162">
            <v>3413569</v>
          </cell>
          <cell r="B162" t="str">
            <v>Leonardo Cartagena Urrego</v>
          </cell>
          <cell r="C162">
            <v>3413569</v>
          </cell>
          <cell r="D162" t="str">
            <v>Santo Domingo</v>
          </cell>
          <cell r="E162">
            <v>3107331026</v>
          </cell>
          <cell r="K162" t="str">
            <v>x</v>
          </cell>
          <cell r="S162" t="e">
            <v>#N/A</v>
          </cell>
          <cell r="T162">
            <v>0</v>
          </cell>
        </row>
        <row r="163">
          <cell r="A163">
            <v>3429707</v>
          </cell>
          <cell r="B163" t="str">
            <v>Jesus Antonio Carmona Alcaraz</v>
          </cell>
          <cell r="C163">
            <v>3429707</v>
          </cell>
          <cell r="D163" t="str">
            <v>Loma de la alegria</v>
          </cell>
          <cell r="E163">
            <v>3138288908</v>
          </cell>
          <cell r="N163" t="str">
            <v>x</v>
          </cell>
          <cell r="S163" t="e">
            <v>#N/A</v>
          </cell>
          <cell r="T163" t="e">
            <v>#N/A</v>
          </cell>
        </row>
        <row r="164">
          <cell r="A164">
            <v>3429707</v>
          </cell>
          <cell r="B164" t="str">
            <v>Jesus Antonio Carmona Alcaraz</v>
          </cell>
          <cell r="C164">
            <v>3429707</v>
          </cell>
          <cell r="D164" t="str">
            <v>Loma de la alegria</v>
          </cell>
          <cell r="E164">
            <v>3138288908</v>
          </cell>
          <cell r="N164" t="str">
            <v>x</v>
          </cell>
          <cell r="S164" t="e">
            <v>#N/A</v>
          </cell>
          <cell r="T164" t="e">
            <v>#N/A</v>
          </cell>
        </row>
        <row r="165">
          <cell r="A165">
            <v>3430118</v>
          </cell>
          <cell r="B165" t="str">
            <v>Carlos enrrique Bedoya Miranda</v>
          </cell>
          <cell r="C165">
            <v>3430118</v>
          </cell>
          <cell r="D165" t="str">
            <v>Caracolal</v>
          </cell>
          <cell r="E165">
            <v>3209795732</v>
          </cell>
          <cell r="N165" t="str">
            <v>X</v>
          </cell>
          <cell r="S165" t="e">
            <v>#N/A</v>
          </cell>
          <cell r="T165" t="e">
            <v>#N/A</v>
          </cell>
        </row>
        <row r="166">
          <cell r="A166">
            <v>3421549</v>
          </cell>
          <cell r="B166" t="str">
            <v>Luis Goez Manco</v>
          </cell>
          <cell r="C166">
            <v>3421549</v>
          </cell>
          <cell r="D166" t="str">
            <v>Guayabal</v>
          </cell>
          <cell r="S166" t="e">
            <v>#N/A</v>
          </cell>
          <cell r="T166" t="e">
            <v>#N/A</v>
          </cell>
        </row>
        <row r="167">
          <cell r="A167">
            <v>3430222</v>
          </cell>
          <cell r="B167" t="str">
            <v>ELIBERTO  GOMEZ LOAIZA</v>
          </cell>
          <cell r="C167">
            <v>3430222</v>
          </cell>
          <cell r="D167" t="str">
            <v>MACANAL</v>
          </cell>
          <cell r="E167">
            <v>3127688428</v>
          </cell>
          <cell r="O167" t="str">
            <v>X</v>
          </cell>
          <cell r="R167" t="str">
            <v>PRESIDENTE PRIORIZADO</v>
          </cell>
          <cell r="S167" t="e">
            <v>#N/A</v>
          </cell>
          <cell r="T167">
            <v>1</v>
          </cell>
        </row>
        <row r="168">
          <cell r="A168">
            <v>3422006</v>
          </cell>
          <cell r="B168" t="str">
            <v>Arces Aldemar Usuga</v>
          </cell>
          <cell r="C168">
            <v>3422006</v>
          </cell>
          <cell r="D168" t="str">
            <v>San Miguelito</v>
          </cell>
          <cell r="E168">
            <v>3145004248</v>
          </cell>
          <cell r="L168" t="str">
            <v>x</v>
          </cell>
          <cell r="S168" t="e">
            <v>#N/A</v>
          </cell>
          <cell r="T168">
            <v>1</v>
          </cell>
        </row>
        <row r="169">
          <cell r="A169">
            <v>3429685</v>
          </cell>
          <cell r="B169" t="str">
            <v>JORGE OCTAVIO HIGUITA CARTAGENA</v>
          </cell>
          <cell r="C169">
            <v>3429685</v>
          </cell>
          <cell r="D169" t="str">
            <v>Macanal</v>
          </cell>
          <cell r="E169">
            <v>3122699502</v>
          </cell>
          <cell r="L169" t="str">
            <v>X</v>
          </cell>
          <cell r="Q169" t="str">
            <v>Visitar</v>
          </cell>
          <cell r="S169" t="e">
            <v>#N/A</v>
          </cell>
          <cell r="T169" t="e">
            <v>#N/A</v>
          </cell>
        </row>
        <row r="170">
          <cell r="A170">
            <v>3429928</v>
          </cell>
          <cell r="B170" t="str">
            <v>Antonio María pulgarín</v>
          </cell>
          <cell r="C170">
            <v>3429928</v>
          </cell>
          <cell r="D170" t="str">
            <v>El Retiro</v>
          </cell>
          <cell r="E170" t="str">
            <v>312 297 2182</v>
          </cell>
          <cell r="L170" t="str">
            <v>x</v>
          </cell>
          <cell r="S170" t="e">
            <v>#N/A</v>
          </cell>
          <cell r="T170">
            <v>0</v>
          </cell>
        </row>
        <row r="171">
          <cell r="A171">
            <v>3429928</v>
          </cell>
          <cell r="B171" t="str">
            <v xml:space="preserve">antoño pulgarin </v>
          </cell>
          <cell r="C171">
            <v>3429928</v>
          </cell>
          <cell r="D171" t="str">
            <v xml:space="preserve">la aldea </v>
          </cell>
          <cell r="E171">
            <v>3122972182</v>
          </cell>
          <cell r="L171" t="str">
            <v>x</v>
          </cell>
          <cell r="S171" t="e">
            <v>#N/A</v>
          </cell>
          <cell r="T171">
            <v>0</v>
          </cell>
        </row>
        <row r="172">
          <cell r="A172">
            <v>3430600</v>
          </cell>
          <cell r="B172" t="str">
            <v>Carlos Antonio Durango usuga</v>
          </cell>
          <cell r="C172">
            <v>3430600</v>
          </cell>
          <cell r="D172" t="str">
            <v>La Escalera</v>
          </cell>
          <cell r="G172" t="str">
            <v>x</v>
          </cell>
          <cell r="K172" t="str">
            <v>x</v>
          </cell>
          <cell r="S172" t="e">
            <v>#N/A</v>
          </cell>
          <cell r="T172">
            <v>0</v>
          </cell>
        </row>
        <row r="173">
          <cell r="A173">
            <v>3430389</v>
          </cell>
          <cell r="B173" t="str">
            <v>Juan de Jesus David Arteaga</v>
          </cell>
          <cell r="C173">
            <v>3430389</v>
          </cell>
          <cell r="D173" t="str">
            <v>Loma de la alegria</v>
          </cell>
          <cell r="E173">
            <v>3506761897</v>
          </cell>
          <cell r="K173" t="str">
            <v>X</v>
          </cell>
          <cell r="S173" t="e">
            <v>#N/A</v>
          </cell>
          <cell r="T173">
            <v>1</v>
          </cell>
        </row>
        <row r="174">
          <cell r="A174">
            <v>3430436</v>
          </cell>
          <cell r="B174" t="str">
            <v>Octavio Medina</v>
          </cell>
          <cell r="C174">
            <v>3430436</v>
          </cell>
          <cell r="D174" t="str">
            <v>Urbano</v>
          </cell>
          <cell r="E174">
            <v>3127510882</v>
          </cell>
          <cell r="K174" t="str">
            <v>x</v>
          </cell>
          <cell r="P174" t="str">
            <v>Barrio los balsos</v>
          </cell>
          <cell r="S174" t="e">
            <v>#N/A</v>
          </cell>
          <cell r="T174">
            <v>1</v>
          </cell>
        </row>
        <row r="175">
          <cell r="A175">
            <v>3430438</v>
          </cell>
          <cell r="B175" t="str">
            <v>Fidel Antonio Florez lopera</v>
          </cell>
          <cell r="C175">
            <v>3430438</v>
          </cell>
          <cell r="D175" t="str">
            <v>El cafe</v>
          </cell>
          <cell r="G175" t="str">
            <v>x</v>
          </cell>
          <cell r="S175" t="e">
            <v>#N/A</v>
          </cell>
          <cell r="T175">
            <v>1</v>
          </cell>
        </row>
        <row r="176">
          <cell r="A176">
            <v>3430999</v>
          </cell>
          <cell r="B176" t="str">
            <v xml:space="preserve">LUCIO  HOGUITA CARDONA </v>
          </cell>
          <cell r="C176">
            <v>3430999</v>
          </cell>
          <cell r="D176" t="str">
            <v xml:space="preserve">el roble </v>
          </cell>
          <cell r="F176" t="str">
            <v>x</v>
          </cell>
          <cell r="I176" t="str">
            <v>el y hermanos</v>
          </cell>
          <cell r="N176" t="str">
            <v>x</v>
          </cell>
          <cell r="P176" t="str">
            <v xml:space="preserve">junto la capilla </v>
          </cell>
          <cell r="S176" t="e">
            <v>#N/A</v>
          </cell>
          <cell r="T176">
            <v>1</v>
          </cell>
        </row>
        <row r="177">
          <cell r="A177">
            <v>3431066</v>
          </cell>
          <cell r="B177" t="str">
            <v>Juan De Dios Usuga</v>
          </cell>
          <cell r="C177">
            <v>3431066</v>
          </cell>
          <cell r="D177" t="str">
            <v>Caracolal</v>
          </cell>
          <cell r="N177" t="str">
            <v>X</v>
          </cell>
          <cell r="S177" t="e">
            <v>#N/A</v>
          </cell>
          <cell r="T177">
            <v>1</v>
          </cell>
        </row>
        <row r="178">
          <cell r="A178">
            <v>3430579</v>
          </cell>
          <cell r="B178" t="str">
            <v>Severiano Santa</v>
          </cell>
          <cell r="C178">
            <v>3430579</v>
          </cell>
          <cell r="S178" t="e">
            <v>#N/A</v>
          </cell>
          <cell r="T178">
            <v>1</v>
          </cell>
        </row>
        <row r="179">
          <cell r="A179">
            <v>3430653</v>
          </cell>
          <cell r="B179" t="str">
            <v>Angel Maria Usuga</v>
          </cell>
          <cell r="C179">
            <v>3430653</v>
          </cell>
          <cell r="D179" t="str">
            <v>Insor</v>
          </cell>
          <cell r="E179">
            <v>3113125816</v>
          </cell>
          <cell r="K179" t="str">
            <v>x</v>
          </cell>
          <cell r="S179" t="e">
            <v>#N/A</v>
          </cell>
          <cell r="T179" t="e">
            <v>#N/A</v>
          </cell>
        </row>
        <row r="180">
          <cell r="A180">
            <v>3430670</v>
          </cell>
          <cell r="B180" t="str">
            <v xml:space="preserve">julio emilio tuberquia </v>
          </cell>
          <cell r="C180">
            <v>3430670</v>
          </cell>
          <cell r="D180" t="str">
            <v>cordoncillal</v>
          </cell>
          <cell r="K180" t="str">
            <v>x</v>
          </cell>
          <cell r="S180" t="e">
            <v>#N/A</v>
          </cell>
          <cell r="T180">
            <v>0</v>
          </cell>
        </row>
        <row r="181">
          <cell r="A181">
            <v>3431234</v>
          </cell>
          <cell r="B181" t="str">
            <v>Jesus Emilio Correa Rueda</v>
          </cell>
          <cell r="C181">
            <v>3431234</v>
          </cell>
          <cell r="D181" t="str">
            <v>La soledad</v>
          </cell>
          <cell r="E181">
            <v>3137869374</v>
          </cell>
          <cell r="K181" t="str">
            <v>x</v>
          </cell>
          <cell r="S181" t="str">
            <v xml:space="preserve">inurbe </v>
          </cell>
          <cell r="T181">
            <v>1</v>
          </cell>
        </row>
        <row r="182">
          <cell r="A182">
            <v>3431248</v>
          </cell>
          <cell r="B182" t="str">
            <v>Reynaldo Antonio Correa Manco</v>
          </cell>
          <cell r="C182">
            <v>3431248</v>
          </cell>
          <cell r="D182" t="str">
            <v>La Soledad</v>
          </cell>
          <cell r="E182">
            <v>3148710638</v>
          </cell>
          <cell r="F182" t="str">
            <v>x</v>
          </cell>
          <cell r="O182" t="str">
            <v>x</v>
          </cell>
          <cell r="S182" t="e">
            <v>#N/A</v>
          </cell>
          <cell r="T182">
            <v>1</v>
          </cell>
        </row>
        <row r="183">
          <cell r="A183">
            <v>3431248</v>
          </cell>
          <cell r="B183" t="str">
            <v>Reynaldo Antonio Correa Manco</v>
          </cell>
          <cell r="C183">
            <v>3431248</v>
          </cell>
          <cell r="D183" t="str">
            <v>La Soledad</v>
          </cell>
          <cell r="E183">
            <v>3148710638</v>
          </cell>
          <cell r="F183" t="str">
            <v>x</v>
          </cell>
          <cell r="O183" t="str">
            <v>x</v>
          </cell>
          <cell r="S183" t="e">
            <v>#N/A</v>
          </cell>
          <cell r="T183">
            <v>1</v>
          </cell>
        </row>
        <row r="184">
          <cell r="A184">
            <v>3430909</v>
          </cell>
          <cell r="B184" t="str">
            <v>Roberto Emilio Manco Correa</v>
          </cell>
          <cell r="C184">
            <v>3430909</v>
          </cell>
          <cell r="D184" t="str">
            <v>Bellavista</v>
          </cell>
          <cell r="E184">
            <v>321739685</v>
          </cell>
          <cell r="L184" t="str">
            <v>x</v>
          </cell>
          <cell r="S184" t="e">
            <v>#N/A</v>
          </cell>
          <cell r="T184">
            <v>1</v>
          </cell>
        </row>
        <row r="185">
          <cell r="A185">
            <v>3430909</v>
          </cell>
          <cell r="B185" t="str">
            <v>Roberto Emilio Manco Correa</v>
          </cell>
          <cell r="C185">
            <v>3430909</v>
          </cell>
          <cell r="D185" t="str">
            <v>Bellavista</v>
          </cell>
          <cell r="E185">
            <v>321739685</v>
          </cell>
          <cell r="L185" t="str">
            <v>x</v>
          </cell>
          <cell r="S185" t="e">
            <v>#N/A</v>
          </cell>
          <cell r="T185">
            <v>1</v>
          </cell>
        </row>
        <row r="186">
          <cell r="A186">
            <v>3430927</v>
          </cell>
          <cell r="B186" t="str">
            <v>jesus zalvador campo sepulveda</v>
          </cell>
          <cell r="C186">
            <v>3430927</v>
          </cell>
          <cell r="D186" t="str">
            <v xml:space="preserve">botija abajo </v>
          </cell>
          <cell r="E186">
            <v>3108900884</v>
          </cell>
          <cell r="K186" t="str">
            <v>x</v>
          </cell>
          <cell r="S186" t="e">
            <v>#N/A</v>
          </cell>
          <cell r="T186">
            <v>1</v>
          </cell>
        </row>
        <row r="187">
          <cell r="A187">
            <v>3431477</v>
          </cell>
          <cell r="B187" t="str">
            <v>Aldemar Usuga</v>
          </cell>
          <cell r="C187">
            <v>3431477</v>
          </cell>
          <cell r="D187" t="str">
            <v>La Soledad</v>
          </cell>
          <cell r="E187">
            <v>3108482956</v>
          </cell>
          <cell r="F187" t="str">
            <v>x</v>
          </cell>
          <cell r="N187" t="str">
            <v>x</v>
          </cell>
          <cell r="S187" t="e">
            <v>#N/A</v>
          </cell>
          <cell r="T187" t="e">
            <v>#N/A</v>
          </cell>
        </row>
        <row r="188">
          <cell r="A188">
            <v>3431477</v>
          </cell>
          <cell r="B188" t="str">
            <v>Aldemar Usuga</v>
          </cell>
          <cell r="C188">
            <v>3431477</v>
          </cell>
          <cell r="D188" t="str">
            <v>La Soledad</v>
          </cell>
          <cell r="E188">
            <v>3108482956</v>
          </cell>
          <cell r="F188" t="str">
            <v>x</v>
          </cell>
          <cell r="N188" t="str">
            <v>x</v>
          </cell>
          <cell r="S188" t="e">
            <v>#N/A</v>
          </cell>
          <cell r="T188" t="e">
            <v>#N/A</v>
          </cell>
        </row>
        <row r="189">
          <cell r="A189">
            <v>3431525</v>
          </cell>
          <cell r="B189" t="str">
            <v xml:space="preserve">Jesús María David </v>
          </cell>
          <cell r="C189">
            <v>3431525</v>
          </cell>
          <cell r="D189" t="str">
            <v>La Soledad</v>
          </cell>
          <cell r="E189">
            <v>3134625707</v>
          </cell>
          <cell r="G189" t="str">
            <v>x</v>
          </cell>
          <cell r="O189" t="str">
            <v>x</v>
          </cell>
          <cell r="S189" t="e">
            <v>#N/A</v>
          </cell>
          <cell r="T189" t="e">
            <v>#N/A</v>
          </cell>
        </row>
        <row r="190">
          <cell r="A190">
            <v>3431525</v>
          </cell>
          <cell r="B190" t="str">
            <v xml:space="preserve">Jesús María David </v>
          </cell>
          <cell r="C190">
            <v>3431525</v>
          </cell>
          <cell r="D190" t="str">
            <v>La Soledad</v>
          </cell>
          <cell r="E190">
            <v>3134625707</v>
          </cell>
          <cell r="G190" t="str">
            <v>x</v>
          </cell>
          <cell r="O190" t="str">
            <v>x</v>
          </cell>
          <cell r="S190" t="e">
            <v>#N/A</v>
          </cell>
          <cell r="T190" t="e">
            <v>#N/A</v>
          </cell>
        </row>
        <row r="191">
          <cell r="A191">
            <v>3431732</v>
          </cell>
          <cell r="B191" t="str">
            <v>DARIO BERRIO CAMPO</v>
          </cell>
          <cell r="C191">
            <v>3431732</v>
          </cell>
          <cell r="D191" t="str">
            <v>CESTILLAL</v>
          </cell>
          <cell r="S191" t="str">
            <v xml:space="preserve">inurbe </v>
          </cell>
          <cell r="T191">
            <v>1</v>
          </cell>
        </row>
        <row r="192">
          <cell r="A192">
            <v>3431737</v>
          </cell>
          <cell r="B192" t="str">
            <v>Juan de Dios  Monroy Giraldo</v>
          </cell>
          <cell r="C192">
            <v>3431737</v>
          </cell>
          <cell r="D192" t="str">
            <v>Botija arriba</v>
          </cell>
          <cell r="O192" t="str">
            <v>X</v>
          </cell>
          <cell r="S192" t="e">
            <v>#N/A</v>
          </cell>
          <cell r="T192">
            <v>1</v>
          </cell>
        </row>
        <row r="193">
          <cell r="A193">
            <v>3431737</v>
          </cell>
          <cell r="B193" t="str">
            <v xml:space="preserve">Juan de Dios Monroy Giraldo </v>
          </cell>
          <cell r="C193">
            <v>3431737</v>
          </cell>
          <cell r="D193" t="str">
            <v>Botija Arriba</v>
          </cell>
          <cell r="O193" t="str">
            <v>X</v>
          </cell>
          <cell r="S193" t="e">
            <v>#N/A</v>
          </cell>
          <cell r="T193">
            <v>1</v>
          </cell>
        </row>
        <row r="194">
          <cell r="A194">
            <v>3431758</v>
          </cell>
          <cell r="B194" t="str">
            <v>FIDEL ANTONIO VELASQUEZ</v>
          </cell>
          <cell r="C194">
            <v>3431758</v>
          </cell>
          <cell r="D194" t="str">
            <v>CESTILLAL</v>
          </cell>
          <cell r="S194" t="str">
            <v>banco agrario</v>
          </cell>
          <cell r="T194" t="e">
            <v>#N/A</v>
          </cell>
        </row>
        <row r="195">
          <cell r="A195">
            <v>3431148</v>
          </cell>
          <cell r="B195" t="str">
            <v>JOSELIN Ochoa</v>
          </cell>
          <cell r="C195">
            <v>3431148</v>
          </cell>
          <cell r="D195" t="str">
            <v>Los Naranjos</v>
          </cell>
          <cell r="E195">
            <v>3136902206</v>
          </cell>
          <cell r="G195" t="str">
            <v>x</v>
          </cell>
          <cell r="I195" t="str">
            <v>Solo</v>
          </cell>
          <cell r="K195" t="str">
            <v>X</v>
          </cell>
          <cell r="P195" t="str">
            <v>Narajos parte alta por la casa de la presidenta</v>
          </cell>
          <cell r="Q195" t="str">
            <v>visitar</v>
          </cell>
          <cell r="R195" t="str">
            <v>Alcalde se comprometio a hacerle la cocina en campaña</v>
          </cell>
          <cell r="S195" t="e">
            <v>#N/A</v>
          </cell>
          <cell r="T195" t="e">
            <v>#N/A</v>
          </cell>
        </row>
        <row r="196">
          <cell r="A196">
            <v>3431776</v>
          </cell>
          <cell r="B196" t="str">
            <v>JAIME HIGUITA OQUENDO</v>
          </cell>
          <cell r="C196">
            <v>3431776</v>
          </cell>
          <cell r="D196" t="str">
            <v>SANTO CRISTO</v>
          </cell>
          <cell r="S196" t="e">
            <v>#N/A</v>
          </cell>
          <cell r="T196">
            <v>0</v>
          </cell>
        </row>
        <row r="197">
          <cell r="A197">
            <v>3431810</v>
          </cell>
          <cell r="B197" t="str">
            <v>Antonio de Jesus Monroy Giraldo</v>
          </cell>
          <cell r="C197">
            <v>3431810</v>
          </cell>
          <cell r="D197" t="str">
            <v>Botija Arriba</v>
          </cell>
          <cell r="N197" t="str">
            <v>x</v>
          </cell>
          <cell r="S197" t="e">
            <v>#N/A</v>
          </cell>
          <cell r="T197">
            <v>1</v>
          </cell>
        </row>
        <row r="198">
          <cell r="A198">
            <v>3431810</v>
          </cell>
          <cell r="B198" t="str">
            <v>Antonio de Jesus Monroy Giraldo</v>
          </cell>
          <cell r="C198">
            <v>3431810</v>
          </cell>
          <cell r="D198" t="str">
            <v>Botija Arriba</v>
          </cell>
          <cell r="N198" t="str">
            <v>X</v>
          </cell>
          <cell r="S198" t="e">
            <v>#N/A</v>
          </cell>
          <cell r="T198">
            <v>1</v>
          </cell>
        </row>
        <row r="199">
          <cell r="A199">
            <v>3431811</v>
          </cell>
          <cell r="B199" t="str">
            <v xml:space="preserve">Fabio De jesus  Monroy Duarte </v>
          </cell>
          <cell r="C199">
            <v>3431811</v>
          </cell>
          <cell r="D199" t="str">
            <v>Botija Arriba</v>
          </cell>
          <cell r="Q199" t="str">
            <v>Visitar</v>
          </cell>
          <cell r="S199" t="str">
            <v xml:space="preserve">inurbe </v>
          </cell>
          <cell r="T199" t="e">
            <v>#N/A</v>
          </cell>
        </row>
        <row r="200">
          <cell r="A200">
            <v>3431820</v>
          </cell>
          <cell r="B200" t="str">
            <v>Humberto Higuita Usuga</v>
          </cell>
          <cell r="C200">
            <v>3431820</v>
          </cell>
          <cell r="D200" t="str">
            <v>La quiebra</v>
          </cell>
          <cell r="N200" t="str">
            <v>x</v>
          </cell>
          <cell r="R200" t="str">
            <v>Martica</v>
          </cell>
          <cell r="S200" t="e">
            <v>#N/A</v>
          </cell>
          <cell r="T200">
            <v>1</v>
          </cell>
        </row>
        <row r="201">
          <cell r="A201">
            <v>3432505</v>
          </cell>
          <cell r="B201" t="str">
            <v>Heriberto Valderrama</v>
          </cell>
          <cell r="C201">
            <v>3432505</v>
          </cell>
          <cell r="D201" t="str">
            <v>Vereda Chupadero</v>
          </cell>
          <cell r="N201" t="str">
            <v>x</v>
          </cell>
          <cell r="P201" t="str">
            <v>Vereda Chupadero</v>
          </cell>
          <cell r="S201" t="e">
            <v>#N/A</v>
          </cell>
          <cell r="T201" t="e">
            <v>#N/A</v>
          </cell>
        </row>
        <row r="202">
          <cell r="A202">
            <v>3432505</v>
          </cell>
          <cell r="B202" t="str">
            <v>Heriberto Valderrama</v>
          </cell>
          <cell r="C202">
            <v>3432505</v>
          </cell>
          <cell r="D202" t="str">
            <v>Vereda Chupadero</v>
          </cell>
          <cell r="N202" t="str">
            <v>x</v>
          </cell>
          <cell r="P202" t="str">
            <v>Vereda Chupadero</v>
          </cell>
          <cell r="S202" t="e">
            <v>#N/A</v>
          </cell>
          <cell r="T202" t="e">
            <v>#N/A</v>
          </cell>
        </row>
        <row r="203">
          <cell r="A203">
            <v>3432543</v>
          </cell>
          <cell r="B203" t="str">
            <v>Dina Garcia</v>
          </cell>
          <cell r="C203">
            <v>3432543</v>
          </cell>
          <cell r="D203" t="str">
            <v>Santo Domingo</v>
          </cell>
          <cell r="E203">
            <v>3206063239</v>
          </cell>
          <cell r="O203" t="str">
            <v>x</v>
          </cell>
          <cell r="S203" t="e">
            <v>#N/A</v>
          </cell>
          <cell r="T203" t="e">
            <v>#N/A</v>
          </cell>
        </row>
        <row r="204">
          <cell r="A204">
            <v>3432543</v>
          </cell>
          <cell r="B204" t="str">
            <v>Dina Garcia</v>
          </cell>
          <cell r="C204">
            <v>3432543</v>
          </cell>
          <cell r="D204" t="str">
            <v>Santo Domingo</v>
          </cell>
          <cell r="E204">
            <v>3206063239</v>
          </cell>
          <cell r="O204" t="str">
            <v>x</v>
          </cell>
          <cell r="S204" t="e">
            <v>#N/A</v>
          </cell>
          <cell r="T204" t="e">
            <v>#N/A</v>
          </cell>
        </row>
        <row r="205">
          <cell r="A205">
            <v>3431237</v>
          </cell>
          <cell r="B205" t="str">
            <v>Reinaldo Antonio Usuga</v>
          </cell>
          <cell r="C205">
            <v>3431237</v>
          </cell>
          <cell r="D205" t="str">
            <v>La Loma</v>
          </cell>
          <cell r="E205">
            <v>3127085677</v>
          </cell>
          <cell r="K205" t="str">
            <v>X</v>
          </cell>
          <cell r="S205" t="e">
            <v>#N/A</v>
          </cell>
          <cell r="T205" t="e">
            <v>#N/A</v>
          </cell>
        </row>
        <row r="206">
          <cell r="A206">
            <v>3431265</v>
          </cell>
          <cell r="B206" t="str">
            <v>Antonio Jesus Murillo Higuita</v>
          </cell>
          <cell r="C206">
            <v>3431265</v>
          </cell>
          <cell r="D206" t="str">
            <v>El canelo</v>
          </cell>
          <cell r="E206">
            <v>3206615707</v>
          </cell>
          <cell r="L206" t="str">
            <v>x</v>
          </cell>
          <cell r="S206" t="e">
            <v>#N/A</v>
          </cell>
          <cell r="T206">
            <v>1</v>
          </cell>
        </row>
        <row r="207">
          <cell r="A207">
            <v>3431279</v>
          </cell>
          <cell r="B207" t="str">
            <v>JOSE REINALDO HURTADO USUGA</v>
          </cell>
          <cell r="C207">
            <v>3431279</v>
          </cell>
          <cell r="D207" t="str">
            <v>San Luis del cafe</v>
          </cell>
          <cell r="E207">
            <v>3105205584</v>
          </cell>
          <cell r="Q207" t="str">
            <v>Visitar</v>
          </cell>
          <cell r="R207" t="str">
            <v>Julieta</v>
          </cell>
          <cell r="S207" t="e">
            <v>#N/A</v>
          </cell>
          <cell r="T207">
            <v>1</v>
          </cell>
        </row>
        <row r="208">
          <cell r="A208">
            <v>3431444</v>
          </cell>
          <cell r="B208" t="str">
            <v>ESMERALDO ANTONIO  MANCO CORREA</v>
          </cell>
          <cell r="C208">
            <v>3431444</v>
          </cell>
          <cell r="D208" t="str">
            <v>San luis del café</v>
          </cell>
          <cell r="L208" t="str">
            <v>x</v>
          </cell>
          <cell r="Q208" t="str">
            <v>Tio chino</v>
          </cell>
          <cell r="R208" t="str">
            <v>Alcalde</v>
          </cell>
          <cell r="S208" t="e">
            <v>#N/A</v>
          </cell>
          <cell r="T208">
            <v>1</v>
          </cell>
        </row>
        <row r="209">
          <cell r="A209">
            <v>3431746</v>
          </cell>
          <cell r="B209" t="str">
            <v>Octavio de Jesus Higuita Usuga</v>
          </cell>
          <cell r="C209">
            <v>3431746</v>
          </cell>
          <cell r="D209" t="str">
            <v>La soledad</v>
          </cell>
          <cell r="L209" t="str">
            <v>x</v>
          </cell>
          <cell r="S209" t="e">
            <v>#N/A</v>
          </cell>
          <cell r="T209" t="e">
            <v>#N/A</v>
          </cell>
        </row>
        <row r="210">
          <cell r="A210">
            <v>3479777</v>
          </cell>
          <cell r="B210" t="str">
            <v>Gildardo Durango</v>
          </cell>
          <cell r="C210">
            <v>3479777</v>
          </cell>
          <cell r="D210" t="str">
            <v>San Jose</v>
          </cell>
          <cell r="O210" t="str">
            <v>X</v>
          </cell>
          <cell r="S210" t="e">
            <v>#N/A</v>
          </cell>
          <cell r="T210" t="e">
            <v>#N/A</v>
          </cell>
        </row>
        <row r="211">
          <cell r="A211">
            <v>3480676</v>
          </cell>
          <cell r="B211" t="str">
            <v>Jesus Maria Santa sierra</v>
          </cell>
          <cell r="C211">
            <v>3480676</v>
          </cell>
          <cell r="D211" t="str">
            <v>Urbano</v>
          </cell>
          <cell r="E211">
            <v>3217232962</v>
          </cell>
          <cell r="P211" t="str">
            <v>Versalles y el eden</v>
          </cell>
          <cell r="S211" t="e">
            <v>#N/A</v>
          </cell>
          <cell r="T211">
            <v>1</v>
          </cell>
        </row>
        <row r="212">
          <cell r="A212">
            <v>3431763</v>
          </cell>
          <cell r="B212" t="str">
            <v>Jesus Maria Goez</v>
          </cell>
          <cell r="C212">
            <v>3431763</v>
          </cell>
          <cell r="D212" t="str">
            <v>San Miguelito</v>
          </cell>
          <cell r="E212">
            <v>3104108802</v>
          </cell>
          <cell r="L212" t="str">
            <v>x</v>
          </cell>
          <cell r="S212" t="e">
            <v>#N/A</v>
          </cell>
          <cell r="T212" t="e">
            <v>#N/A</v>
          </cell>
        </row>
        <row r="213">
          <cell r="A213">
            <v>3431826</v>
          </cell>
          <cell r="B213" t="str">
            <v>Gerardo Usuga</v>
          </cell>
          <cell r="C213">
            <v>3431826</v>
          </cell>
          <cell r="D213" t="str">
            <v>San Miguelito</v>
          </cell>
          <cell r="L213" t="str">
            <v>x</v>
          </cell>
          <cell r="S213" t="e">
            <v>#N/A</v>
          </cell>
          <cell r="T213">
            <v>1</v>
          </cell>
        </row>
        <row r="214">
          <cell r="A214">
            <v>3431915</v>
          </cell>
          <cell r="B214" t="str">
            <v>FRANCISCO ALCIDES DURANGO HOYOS</v>
          </cell>
          <cell r="C214">
            <v>3431915</v>
          </cell>
          <cell r="D214" t="str">
            <v>CESTILLAL</v>
          </cell>
          <cell r="S214" t="e">
            <v>#N/A</v>
          </cell>
          <cell r="T214" t="e">
            <v>#N/A</v>
          </cell>
        </row>
        <row r="215">
          <cell r="A215">
            <v>3432547</v>
          </cell>
          <cell r="B215" t="str">
            <v>Mario de Jesus usuga Higuita</v>
          </cell>
          <cell r="C215">
            <v>3432547</v>
          </cell>
          <cell r="D215" t="str">
            <v>Juntas de Uramita</v>
          </cell>
          <cell r="E215">
            <v>3207017426</v>
          </cell>
          <cell r="P215" t="str">
            <v>Juntas de Uramita</v>
          </cell>
          <cell r="S215" t="e">
            <v>#N/A</v>
          </cell>
          <cell r="T215">
            <v>1</v>
          </cell>
        </row>
        <row r="216">
          <cell r="A216">
            <v>3432596</v>
          </cell>
          <cell r="B216" t="str">
            <v>ARGEMIRO SALDARIAGA</v>
          </cell>
          <cell r="C216">
            <v>3432596</v>
          </cell>
          <cell r="D216" t="str">
            <v>CESTILLAL</v>
          </cell>
          <cell r="S216" t="e">
            <v>#N/A</v>
          </cell>
          <cell r="T216" t="e">
            <v>#N/A</v>
          </cell>
        </row>
        <row r="217">
          <cell r="A217">
            <v>3432611</v>
          </cell>
          <cell r="B217" t="str">
            <v>Andres Emilio Valderrama</v>
          </cell>
          <cell r="C217">
            <v>3432611</v>
          </cell>
          <cell r="D217" t="str">
            <v>Juntas de Uramita</v>
          </cell>
          <cell r="E217">
            <v>3146162379</v>
          </cell>
          <cell r="P217" t="str">
            <v>Juntas de Uramita</v>
          </cell>
          <cell r="S217" t="e">
            <v>#N/A</v>
          </cell>
          <cell r="T217">
            <v>1</v>
          </cell>
        </row>
        <row r="218">
          <cell r="A218">
            <v>3432722</v>
          </cell>
          <cell r="B218" t="str">
            <v>Heriberto Perez Higuita</v>
          </cell>
          <cell r="C218">
            <v>3432722</v>
          </cell>
          <cell r="D218" t="str">
            <v>Buena Vista</v>
          </cell>
          <cell r="E218">
            <v>3226237009</v>
          </cell>
          <cell r="K218" t="str">
            <v>x</v>
          </cell>
          <cell r="S218" t="e">
            <v>#N/A</v>
          </cell>
          <cell r="T218">
            <v>1</v>
          </cell>
        </row>
        <row r="219">
          <cell r="A219">
            <v>4378284</v>
          </cell>
          <cell r="B219" t="str">
            <v xml:space="preserve">Gloria Elda Rodríguez oquendo </v>
          </cell>
          <cell r="C219">
            <v>4378284</v>
          </cell>
          <cell r="D219" t="str">
            <v>La Soledad</v>
          </cell>
          <cell r="E219">
            <v>3137488522</v>
          </cell>
          <cell r="G219" t="str">
            <v>x</v>
          </cell>
          <cell r="O219" t="str">
            <v>x</v>
          </cell>
          <cell r="S219" t="e">
            <v>#N/A</v>
          </cell>
          <cell r="T219">
            <v>1</v>
          </cell>
        </row>
        <row r="220">
          <cell r="A220">
            <v>4378284</v>
          </cell>
          <cell r="B220" t="str">
            <v xml:space="preserve">Gloria Elda Rodríguez oquendo </v>
          </cell>
          <cell r="C220">
            <v>4378284</v>
          </cell>
          <cell r="D220" t="str">
            <v>La Soledad</v>
          </cell>
          <cell r="E220">
            <v>3137488522</v>
          </cell>
          <cell r="G220" t="str">
            <v>x</v>
          </cell>
          <cell r="O220" t="str">
            <v>x</v>
          </cell>
          <cell r="S220" t="e">
            <v>#N/A</v>
          </cell>
          <cell r="T220">
            <v>1</v>
          </cell>
        </row>
        <row r="221">
          <cell r="A221">
            <v>3432722</v>
          </cell>
          <cell r="B221" t="str">
            <v>Heriberto Perez Higuita</v>
          </cell>
          <cell r="C221">
            <v>3432722</v>
          </cell>
          <cell r="D221" t="str">
            <v>Buena Vista</v>
          </cell>
          <cell r="E221">
            <v>3226237009</v>
          </cell>
          <cell r="K221" t="str">
            <v>x</v>
          </cell>
          <cell r="S221" t="e">
            <v>#N/A</v>
          </cell>
          <cell r="T221">
            <v>1</v>
          </cell>
        </row>
        <row r="222">
          <cell r="A222">
            <v>6205889</v>
          </cell>
          <cell r="B222" t="str">
            <v>JAIR BAENA</v>
          </cell>
          <cell r="C222">
            <v>6205889</v>
          </cell>
          <cell r="D222" t="str">
            <v>CUMBARRA</v>
          </cell>
          <cell r="S222" t="e">
            <v>#N/A</v>
          </cell>
          <cell r="T222">
            <v>0</v>
          </cell>
        </row>
        <row r="223">
          <cell r="A223">
            <v>6379999</v>
          </cell>
          <cell r="B223" t="str">
            <v>Benjamin Graciano Moreno</v>
          </cell>
          <cell r="C223">
            <v>6379999</v>
          </cell>
          <cell r="D223" t="str">
            <v>Buena Vista</v>
          </cell>
          <cell r="E223">
            <v>3146015868</v>
          </cell>
          <cell r="N223" t="str">
            <v>x</v>
          </cell>
          <cell r="S223" t="e">
            <v>#N/A</v>
          </cell>
          <cell r="T223">
            <v>0</v>
          </cell>
        </row>
        <row r="224">
          <cell r="A224">
            <v>6379999</v>
          </cell>
          <cell r="B224" t="str">
            <v>Benjamin Graciano Moreno</v>
          </cell>
          <cell r="C224">
            <v>6379999</v>
          </cell>
          <cell r="D224" t="str">
            <v>Buena Vista</v>
          </cell>
          <cell r="E224">
            <v>3146015868</v>
          </cell>
          <cell r="N224" t="str">
            <v>x</v>
          </cell>
          <cell r="S224" t="e">
            <v>#N/A</v>
          </cell>
          <cell r="T224">
            <v>0</v>
          </cell>
        </row>
        <row r="225">
          <cell r="A225">
            <v>3461638</v>
          </cell>
          <cell r="B225" t="str">
            <v>Juan de Jesus Osorio</v>
          </cell>
          <cell r="C225">
            <v>3461638</v>
          </cell>
          <cell r="D225" t="str">
            <v>Vededa la Esperanza</v>
          </cell>
          <cell r="E225">
            <v>3145380551</v>
          </cell>
          <cell r="L225" t="str">
            <v>x</v>
          </cell>
          <cell r="P225" t="str">
            <v>Vededa la Esperanza</v>
          </cell>
          <cell r="S225" t="e">
            <v>#N/A</v>
          </cell>
          <cell r="T225" t="e">
            <v>#N/A</v>
          </cell>
        </row>
        <row r="226">
          <cell r="A226">
            <v>6705145</v>
          </cell>
          <cell r="B226" t="str">
            <v>Mario Guisao</v>
          </cell>
          <cell r="C226">
            <v>6705145</v>
          </cell>
          <cell r="D226" t="str">
            <v>Los Naranjos</v>
          </cell>
          <cell r="E226">
            <v>3135290978</v>
          </cell>
          <cell r="O226" t="str">
            <v>X</v>
          </cell>
          <cell r="S226" t="e">
            <v>#N/A</v>
          </cell>
          <cell r="T226" t="e">
            <v>#N/A</v>
          </cell>
        </row>
        <row r="227">
          <cell r="A227">
            <v>7043120</v>
          </cell>
          <cell r="B227" t="str">
            <v>Mario de Jesus Guisao Jimenez</v>
          </cell>
          <cell r="C227">
            <v>7043120</v>
          </cell>
          <cell r="D227" t="str">
            <v>Guadual</v>
          </cell>
          <cell r="E227">
            <v>3127373075</v>
          </cell>
          <cell r="N227" t="str">
            <v>x</v>
          </cell>
          <cell r="S227" t="e">
            <v>#N/A</v>
          </cell>
          <cell r="T227" t="e">
            <v>#N/A</v>
          </cell>
        </row>
        <row r="228">
          <cell r="A228">
            <v>7231762</v>
          </cell>
          <cell r="B228" t="str">
            <v>Frank Alexander Guisao Pelaez</v>
          </cell>
          <cell r="C228">
            <v>7231762</v>
          </cell>
          <cell r="D228" t="str">
            <v>Botija arriba</v>
          </cell>
          <cell r="O228" t="str">
            <v>X</v>
          </cell>
          <cell r="S228" t="e">
            <v>#N/A</v>
          </cell>
          <cell r="T228">
            <v>1</v>
          </cell>
        </row>
        <row r="229">
          <cell r="A229">
            <v>7231762</v>
          </cell>
          <cell r="B229" t="str">
            <v xml:space="preserve">Frank Alexander Guisao Pelaez </v>
          </cell>
          <cell r="C229">
            <v>7231762</v>
          </cell>
          <cell r="D229" t="str">
            <v>Botija Arriba</v>
          </cell>
          <cell r="O229" t="str">
            <v>X</v>
          </cell>
          <cell r="S229" t="e">
            <v>#N/A</v>
          </cell>
          <cell r="T229">
            <v>1</v>
          </cell>
        </row>
        <row r="230">
          <cell r="A230">
            <v>7432377</v>
          </cell>
          <cell r="B230" t="str">
            <v xml:space="preserve">Francisco Javier higuita </v>
          </cell>
          <cell r="C230">
            <v>7432377</v>
          </cell>
          <cell r="D230" t="str">
            <v>Bellavista</v>
          </cell>
          <cell r="E230">
            <v>3122100451</v>
          </cell>
          <cell r="N230" t="str">
            <v>x</v>
          </cell>
          <cell r="S230" t="e">
            <v>#N/A</v>
          </cell>
          <cell r="T230">
            <v>0</v>
          </cell>
        </row>
        <row r="231">
          <cell r="A231">
            <v>7432377</v>
          </cell>
          <cell r="B231" t="str">
            <v xml:space="preserve">Francisco Javier higuita </v>
          </cell>
          <cell r="C231">
            <v>7432377</v>
          </cell>
          <cell r="D231" t="str">
            <v>Bellavista</v>
          </cell>
          <cell r="E231">
            <v>3122100451</v>
          </cell>
          <cell r="N231" t="str">
            <v>x</v>
          </cell>
          <cell r="S231" t="e">
            <v>#N/A</v>
          </cell>
          <cell r="T231">
            <v>0</v>
          </cell>
        </row>
        <row r="232">
          <cell r="A232">
            <v>3542048</v>
          </cell>
          <cell r="B232" t="str">
            <v>Juan Graciano Moreno</v>
          </cell>
          <cell r="C232">
            <v>3542048</v>
          </cell>
          <cell r="D232" t="str">
            <v>Buena Vista</v>
          </cell>
          <cell r="E232">
            <v>3217610498</v>
          </cell>
          <cell r="K232" t="str">
            <v>x</v>
          </cell>
          <cell r="S232" t="e">
            <v>#N/A</v>
          </cell>
          <cell r="T232" t="e">
            <v>#N/A</v>
          </cell>
        </row>
        <row r="233">
          <cell r="A233">
            <v>3542048</v>
          </cell>
          <cell r="B233" t="str">
            <v>Juan Graciano Moreno</v>
          </cell>
          <cell r="C233">
            <v>3542048</v>
          </cell>
          <cell r="D233" t="str">
            <v>Buena Vista</v>
          </cell>
          <cell r="E233">
            <v>3217610498</v>
          </cell>
          <cell r="K233" t="str">
            <v>x</v>
          </cell>
          <cell r="S233" t="e">
            <v>#N/A</v>
          </cell>
          <cell r="T233" t="e">
            <v>#N/A</v>
          </cell>
        </row>
        <row r="234">
          <cell r="A234">
            <v>3542765</v>
          </cell>
          <cell r="B234" t="str">
            <v>Luis Adan Higuita Lopez</v>
          </cell>
          <cell r="C234">
            <v>3542765</v>
          </cell>
          <cell r="D234" t="str">
            <v>Buena Vista</v>
          </cell>
          <cell r="E234">
            <v>3147112566</v>
          </cell>
          <cell r="K234" t="str">
            <v>x</v>
          </cell>
          <cell r="S234" t="e">
            <v>#N/A</v>
          </cell>
          <cell r="T234">
            <v>1</v>
          </cell>
        </row>
        <row r="235">
          <cell r="A235">
            <v>3542765</v>
          </cell>
          <cell r="B235" t="str">
            <v>Luis Adan Higuita Lopez</v>
          </cell>
          <cell r="C235">
            <v>3542765</v>
          </cell>
          <cell r="D235" t="str">
            <v>Buena Vista</v>
          </cell>
          <cell r="E235">
            <v>3147112566</v>
          </cell>
          <cell r="K235" t="str">
            <v>x</v>
          </cell>
          <cell r="S235" t="e">
            <v>#N/A</v>
          </cell>
          <cell r="T235">
            <v>1</v>
          </cell>
        </row>
        <row r="236">
          <cell r="A236">
            <v>3584488</v>
          </cell>
          <cell r="B236" t="str">
            <v>Gerardo Antonio Arismendi Mejia</v>
          </cell>
          <cell r="C236">
            <v>3584488</v>
          </cell>
          <cell r="D236" t="str">
            <v>Buena Vista</v>
          </cell>
          <cell r="E236">
            <v>3116917788</v>
          </cell>
          <cell r="L236" t="str">
            <v>x</v>
          </cell>
          <cell r="S236" t="e">
            <v>#N/A</v>
          </cell>
          <cell r="T236" t="e">
            <v>#N/A</v>
          </cell>
        </row>
        <row r="237">
          <cell r="A237">
            <v>3584488</v>
          </cell>
          <cell r="B237" t="str">
            <v>Gerardo Antonio Arismendi Mejia</v>
          </cell>
          <cell r="C237">
            <v>3584488</v>
          </cell>
          <cell r="D237" t="str">
            <v>Buena Vista</v>
          </cell>
          <cell r="E237">
            <v>3116917788</v>
          </cell>
          <cell r="L237" t="str">
            <v>x</v>
          </cell>
          <cell r="S237" t="e">
            <v>#N/A</v>
          </cell>
          <cell r="T237" t="e">
            <v>#N/A</v>
          </cell>
        </row>
        <row r="238">
          <cell r="A238">
            <v>3654973</v>
          </cell>
          <cell r="B238" t="str">
            <v>Jose manuel Zapata Montoya</v>
          </cell>
          <cell r="C238">
            <v>3654973</v>
          </cell>
          <cell r="D238" t="str">
            <v>Urbano</v>
          </cell>
          <cell r="E238" t="str">
            <v>3017709430 - 3008377047</v>
          </cell>
          <cell r="H238" t="str">
            <v>x</v>
          </cell>
          <cell r="I238" t="str">
            <v>Solo</v>
          </cell>
          <cell r="L238" t="str">
            <v>x</v>
          </cell>
          <cell r="P238" t="str">
            <v>Santa ana</v>
          </cell>
          <cell r="S238" t="e">
            <v>#N/A</v>
          </cell>
          <cell r="T238" t="e">
            <v>#N/A</v>
          </cell>
        </row>
        <row r="239">
          <cell r="A239">
            <v>8412259</v>
          </cell>
          <cell r="B239" t="str">
            <v>Alirio Carvajal Cartagena</v>
          </cell>
          <cell r="C239">
            <v>8412259</v>
          </cell>
          <cell r="D239" t="str">
            <v>Juntas de Uramita</v>
          </cell>
          <cell r="E239">
            <v>3176198463</v>
          </cell>
          <cell r="P239" t="str">
            <v>Juntas de Uramita</v>
          </cell>
          <cell r="S239" t="e">
            <v>#N/A</v>
          </cell>
          <cell r="T239">
            <v>0</v>
          </cell>
        </row>
        <row r="240">
          <cell r="A240">
            <v>8414008</v>
          </cell>
          <cell r="B240" t="str">
            <v>Carlos Antonio Muñoz Gonzales</v>
          </cell>
          <cell r="C240">
            <v>8414008</v>
          </cell>
          <cell r="D240" t="str">
            <v>Ciriguan</v>
          </cell>
          <cell r="E240">
            <v>3207344997</v>
          </cell>
          <cell r="N240" t="str">
            <v>x</v>
          </cell>
          <cell r="S240" t="e">
            <v>#N/A</v>
          </cell>
          <cell r="T240">
            <v>1</v>
          </cell>
        </row>
        <row r="241">
          <cell r="A241">
            <v>15286592</v>
          </cell>
          <cell r="B241" t="str">
            <v>Camilo Antonio Varela Tuberquia</v>
          </cell>
          <cell r="C241">
            <v>15286592</v>
          </cell>
          <cell r="D241" t="str">
            <v>Vereda san Julian</v>
          </cell>
          <cell r="N241" t="str">
            <v>X</v>
          </cell>
          <cell r="S241" t="e">
            <v>#N/A</v>
          </cell>
          <cell r="T241" t="e">
            <v>#N/A</v>
          </cell>
        </row>
        <row r="242">
          <cell r="A242">
            <v>4465675</v>
          </cell>
          <cell r="B242" t="str">
            <v>Diego Gonzales</v>
          </cell>
          <cell r="C242">
            <v>4465675</v>
          </cell>
          <cell r="D242" t="str">
            <v>Urbano</v>
          </cell>
          <cell r="E242">
            <v>3174841103</v>
          </cell>
          <cell r="K242" t="str">
            <v>x</v>
          </cell>
          <cell r="P242" t="str">
            <v>Barrio los balsos</v>
          </cell>
          <cell r="S242" t="e">
            <v>#N/A</v>
          </cell>
          <cell r="T242" t="e">
            <v>#N/A</v>
          </cell>
        </row>
        <row r="243">
          <cell r="A243">
            <v>6675756</v>
          </cell>
          <cell r="B243" t="str">
            <v>JESUS USUGA GIRALDO</v>
          </cell>
          <cell r="C243">
            <v>6675756</v>
          </cell>
          <cell r="D243" t="str">
            <v>CESTILLAL</v>
          </cell>
          <cell r="S243" t="e">
            <v>#N/A</v>
          </cell>
          <cell r="T243" t="e">
            <v>#N/A</v>
          </cell>
        </row>
        <row r="244">
          <cell r="A244">
            <v>7043378</v>
          </cell>
          <cell r="B244" t="str">
            <v>Daniel David</v>
          </cell>
          <cell r="C244">
            <v>7043378</v>
          </cell>
          <cell r="D244" t="str">
            <v>El Retiro</v>
          </cell>
          <cell r="E244" t="str">
            <v>313 631 3885</v>
          </cell>
          <cell r="K244" t="str">
            <v>x</v>
          </cell>
          <cell r="S244" t="e">
            <v>#N/A</v>
          </cell>
          <cell r="T244" t="e">
            <v>#N/A</v>
          </cell>
        </row>
        <row r="245">
          <cell r="A245">
            <v>7434489</v>
          </cell>
          <cell r="B245" t="str">
            <v>Jose Iván Uribe Carvajal</v>
          </cell>
          <cell r="C245">
            <v>7434489</v>
          </cell>
          <cell r="D245" t="str">
            <v>Apucarco</v>
          </cell>
          <cell r="E245" t="str">
            <v>314 624 0809</v>
          </cell>
          <cell r="L245" t="str">
            <v>x</v>
          </cell>
          <cell r="S245" t="e">
            <v>#N/A</v>
          </cell>
          <cell r="T245" t="e">
            <v>#N/A</v>
          </cell>
        </row>
        <row r="246">
          <cell r="A246">
            <v>8005277</v>
          </cell>
          <cell r="B246" t="str">
            <v>Alejandro Garcia Lopez</v>
          </cell>
          <cell r="C246">
            <v>8005277</v>
          </cell>
          <cell r="D246" t="str">
            <v>La llorona</v>
          </cell>
          <cell r="I246" t="str">
            <v>solo</v>
          </cell>
          <cell r="P246" t="str">
            <v>Parte alta, por los pinos hacia la escuela</v>
          </cell>
          <cell r="Q246" t="str">
            <v>Visitar</v>
          </cell>
          <cell r="R246" t="str">
            <v>damnificado por techo</v>
          </cell>
          <cell r="S246" t="e">
            <v>#N/A</v>
          </cell>
          <cell r="T246" t="e">
            <v>#N/A</v>
          </cell>
        </row>
        <row r="247">
          <cell r="A247">
            <v>21355300</v>
          </cell>
          <cell r="B247" t="str">
            <v>Maria De Los Angeles Hidalgo</v>
          </cell>
          <cell r="C247">
            <v>21355300</v>
          </cell>
          <cell r="D247" t="str">
            <v>La escalera</v>
          </cell>
          <cell r="E247">
            <v>3116357357</v>
          </cell>
          <cell r="N247" t="str">
            <v>x</v>
          </cell>
          <cell r="S247" t="e">
            <v>#N/A</v>
          </cell>
          <cell r="T247">
            <v>1</v>
          </cell>
        </row>
        <row r="248">
          <cell r="A248">
            <v>21391638</v>
          </cell>
          <cell r="B248" t="str">
            <v>Ana de Jesus  Borja</v>
          </cell>
          <cell r="C248">
            <v>21391638</v>
          </cell>
          <cell r="D248" t="str">
            <v>Ciriguan</v>
          </cell>
          <cell r="E248">
            <v>3116426365</v>
          </cell>
          <cell r="N248" t="str">
            <v>x</v>
          </cell>
          <cell r="S248" t="e">
            <v>#N/A</v>
          </cell>
          <cell r="T248" t="e">
            <v>#N/A</v>
          </cell>
        </row>
        <row r="249">
          <cell r="A249">
            <v>21543056</v>
          </cell>
          <cell r="B249" t="str">
            <v>Irma Rosa Cano builes</v>
          </cell>
          <cell r="C249">
            <v>21543056</v>
          </cell>
          <cell r="D249" t="str">
            <v>Urbano</v>
          </cell>
          <cell r="E249">
            <v>3217228165</v>
          </cell>
          <cell r="P249" t="str">
            <v>Versalles y el eden</v>
          </cell>
          <cell r="S249" t="str">
            <v xml:space="preserve">inurbe </v>
          </cell>
          <cell r="T249">
            <v>1</v>
          </cell>
        </row>
        <row r="250">
          <cell r="A250">
            <v>8286984</v>
          </cell>
          <cell r="B250" t="str">
            <v xml:space="preserve">Uriel de Jesús Montoya areiza </v>
          </cell>
          <cell r="C250">
            <v>8286984</v>
          </cell>
          <cell r="D250" t="str">
            <v>La Soledad</v>
          </cell>
          <cell r="E250">
            <v>3137488522</v>
          </cell>
          <cell r="F250" t="str">
            <v>X</v>
          </cell>
          <cell r="L250" t="str">
            <v>X</v>
          </cell>
          <cell r="S250" t="e">
            <v>#N/A</v>
          </cell>
          <cell r="T250" t="e">
            <v>#N/A</v>
          </cell>
        </row>
        <row r="251">
          <cell r="A251">
            <v>8286984</v>
          </cell>
          <cell r="B251" t="str">
            <v xml:space="preserve">Uriel de Jesús Montoya areiza </v>
          </cell>
          <cell r="C251">
            <v>8286984</v>
          </cell>
          <cell r="D251" t="str">
            <v>La Soledad</v>
          </cell>
          <cell r="E251">
            <v>3137488522</v>
          </cell>
          <cell r="F251" t="str">
            <v>X</v>
          </cell>
          <cell r="L251" t="str">
            <v>X</v>
          </cell>
          <cell r="S251" t="e">
            <v>#N/A</v>
          </cell>
          <cell r="T251" t="e">
            <v>#N/A</v>
          </cell>
        </row>
        <row r="252">
          <cell r="A252">
            <v>8334478</v>
          </cell>
          <cell r="B252" t="str">
            <v>Jose luis Goez martines</v>
          </cell>
          <cell r="C252">
            <v>8334478</v>
          </cell>
          <cell r="D252" t="str">
            <v>Guayabal</v>
          </cell>
          <cell r="S252" t="e">
            <v>#N/A</v>
          </cell>
          <cell r="T252" t="e">
            <v>#N/A</v>
          </cell>
        </row>
        <row r="253">
          <cell r="A253">
            <v>8400948</v>
          </cell>
          <cell r="B253" t="str">
            <v>Antonio de Jesus  Goez Manco</v>
          </cell>
          <cell r="C253">
            <v>8400948</v>
          </cell>
          <cell r="D253" t="str">
            <v>Juntas de Uramita</v>
          </cell>
          <cell r="E253">
            <v>3104102502</v>
          </cell>
          <cell r="P253" t="str">
            <v>Juntas de Uramita</v>
          </cell>
          <cell r="S253" t="e">
            <v>#N/A</v>
          </cell>
          <cell r="T253" t="e">
            <v>#N/A</v>
          </cell>
        </row>
        <row r="254">
          <cell r="A254">
            <v>8412071</v>
          </cell>
          <cell r="B254" t="str">
            <v xml:space="preserve">Gerardo Pino </v>
          </cell>
          <cell r="C254">
            <v>8412071</v>
          </cell>
          <cell r="D254" t="str">
            <v>Santo Domingo</v>
          </cell>
          <cell r="E254">
            <v>3212682205</v>
          </cell>
          <cell r="L254" t="str">
            <v>x</v>
          </cell>
          <cell r="S254" t="e">
            <v>#N/A</v>
          </cell>
          <cell r="T254" t="e">
            <v>#N/A</v>
          </cell>
        </row>
        <row r="255">
          <cell r="A255">
            <v>21607893</v>
          </cell>
          <cell r="B255" t="str">
            <v>Maria Bertalina Correa</v>
          </cell>
          <cell r="C255">
            <v>21607893</v>
          </cell>
          <cell r="D255" t="str">
            <v>La loma</v>
          </cell>
          <cell r="O255" t="str">
            <v>X</v>
          </cell>
          <cell r="R255" t="str">
            <v>Martica</v>
          </cell>
          <cell r="S255" t="e">
            <v>#N/A</v>
          </cell>
          <cell r="T255" t="e">
            <v>#N/A</v>
          </cell>
        </row>
        <row r="256">
          <cell r="A256">
            <v>21607893</v>
          </cell>
          <cell r="B256" t="str">
            <v xml:space="preserve">Maria Elicenia Correa </v>
          </cell>
          <cell r="C256">
            <v>21607893</v>
          </cell>
          <cell r="D256" t="str">
            <v>La Loma</v>
          </cell>
          <cell r="E256">
            <v>3104547478</v>
          </cell>
          <cell r="O256" t="str">
            <v>x</v>
          </cell>
          <cell r="S256" t="e">
            <v>#N/A</v>
          </cell>
          <cell r="T256" t="e">
            <v>#N/A</v>
          </cell>
        </row>
        <row r="257">
          <cell r="A257">
            <v>21607893</v>
          </cell>
          <cell r="B257" t="str">
            <v xml:space="preserve">Maria Elicenia Correa </v>
          </cell>
          <cell r="C257">
            <v>21607893</v>
          </cell>
          <cell r="D257" t="str">
            <v>La Loma</v>
          </cell>
          <cell r="E257">
            <v>3104547478</v>
          </cell>
          <cell r="O257" t="str">
            <v>x</v>
          </cell>
          <cell r="S257" t="e">
            <v>#N/A</v>
          </cell>
          <cell r="T257" t="e">
            <v>#N/A</v>
          </cell>
        </row>
        <row r="258">
          <cell r="A258">
            <v>21608133</v>
          </cell>
          <cell r="B258" t="str">
            <v>Maria Rosa Amelia Perez zapata</v>
          </cell>
          <cell r="C258">
            <v>21608133</v>
          </cell>
          <cell r="D258" t="str">
            <v>Guadual</v>
          </cell>
          <cell r="E258">
            <v>3122841490</v>
          </cell>
          <cell r="O258" t="str">
            <v>X</v>
          </cell>
          <cell r="S258" t="e">
            <v>#N/A</v>
          </cell>
          <cell r="T258" t="e">
            <v>#N/A</v>
          </cell>
        </row>
        <row r="259">
          <cell r="A259">
            <v>21608530</v>
          </cell>
          <cell r="B259" t="str">
            <v>Lina Rosa Rueda</v>
          </cell>
          <cell r="C259">
            <v>21608530</v>
          </cell>
          <cell r="D259" t="str">
            <v>Moroto</v>
          </cell>
          <cell r="E259">
            <v>3218177115</v>
          </cell>
          <cell r="N259" t="str">
            <v>X</v>
          </cell>
          <cell r="S259" t="e">
            <v>#N/A</v>
          </cell>
          <cell r="T259" t="e">
            <v>#N/A</v>
          </cell>
        </row>
        <row r="260">
          <cell r="A260">
            <v>21608561</v>
          </cell>
          <cell r="B260" t="str">
            <v>Luz Angela Usuga Duarte</v>
          </cell>
          <cell r="C260">
            <v>21608561</v>
          </cell>
          <cell r="D260" t="str">
            <v>Caracolal</v>
          </cell>
          <cell r="O260" t="str">
            <v>X</v>
          </cell>
          <cell r="S260" t="e">
            <v>#N/A</v>
          </cell>
          <cell r="T260" t="e">
            <v>#N/A</v>
          </cell>
        </row>
        <row r="261">
          <cell r="A261">
            <v>8412071</v>
          </cell>
          <cell r="B261" t="str">
            <v xml:space="preserve">Gerardo Pino </v>
          </cell>
          <cell r="C261">
            <v>8412071</v>
          </cell>
          <cell r="D261" t="str">
            <v>Santo Domingo</v>
          </cell>
          <cell r="E261">
            <v>3212682205</v>
          </cell>
          <cell r="L261" t="str">
            <v>x</v>
          </cell>
          <cell r="S261" t="e">
            <v>#N/A</v>
          </cell>
          <cell r="T261" t="e">
            <v>#N/A</v>
          </cell>
        </row>
        <row r="262">
          <cell r="A262">
            <v>15402686</v>
          </cell>
          <cell r="B262" t="str">
            <v>JAIME PRESIGA GRACIANO</v>
          </cell>
          <cell r="C262">
            <v>15402686</v>
          </cell>
          <cell r="D262" t="str">
            <v>San Luis del cafe</v>
          </cell>
          <cell r="E262">
            <v>3127737212</v>
          </cell>
          <cell r="G262" t="str">
            <v>x</v>
          </cell>
          <cell r="I262" t="str">
            <v>Esposa y 3 hijos</v>
          </cell>
          <cell r="L262" t="str">
            <v>x</v>
          </cell>
          <cell r="P262" t="str">
            <v>Cerca de rafael mira</v>
          </cell>
          <cell r="Q262" t="str">
            <v>Visitar</v>
          </cell>
          <cell r="R262" t="str">
            <v>Julieta</v>
          </cell>
          <cell r="S262" t="e">
            <v>#N/A</v>
          </cell>
          <cell r="T262">
            <v>1</v>
          </cell>
        </row>
        <row r="263">
          <cell r="A263">
            <v>21608763</v>
          </cell>
          <cell r="B263" t="str">
            <v>María elisenia Durango de Goez</v>
          </cell>
          <cell r="C263">
            <v>21608763</v>
          </cell>
          <cell r="D263" t="str">
            <v>San Pascual</v>
          </cell>
          <cell r="E263">
            <v>3122600549</v>
          </cell>
          <cell r="G263" t="str">
            <v>x</v>
          </cell>
          <cell r="O263" t="str">
            <v>x</v>
          </cell>
          <cell r="S263" t="e">
            <v>#N/A</v>
          </cell>
          <cell r="T263">
            <v>0</v>
          </cell>
        </row>
        <row r="264">
          <cell r="A264">
            <v>21608763</v>
          </cell>
          <cell r="B264" t="str">
            <v>María elisenia Durango de Goez</v>
          </cell>
          <cell r="C264">
            <v>21608763</v>
          </cell>
          <cell r="D264" t="str">
            <v>San Pascual</v>
          </cell>
          <cell r="E264">
            <v>3122600549</v>
          </cell>
          <cell r="G264" t="str">
            <v>x</v>
          </cell>
          <cell r="O264" t="str">
            <v>x</v>
          </cell>
          <cell r="S264" t="e">
            <v>#N/A</v>
          </cell>
          <cell r="T264">
            <v>0</v>
          </cell>
        </row>
        <row r="265">
          <cell r="A265">
            <v>15402686</v>
          </cell>
          <cell r="B265" t="str">
            <v>Jaime presiga</v>
          </cell>
          <cell r="C265">
            <v>15402686</v>
          </cell>
          <cell r="D265" t="str">
            <v>San Luis del Cafe</v>
          </cell>
          <cell r="E265" t="str">
            <v>312 773 7212</v>
          </cell>
          <cell r="L265" t="str">
            <v>x</v>
          </cell>
          <cell r="S265" t="e">
            <v>#N/A</v>
          </cell>
          <cell r="T265">
            <v>1</v>
          </cell>
        </row>
        <row r="266">
          <cell r="A266">
            <v>15450213</v>
          </cell>
          <cell r="B266" t="str">
            <v>ALBA LUZ PINO</v>
          </cell>
          <cell r="C266">
            <v>15450213</v>
          </cell>
          <cell r="D266" t="str">
            <v>SAN MIGUEL</v>
          </cell>
          <cell r="S266" t="e">
            <v>#N/A</v>
          </cell>
          <cell r="T266" t="e">
            <v>#N/A</v>
          </cell>
        </row>
        <row r="267">
          <cell r="A267">
            <v>16435045</v>
          </cell>
          <cell r="B267" t="str">
            <v xml:space="preserve">Edilberto Cartagena Ortiz </v>
          </cell>
          <cell r="C267">
            <v>16435045</v>
          </cell>
          <cell r="D267" t="str">
            <v>Santo Domingo</v>
          </cell>
          <cell r="E267">
            <v>3103917950</v>
          </cell>
          <cell r="L267" t="str">
            <v>x</v>
          </cell>
          <cell r="S267" t="e">
            <v>#N/A</v>
          </cell>
          <cell r="T267" t="e">
            <v>#N/A</v>
          </cell>
        </row>
        <row r="268">
          <cell r="A268">
            <v>16435045</v>
          </cell>
          <cell r="B268" t="str">
            <v xml:space="preserve">Edilberto Cartagena Ortiz </v>
          </cell>
          <cell r="C268">
            <v>16435045</v>
          </cell>
          <cell r="D268" t="str">
            <v>Santo Domingo</v>
          </cell>
          <cell r="E268">
            <v>3103917950</v>
          </cell>
          <cell r="L268" t="str">
            <v>x</v>
          </cell>
          <cell r="S268" t="e">
            <v>#N/A</v>
          </cell>
          <cell r="T268" t="e">
            <v>#N/A</v>
          </cell>
        </row>
        <row r="269">
          <cell r="A269">
            <v>21608925</v>
          </cell>
          <cell r="B269" t="str">
            <v xml:space="preserve">Ana de Jesus Montoya Usuga </v>
          </cell>
          <cell r="C269">
            <v>21608925</v>
          </cell>
          <cell r="D269" t="str">
            <v>La cusuti</v>
          </cell>
          <cell r="E269">
            <v>3207595653</v>
          </cell>
          <cell r="N269" t="str">
            <v>X</v>
          </cell>
          <cell r="S269" t="e">
            <v>#N/A</v>
          </cell>
          <cell r="T269" t="e">
            <v>#N/A</v>
          </cell>
        </row>
        <row r="270">
          <cell r="A270">
            <v>21609082</v>
          </cell>
          <cell r="B270" t="str">
            <v>Maria Clementina  Gonzales Villa</v>
          </cell>
          <cell r="C270">
            <v>21609082</v>
          </cell>
          <cell r="D270" t="str">
            <v>El canelo</v>
          </cell>
          <cell r="E270">
            <v>3127724545</v>
          </cell>
          <cell r="O270" t="str">
            <v>X</v>
          </cell>
          <cell r="S270" t="e">
            <v>#N/A</v>
          </cell>
          <cell r="T270">
            <v>1</v>
          </cell>
        </row>
        <row r="271">
          <cell r="A271">
            <v>21609093</v>
          </cell>
          <cell r="B271" t="str">
            <v>Rosa Elana Villa</v>
          </cell>
          <cell r="C271">
            <v>21609093</v>
          </cell>
          <cell r="D271" t="str">
            <v>La Escalera</v>
          </cell>
          <cell r="E271">
            <v>3137811161</v>
          </cell>
          <cell r="O271" t="str">
            <v>X</v>
          </cell>
          <cell r="S271" t="e">
            <v>#N/A</v>
          </cell>
          <cell r="T271" t="e">
            <v>#N/A</v>
          </cell>
        </row>
        <row r="272">
          <cell r="A272">
            <v>21609095</v>
          </cell>
          <cell r="B272" t="str">
            <v>rosa maria  usuga de campo</v>
          </cell>
          <cell r="C272">
            <v>21609095</v>
          </cell>
          <cell r="D272" t="str">
            <v xml:space="preserve">botija abajo </v>
          </cell>
          <cell r="E272">
            <v>3108900884</v>
          </cell>
          <cell r="F272" t="str">
            <v>x</v>
          </cell>
          <cell r="I272" t="str">
            <v xml:space="preserve">ella, esposo y 4 nietos </v>
          </cell>
          <cell r="K272" t="str">
            <v>x</v>
          </cell>
          <cell r="Q272" t="str">
            <v xml:space="preserve">visitar </v>
          </cell>
          <cell r="S272" t="e">
            <v>#N/A</v>
          </cell>
          <cell r="T272">
            <v>0</v>
          </cell>
        </row>
        <row r="273">
          <cell r="A273">
            <v>1035302016</v>
          </cell>
          <cell r="B273" t="str">
            <v>Darion de Jesus Velasquez Quintero</v>
          </cell>
          <cell r="C273">
            <v>1035302016</v>
          </cell>
          <cell r="D273" t="str">
            <v>Paso arriba</v>
          </cell>
          <cell r="E273">
            <v>3146875813</v>
          </cell>
          <cell r="J273" t="str">
            <v>x</v>
          </cell>
          <cell r="Q273" t="str">
            <v>SI</v>
          </cell>
          <cell r="R273" t="str">
            <v>PRESIDENTE</v>
          </cell>
          <cell r="S273" t="e">
            <v>#N/A</v>
          </cell>
          <cell r="T273" t="e">
            <v>#N/A</v>
          </cell>
        </row>
        <row r="274">
          <cell r="A274">
            <v>21609142</v>
          </cell>
          <cell r="B274" t="str">
            <v>Maria alisia Tuberquia Usuga</v>
          </cell>
          <cell r="C274">
            <v>21609142</v>
          </cell>
          <cell r="D274" t="str">
            <v>Rubicon</v>
          </cell>
          <cell r="O274" t="str">
            <v>X</v>
          </cell>
          <cell r="S274" t="e">
            <v>#N/A</v>
          </cell>
          <cell r="T274" t="e">
            <v>#N/A</v>
          </cell>
        </row>
        <row r="275">
          <cell r="A275">
            <v>21609148</v>
          </cell>
          <cell r="B275" t="str">
            <v>Maria Bertalina Higuita Velasquez</v>
          </cell>
          <cell r="C275">
            <v>21609148</v>
          </cell>
          <cell r="D275" t="str">
            <v>El madero</v>
          </cell>
          <cell r="E275">
            <v>3234930568</v>
          </cell>
          <cell r="O275" t="str">
            <v>X</v>
          </cell>
          <cell r="S275" t="e">
            <v>#N/A</v>
          </cell>
          <cell r="T275">
            <v>0</v>
          </cell>
        </row>
        <row r="276">
          <cell r="A276">
            <v>21609153</v>
          </cell>
          <cell r="B276" t="str">
            <v>Oliva De Jesus Bedoya Torres</v>
          </cell>
          <cell r="C276">
            <v>21609153</v>
          </cell>
          <cell r="E276">
            <v>3104744783</v>
          </cell>
          <cell r="O276" t="str">
            <v>x</v>
          </cell>
          <cell r="S276" t="e">
            <v>#N/A</v>
          </cell>
          <cell r="T276">
            <v>1</v>
          </cell>
        </row>
        <row r="277">
          <cell r="A277">
            <v>21609153</v>
          </cell>
          <cell r="B277" t="str">
            <v>Oliva De Jesus Bedoya Torres</v>
          </cell>
          <cell r="C277">
            <v>21609153</v>
          </cell>
          <cell r="E277">
            <v>3104744783</v>
          </cell>
          <cell r="O277" t="str">
            <v>x</v>
          </cell>
          <cell r="S277" t="e">
            <v>#N/A</v>
          </cell>
          <cell r="T277">
            <v>1</v>
          </cell>
        </row>
        <row r="278">
          <cell r="A278">
            <v>20916770</v>
          </cell>
          <cell r="B278" t="str">
            <v>Oneida Maria Usuga Aguirre</v>
          </cell>
          <cell r="C278">
            <v>20916770</v>
          </cell>
          <cell r="D278" t="str">
            <v>La Soledad</v>
          </cell>
          <cell r="E278">
            <v>3108482956</v>
          </cell>
          <cell r="G278" t="str">
            <v>x</v>
          </cell>
          <cell r="K278" t="str">
            <v>x</v>
          </cell>
          <cell r="S278" t="e">
            <v>#N/A</v>
          </cell>
          <cell r="T278">
            <v>1</v>
          </cell>
        </row>
        <row r="279">
          <cell r="A279">
            <v>43486262</v>
          </cell>
          <cell r="B279" t="str">
            <v>Diocelina David Lopez</v>
          </cell>
          <cell r="C279">
            <v>43486262</v>
          </cell>
          <cell r="D279" t="str">
            <v>Paso Arriba</v>
          </cell>
          <cell r="E279">
            <v>3206216565</v>
          </cell>
          <cell r="O279" t="str">
            <v>X</v>
          </cell>
          <cell r="Q279" t="str">
            <v>SI</v>
          </cell>
          <cell r="R279" t="str">
            <v>PRESIDENTE</v>
          </cell>
          <cell r="S279" t="e">
            <v>#N/A</v>
          </cell>
          <cell r="T279" t="e">
            <v>#N/A</v>
          </cell>
        </row>
        <row r="280">
          <cell r="A280">
            <v>20916770</v>
          </cell>
          <cell r="B280" t="str">
            <v>Oneida Maria Usuga Aguirre</v>
          </cell>
          <cell r="C280">
            <v>20916770</v>
          </cell>
          <cell r="D280" t="str">
            <v>La Soledad</v>
          </cell>
          <cell r="E280">
            <v>3108482956</v>
          </cell>
          <cell r="G280" t="str">
            <v>x</v>
          </cell>
          <cell r="K280" t="str">
            <v>x</v>
          </cell>
          <cell r="S280" t="e">
            <v>#N/A</v>
          </cell>
          <cell r="T280">
            <v>1</v>
          </cell>
        </row>
        <row r="281">
          <cell r="A281">
            <v>21425566</v>
          </cell>
          <cell r="B281" t="str">
            <v>heminia alcaraz de holguin</v>
          </cell>
          <cell r="C281">
            <v>21425566</v>
          </cell>
          <cell r="D281" t="str">
            <v>mediacuesta</v>
          </cell>
          <cell r="E281">
            <v>3128536653</v>
          </cell>
          <cell r="K281" t="str">
            <v>x</v>
          </cell>
          <cell r="S281" t="e">
            <v>#N/A</v>
          </cell>
          <cell r="T281" t="e">
            <v>#N/A</v>
          </cell>
        </row>
        <row r="282">
          <cell r="A282">
            <v>21609234</v>
          </cell>
          <cell r="B282" t="str">
            <v>ROSA MARIA USUGA USUGA</v>
          </cell>
          <cell r="C282">
            <v>21609234</v>
          </cell>
          <cell r="D282" t="str">
            <v>Los Naranjos</v>
          </cell>
          <cell r="E282">
            <v>3135874650</v>
          </cell>
          <cell r="O282" t="str">
            <v>X</v>
          </cell>
          <cell r="S282" t="e">
            <v>#N/A</v>
          </cell>
          <cell r="T282" t="e">
            <v>#N/A</v>
          </cell>
        </row>
        <row r="283">
          <cell r="A283">
            <v>21609250</v>
          </cell>
          <cell r="B283" t="str">
            <v>Maria de los Angeles GARCES USUGA</v>
          </cell>
          <cell r="C283">
            <v>21609250</v>
          </cell>
          <cell r="D283" t="str">
            <v>Los Naranjos</v>
          </cell>
          <cell r="S283" t="str">
            <v xml:space="preserve">inurbe </v>
          </cell>
          <cell r="T283">
            <v>1</v>
          </cell>
        </row>
        <row r="284">
          <cell r="A284">
            <v>21541148</v>
          </cell>
          <cell r="B284" t="str">
            <v>lina rosa abalos</v>
          </cell>
          <cell r="C284">
            <v>21541148</v>
          </cell>
          <cell r="D284" t="str">
            <v xml:space="preserve">el madero </v>
          </cell>
          <cell r="E284">
            <v>3124312273</v>
          </cell>
          <cell r="K284" t="str">
            <v>x</v>
          </cell>
          <cell r="S284" t="e">
            <v>#N/A</v>
          </cell>
          <cell r="T284" t="e">
            <v>#N/A</v>
          </cell>
        </row>
        <row r="285">
          <cell r="A285">
            <v>21609450</v>
          </cell>
          <cell r="B285" t="str">
            <v>Marta  Vasquez</v>
          </cell>
          <cell r="C285">
            <v>21609450</v>
          </cell>
          <cell r="D285" t="str">
            <v>La escalera</v>
          </cell>
          <cell r="E285">
            <v>3205159351</v>
          </cell>
          <cell r="N285" t="str">
            <v>x</v>
          </cell>
          <cell r="S285" t="e">
            <v>#N/A</v>
          </cell>
          <cell r="T285">
            <v>1</v>
          </cell>
        </row>
        <row r="286">
          <cell r="A286">
            <v>21609456</v>
          </cell>
          <cell r="B286" t="str">
            <v>Fidelina Guisao</v>
          </cell>
          <cell r="C286">
            <v>21609456</v>
          </cell>
          <cell r="D286" t="str">
            <v>Vereda Cumbarra</v>
          </cell>
          <cell r="E286">
            <v>3128222268</v>
          </cell>
          <cell r="N286" t="str">
            <v>x</v>
          </cell>
          <cell r="P286" t="str">
            <v>Vereda Cumbarra</v>
          </cell>
          <cell r="S286" t="e">
            <v>#N/A</v>
          </cell>
          <cell r="T286">
            <v>0</v>
          </cell>
        </row>
        <row r="287">
          <cell r="A287">
            <v>21609456</v>
          </cell>
          <cell r="B287" t="str">
            <v>Fidelina Guisao</v>
          </cell>
          <cell r="C287">
            <v>21609456</v>
          </cell>
          <cell r="D287" t="str">
            <v>Vereda Cumbarra</v>
          </cell>
          <cell r="E287">
            <v>3128222268</v>
          </cell>
          <cell r="N287" t="str">
            <v>x</v>
          </cell>
          <cell r="P287" t="str">
            <v>Vereda Cumbarra</v>
          </cell>
          <cell r="S287" t="e">
            <v>#N/A</v>
          </cell>
          <cell r="T287">
            <v>0</v>
          </cell>
        </row>
        <row r="288">
          <cell r="A288">
            <v>21605251</v>
          </cell>
          <cell r="B288" t="str">
            <v>maria de las mercedes higuita de higuita</v>
          </cell>
          <cell r="C288">
            <v>21605251</v>
          </cell>
          <cell r="D288" t="str">
            <v>mediacuesta</v>
          </cell>
          <cell r="E288">
            <v>3145509993</v>
          </cell>
          <cell r="L288" t="str">
            <v>x</v>
          </cell>
          <cell r="S288" t="e">
            <v>#N/A</v>
          </cell>
          <cell r="T288">
            <v>1</v>
          </cell>
        </row>
        <row r="289">
          <cell r="A289">
            <v>21605263</v>
          </cell>
          <cell r="B289" t="str">
            <v>Maria Graciela Gutierrez Vasquez</v>
          </cell>
          <cell r="C289">
            <v>21605263</v>
          </cell>
          <cell r="D289" t="str">
            <v>Urbano</v>
          </cell>
          <cell r="E289">
            <v>3128643686</v>
          </cell>
          <cell r="K289" t="str">
            <v>X</v>
          </cell>
          <cell r="S289" t="e">
            <v>#N/A</v>
          </cell>
          <cell r="T289">
            <v>1</v>
          </cell>
        </row>
        <row r="290">
          <cell r="A290">
            <v>21605263</v>
          </cell>
          <cell r="B290" t="str">
            <v xml:space="preserve">Maria Graciela Gutierrez </v>
          </cell>
          <cell r="C290">
            <v>21605263</v>
          </cell>
          <cell r="D290" t="str">
            <v>Urbano</v>
          </cell>
          <cell r="E290" t="str">
            <v>3136213992-3128643686</v>
          </cell>
          <cell r="F290" t="str">
            <v>x</v>
          </cell>
          <cell r="L290" t="str">
            <v>x</v>
          </cell>
          <cell r="P290" t="str">
            <v>Vereda mediacuesta</v>
          </cell>
          <cell r="S290" t="e">
            <v>#N/A</v>
          </cell>
          <cell r="T290">
            <v>1</v>
          </cell>
        </row>
        <row r="291">
          <cell r="A291">
            <v>21606169</v>
          </cell>
          <cell r="B291" t="str">
            <v>rosa amelia avendaño guzman</v>
          </cell>
          <cell r="C291">
            <v>21606169</v>
          </cell>
          <cell r="D291" t="str">
            <v>Loma de la alegria</v>
          </cell>
          <cell r="L291" t="str">
            <v>x</v>
          </cell>
          <cell r="S291" t="e">
            <v>#N/A</v>
          </cell>
          <cell r="T291" t="e">
            <v>#N/A</v>
          </cell>
        </row>
        <row r="292">
          <cell r="A292">
            <v>21608167</v>
          </cell>
          <cell r="B292" t="str">
            <v>ana cecilia giraldo borja</v>
          </cell>
          <cell r="C292">
            <v>21608167</v>
          </cell>
          <cell r="D292" t="str">
            <v>mediacuesta</v>
          </cell>
          <cell r="E292">
            <v>3135544652</v>
          </cell>
          <cell r="L292" t="str">
            <v>x</v>
          </cell>
          <cell r="S292" t="e">
            <v>#N/A</v>
          </cell>
          <cell r="T292" t="e">
            <v>#N/A</v>
          </cell>
        </row>
        <row r="293">
          <cell r="A293">
            <v>21609787</v>
          </cell>
          <cell r="B293" t="str">
            <v xml:space="preserve">Carmen Emilia Fernandez </v>
          </cell>
          <cell r="C293">
            <v>21609787</v>
          </cell>
          <cell r="D293" t="str">
            <v>Los Naranjos</v>
          </cell>
          <cell r="E293">
            <v>3137423628</v>
          </cell>
          <cell r="O293" t="str">
            <v>X</v>
          </cell>
          <cell r="S293" t="e">
            <v>#N/A</v>
          </cell>
          <cell r="T293" t="e">
            <v>#N/A</v>
          </cell>
        </row>
        <row r="294">
          <cell r="A294">
            <v>21609853</v>
          </cell>
          <cell r="B294" t="str">
            <v>Rosalba  Guisao</v>
          </cell>
          <cell r="C294">
            <v>21609853</v>
          </cell>
          <cell r="D294" t="str">
            <v>Urbano</v>
          </cell>
          <cell r="E294">
            <v>3137843463</v>
          </cell>
          <cell r="L294" t="str">
            <v>x</v>
          </cell>
          <cell r="P294" t="str">
            <v>Barrio los balsos</v>
          </cell>
          <cell r="S294" t="e">
            <v>#N/A</v>
          </cell>
          <cell r="T294" t="e">
            <v>#N/A</v>
          </cell>
        </row>
        <row r="295">
          <cell r="A295">
            <v>21609881</v>
          </cell>
          <cell r="B295" t="str">
            <v>Rosmira Rengifo</v>
          </cell>
          <cell r="C295">
            <v>21609881</v>
          </cell>
          <cell r="D295" t="str">
            <v>La loma</v>
          </cell>
          <cell r="O295" t="str">
            <v>X</v>
          </cell>
          <cell r="R295" t="str">
            <v>Martica</v>
          </cell>
          <cell r="S295" t="e">
            <v>#N/A</v>
          </cell>
          <cell r="T295">
            <v>1</v>
          </cell>
        </row>
        <row r="296">
          <cell r="A296">
            <v>21609881</v>
          </cell>
          <cell r="B296" t="str">
            <v xml:space="preserve">Rosmira de Jesus Rengifo </v>
          </cell>
          <cell r="C296">
            <v>21609881</v>
          </cell>
          <cell r="D296" t="str">
            <v>La Loma</v>
          </cell>
          <cell r="E296">
            <v>3136784963</v>
          </cell>
          <cell r="O296" t="str">
            <v>x</v>
          </cell>
          <cell r="S296" t="e">
            <v>#N/A</v>
          </cell>
          <cell r="T296">
            <v>1</v>
          </cell>
        </row>
        <row r="297">
          <cell r="A297">
            <v>21609881</v>
          </cell>
          <cell r="B297" t="str">
            <v xml:space="preserve">Rosmira de Jesus Rengifo </v>
          </cell>
          <cell r="C297">
            <v>21609881</v>
          </cell>
          <cell r="D297" t="str">
            <v>La Loma</v>
          </cell>
          <cell r="E297">
            <v>3136784963</v>
          </cell>
          <cell r="O297" t="str">
            <v>x</v>
          </cell>
          <cell r="S297" t="e">
            <v>#N/A</v>
          </cell>
          <cell r="T297">
            <v>1</v>
          </cell>
        </row>
        <row r="298">
          <cell r="A298">
            <v>21608675</v>
          </cell>
          <cell r="B298" t="str">
            <v>Amada de Jesus Cuadros De Rivera</v>
          </cell>
          <cell r="C298">
            <v>21608675</v>
          </cell>
          <cell r="E298">
            <v>3216304943</v>
          </cell>
          <cell r="Q298" t="str">
            <v>Visitar</v>
          </cell>
          <cell r="S298" t="e">
            <v>#N/A</v>
          </cell>
          <cell r="T298" t="e">
            <v>#N/A</v>
          </cell>
        </row>
        <row r="299">
          <cell r="A299">
            <v>21609967</v>
          </cell>
          <cell r="B299" t="str">
            <v>Maria Emma Higuita</v>
          </cell>
          <cell r="C299">
            <v>21609967</v>
          </cell>
          <cell r="D299" t="str">
            <v>El Canelo</v>
          </cell>
          <cell r="E299">
            <v>1348742940</v>
          </cell>
          <cell r="N299" t="str">
            <v>x</v>
          </cell>
          <cell r="S299" t="e">
            <v>#N/A</v>
          </cell>
          <cell r="T299" t="e">
            <v>#N/A</v>
          </cell>
        </row>
        <row r="300">
          <cell r="A300">
            <v>21608826</v>
          </cell>
          <cell r="B300" t="str">
            <v>Margarita Yepes</v>
          </cell>
          <cell r="C300">
            <v>21608826</v>
          </cell>
          <cell r="D300" t="str">
            <v>Vereda la Campiña</v>
          </cell>
          <cell r="E300">
            <v>8564559</v>
          </cell>
          <cell r="S300" t="e">
            <v>#N/A</v>
          </cell>
          <cell r="T300">
            <v>1</v>
          </cell>
        </row>
        <row r="301">
          <cell r="A301">
            <v>21608848</v>
          </cell>
          <cell r="B301" t="str">
            <v xml:space="preserve">rosa elvira usuga </v>
          </cell>
          <cell r="C301">
            <v>21608848</v>
          </cell>
          <cell r="D301" t="str">
            <v xml:space="preserve">la aldea </v>
          </cell>
          <cell r="E301">
            <v>3218174375</v>
          </cell>
          <cell r="L301" t="str">
            <v>x</v>
          </cell>
          <cell r="S301" t="e">
            <v>#N/A</v>
          </cell>
          <cell r="T301" t="e">
            <v>#N/A</v>
          </cell>
        </row>
        <row r="302">
          <cell r="A302">
            <v>21608885</v>
          </cell>
          <cell r="B302" t="str">
            <v>Carmen Emilia Castaño</v>
          </cell>
          <cell r="C302">
            <v>21608885</v>
          </cell>
          <cell r="D302" t="str">
            <v>El canelo</v>
          </cell>
          <cell r="E302">
            <v>3146102956</v>
          </cell>
          <cell r="K302" t="str">
            <v>x</v>
          </cell>
          <cell r="S302" t="e">
            <v>#N/A</v>
          </cell>
          <cell r="T302" t="e">
            <v>#N/A</v>
          </cell>
        </row>
        <row r="303">
          <cell r="A303">
            <v>21608889</v>
          </cell>
          <cell r="B303" t="str">
            <v>Maria de los Santos Perez</v>
          </cell>
          <cell r="C303">
            <v>21608889</v>
          </cell>
          <cell r="D303" t="str">
            <v>Urbano</v>
          </cell>
          <cell r="E303">
            <v>3215546205</v>
          </cell>
          <cell r="L303" t="str">
            <v>x</v>
          </cell>
          <cell r="P303" t="str">
            <v>Barrio los balsos</v>
          </cell>
          <cell r="S303" t="e">
            <v>#N/A</v>
          </cell>
          <cell r="T303">
            <v>0</v>
          </cell>
        </row>
        <row r="304">
          <cell r="A304">
            <v>21608924</v>
          </cell>
          <cell r="B304" t="str">
            <v>Virgelina Garces Usuga</v>
          </cell>
          <cell r="C304">
            <v>21608924</v>
          </cell>
          <cell r="D304" t="str">
            <v>La lloroncita</v>
          </cell>
          <cell r="E304">
            <v>3145073019</v>
          </cell>
          <cell r="F304" t="str">
            <v>x</v>
          </cell>
          <cell r="I304" t="str">
            <v>Esposo</v>
          </cell>
          <cell r="K304" t="str">
            <v>x</v>
          </cell>
          <cell r="S304" t="e">
            <v>#N/A</v>
          </cell>
          <cell r="T304">
            <v>1</v>
          </cell>
        </row>
        <row r="305">
          <cell r="A305">
            <v>21609212</v>
          </cell>
          <cell r="B305" t="str">
            <v>Maria Beatriz  Hernandez De Miranda</v>
          </cell>
          <cell r="C305">
            <v>21609212</v>
          </cell>
          <cell r="D305" t="str">
            <v>Urbano</v>
          </cell>
          <cell r="P305" t="str">
            <v>La bomba</v>
          </cell>
          <cell r="Q305" t="str">
            <v>Visitar</v>
          </cell>
          <cell r="R305" t="str">
            <v>Julieta</v>
          </cell>
          <cell r="S305" t="e">
            <v>#N/A</v>
          </cell>
          <cell r="T305" t="e">
            <v>#N/A</v>
          </cell>
        </row>
        <row r="306">
          <cell r="A306">
            <v>21610363</v>
          </cell>
          <cell r="B306" t="str">
            <v>Gladis Maria Restrepo Caro</v>
          </cell>
          <cell r="C306">
            <v>21610363</v>
          </cell>
          <cell r="D306" t="str">
            <v>Apucarco</v>
          </cell>
          <cell r="E306">
            <v>3137691771</v>
          </cell>
          <cell r="N306" t="str">
            <v>X</v>
          </cell>
          <cell r="S306" t="e">
            <v>#N/A</v>
          </cell>
          <cell r="T306">
            <v>1</v>
          </cell>
        </row>
        <row r="307">
          <cell r="A307">
            <v>21610409</v>
          </cell>
          <cell r="B307" t="str">
            <v>Frenkelina Bedoya goez</v>
          </cell>
          <cell r="C307">
            <v>21610409</v>
          </cell>
          <cell r="D307" t="str">
            <v>La Balsita</v>
          </cell>
          <cell r="E307">
            <v>3126696130</v>
          </cell>
          <cell r="L307" t="str">
            <v>x</v>
          </cell>
          <cell r="S307" t="e">
            <v>#N/A</v>
          </cell>
          <cell r="T307">
            <v>1</v>
          </cell>
        </row>
        <row r="308">
          <cell r="A308">
            <v>21609232</v>
          </cell>
          <cell r="B308" t="str">
            <v xml:space="preserve">Luz Elena Quintero </v>
          </cell>
          <cell r="C308">
            <v>21609232</v>
          </cell>
          <cell r="D308" t="str">
            <v>Vereda el Rosal</v>
          </cell>
          <cell r="E308">
            <v>3122689294</v>
          </cell>
          <cell r="S308" t="e">
            <v>#N/A</v>
          </cell>
          <cell r="T308">
            <v>1</v>
          </cell>
        </row>
        <row r="309">
          <cell r="A309">
            <v>21609234</v>
          </cell>
          <cell r="B309" t="str">
            <v>Rosa Maria Usuga Usuga</v>
          </cell>
          <cell r="C309">
            <v>21609234</v>
          </cell>
          <cell r="D309" t="str">
            <v>Los Naranjos</v>
          </cell>
          <cell r="E309">
            <v>3135784650</v>
          </cell>
          <cell r="G309" t="str">
            <v>x</v>
          </cell>
          <cell r="I309" t="str">
            <v>Ella y una hermana Sordo-Muda</v>
          </cell>
          <cell r="K309" t="str">
            <v>x</v>
          </cell>
          <cell r="P309" t="str">
            <v>Abajo de la caseta</v>
          </cell>
          <cell r="Q309" t="str">
            <v>Visitar</v>
          </cell>
          <cell r="R309" t="str">
            <v>Julieta</v>
          </cell>
          <cell r="S309" t="e">
            <v>#N/A</v>
          </cell>
          <cell r="T309" t="e">
            <v>#N/A</v>
          </cell>
        </row>
        <row r="310">
          <cell r="A310">
            <v>21610530</v>
          </cell>
          <cell r="B310" t="str">
            <v>Luz Elena Gonzales</v>
          </cell>
          <cell r="C310">
            <v>21610530</v>
          </cell>
          <cell r="D310" t="str">
            <v>La balsita</v>
          </cell>
          <cell r="E310">
            <v>3128047067</v>
          </cell>
          <cell r="O310" t="str">
            <v>X</v>
          </cell>
          <cell r="R310" t="str">
            <v>Martica</v>
          </cell>
          <cell r="S310" t="e">
            <v>#N/A</v>
          </cell>
          <cell r="T310" t="e">
            <v>#N/A</v>
          </cell>
        </row>
        <row r="311">
          <cell r="A311">
            <v>21610530</v>
          </cell>
          <cell r="B311" t="str">
            <v>Luz Elena Gonzales</v>
          </cell>
          <cell r="C311">
            <v>21610530</v>
          </cell>
          <cell r="D311" t="str">
            <v>La balsita</v>
          </cell>
          <cell r="E311">
            <v>3128047067</v>
          </cell>
          <cell r="O311" t="str">
            <v>X</v>
          </cell>
          <cell r="S311" t="e">
            <v>#N/A</v>
          </cell>
          <cell r="T311" t="e">
            <v>#N/A</v>
          </cell>
        </row>
        <row r="312">
          <cell r="A312">
            <v>21610634</v>
          </cell>
          <cell r="B312" t="str">
            <v>Blanca  Restrepo</v>
          </cell>
          <cell r="C312">
            <v>21610634</v>
          </cell>
          <cell r="D312" t="str">
            <v>Insor</v>
          </cell>
          <cell r="E312">
            <v>3135152194</v>
          </cell>
          <cell r="L312" t="str">
            <v>x</v>
          </cell>
          <cell r="S312" t="e">
            <v>#N/A</v>
          </cell>
          <cell r="T312">
            <v>0</v>
          </cell>
        </row>
        <row r="313">
          <cell r="A313">
            <v>21609344</v>
          </cell>
          <cell r="B313" t="str">
            <v>ROSANA RUEDA</v>
          </cell>
          <cell r="C313">
            <v>21609344</v>
          </cell>
          <cell r="D313" t="str">
            <v>SAN MIGUEL</v>
          </cell>
          <cell r="S313" t="e">
            <v>#N/A</v>
          </cell>
          <cell r="T313">
            <v>1</v>
          </cell>
        </row>
        <row r="314">
          <cell r="A314">
            <v>21609455</v>
          </cell>
          <cell r="B314" t="str">
            <v>Luz Mariela Correa Caro</v>
          </cell>
          <cell r="C314">
            <v>21609455</v>
          </cell>
          <cell r="D314" t="str">
            <v>Urbano</v>
          </cell>
          <cell r="E314">
            <v>3105418221</v>
          </cell>
          <cell r="L314" t="str">
            <v>x</v>
          </cell>
          <cell r="P314" t="str">
            <v>Imantago</v>
          </cell>
          <cell r="S314" t="e">
            <v>#N/A</v>
          </cell>
          <cell r="T314">
            <v>1</v>
          </cell>
        </row>
        <row r="315">
          <cell r="A315">
            <v>21609554</v>
          </cell>
          <cell r="B315" t="str">
            <v>Maria Cristina Hidalgo Palacio</v>
          </cell>
          <cell r="C315">
            <v>21609554</v>
          </cell>
          <cell r="D315" t="str">
            <v>La Escalera</v>
          </cell>
          <cell r="G315" t="str">
            <v>x</v>
          </cell>
          <cell r="S315" t="e">
            <v>#N/A</v>
          </cell>
          <cell r="T315">
            <v>1</v>
          </cell>
        </row>
        <row r="316">
          <cell r="A316">
            <v>21610670</v>
          </cell>
          <cell r="B316" t="str">
            <v>Rosa Manco</v>
          </cell>
          <cell r="C316">
            <v>21610670</v>
          </cell>
          <cell r="D316" t="str">
            <v>La Escalera</v>
          </cell>
          <cell r="E316">
            <v>3126037494</v>
          </cell>
          <cell r="O316" t="str">
            <v>X</v>
          </cell>
          <cell r="S316" t="e">
            <v>#N/A</v>
          </cell>
          <cell r="T316">
            <v>1</v>
          </cell>
        </row>
        <row r="317">
          <cell r="A317">
            <v>21610690</v>
          </cell>
          <cell r="B317" t="str">
            <v>Martha Rodriguez</v>
          </cell>
          <cell r="C317">
            <v>21610690</v>
          </cell>
          <cell r="D317" t="str">
            <v>El Canelito</v>
          </cell>
          <cell r="E317">
            <v>3216166939</v>
          </cell>
          <cell r="O317" t="str">
            <v>X</v>
          </cell>
          <cell r="S317" t="e">
            <v>#N/A</v>
          </cell>
          <cell r="T317">
            <v>1</v>
          </cell>
        </row>
        <row r="318">
          <cell r="A318">
            <v>21610697</v>
          </cell>
          <cell r="B318" t="str">
            <v>ELVIA ESTER CASTAÑO</v>
          </cell>
          <cell r="C318">
            <v>21610697</v>
          </cell>
          <cell r="D318" t="str">
            <v>CESTILLAL</v>
          </cell>
          <cell r="S318" t="str">
            <v>banco agrario</v>
          </cell>
          <cell r="T318">
            <v>1</v>
          </cell>
        </row>
        <row r="319">
          <cell r="A319">
            <v>21609567</v>
          </cell>
          <cell r="B319" t="str">
            <v>Marta de Jesus Usuga Tangarife</v>
          </cell>
          <cell r="C319">
            <v>21609567</v>
          </cell>
          <cell r="D319" t="str">
            <v>Urbano</v>
          </cell>
          <cell r="E319" t="str">
            <v>3043250069-3136213992</v>
          </cell>
          <cell r="F319" t="str">
            <v>x</v>
          </cell>
          <cell r="I319" t="str">
            <v>Jefe de hogar e hijos</v>
          </cell>
          <cell r="L319" t="str">
            <v>x</v>
          </cell>
          <cell r="P319" t="str">
            <v>Vereda mediacuesta</v>
          </cell>
          <cell r="S319" t="e">
            <v>#N/A</v>
          </cell>
          <cell r="T319" t="e">
            <v>#N/A</v>
          </cell>
        </row>
        <row r="320">
          <cell r="A320">
            <v>21609670</v>
          </cell>
          <cell r="B320" t="str">
            <v>Dolly Del Socorro Usuga Usuga</v>
          </cell>
          <cell r="C320">
            <v>21609670</v>
          </cell>
          <cell r="D320" t="str">
            <v>La estrella</v>
          </cell>
          <cell r="E320">
            <v>3103958488</v>
          </cell>
          <cell r="L320" t="str">
            <v>x</v>
          </cell>
          <cell r="S320" t="e">
            <v>#N/A</v>
          </cell>
          <cell r="T320" t="e">
            <v>#N/A</v>
          </cell>
        </row>
        <row r="321">
          <cell r="A321">
            <v>21610722</v>
          </cell>
          <cell r="B321" t="str">
            <v>Luz MarinaZapata Valencia</v>
          </cell>
          <cell r="C321">
            <v>21610722</v>
          </cell>
          <cell r="D321" t="str">
            <v>La estrella</v>
          </cell>
          <cell r="E321">
            <v>3146954204</v>
          </cell>
          <cell r="K321" t="str">
            <v>x</v>
          </cell>
          <cell r="S321" t="e">
            <v>#N/A</v>
          </cell>
          <cell r="T321">
            <v>1</v>
          </cell>
        </row>
        <row r="322">
          <cell r="A322">
            <v>21609682</v>
          </cell>
          <cell r="B322" t="str">
            <v xml:space="preserve">maria consuelo cartagena </v>
          </cell>
          <cell r="C322">
            <v>21609682</v>
          </cell>
          <cell r="D322" t="str">
            <v xml:space="preserve">el madero </v>
          </cell>
          <cell r="E322">
            <v>3117188904</v>
          </cell>
          <cell r="K322" t="str">
            <v>x</v>
          </cell>
          <cell r="S322" t="e">
            <v>#N/A</v>
          </cell>
          <cell r="T322">
            <v>1</v>
          </cell>
        </row>
        <row r="323">
          <cell r="A323">
            <v>21610771</v>
          </cell>
          <cell r="B323" t="str">
            <v>Ana Rubiela Usuga Davis</v>
          </cell>
          <cell r="C323">
            <v>21610771</v>
          </cell>
          <cell r="D323" t="str">
            <v>Rubicon</v>
          </cell>
          <cell r="N323" t="str">
            <v>x</v>
          </cell>
          <cell r="S323" t="e">
            <v>#N/A</v>
          </cell>
          <cell r="T323" t="e">
            <v>#N/A</v>
          </cell>
        </row>
        <row r="324">
          <cell r="A324">
            <v>21610791</v>
          </cell>
          <cell r="B324" t="str">
            <v>LUZ MARINA ARIAS HURTADO</v>
          </cell>
          <cell r="C324">
            <v>21610791</v>
          </cell>
          <cell r="D324" t="str">
            <v>El Cafe</v>
          </cell>
          <cell r="E324">
            <v>2113592227</v>
          </cell>
          <cell r="N324" t="str">
            <v>x</v>
          </cell>
          <cell r="S324" t="e">
            <v>#N/A</v>
          </cell>
          <cell r="T324" t="e">
            <v>#N/A</v>
          </cell>
        </row>
        <row r="325">
          <cell r="A325">
            <v>21610860</v>
          </cell>
          <cell r="B325" t="str">
            <v>YOLANDA ALVAREZ</v>
          </cell>
          <cell r="C325">
            <v>21610860</v>
          </cell>
          <cell r="D325" t="str">
            <v>Urbano</v>
          </cell>
          <cell r="E325">
            <v>3145402560</v>
          </cell>
          <cell r="L325" t="str">
            <v>x</v>
          </cell>
          <cell r="P325" t="str">
            <v>Santa Ana</v>
          </cell>
          <cell r="S325" t="str">
            <v>fondo nacional de vivienda</v>
          </cell>
          <cell r="T325">
            <v>1</v>
          </cell>
        </row>
        <row r="326">
          <cell r="A326">
            <v>21609754</v>
          </cell>
          <cell r="B326" t="str">
            <v>Solian Roldan velez</v>
          </cell>
          <cell r="C326">
            <v>21609754</v>
          </cell>
          <cell r="D326" t="str">
            <v>Urbano</v>
          </cell>
          <cell r="E326">
            <v>3146416746</v>
          </cell>
          <cell r="P326" t="str">
            <v>Versalles y el eden</v>
          </cell>
          <cell r="S326" t="e">
            <v>#N/A</v>
          </cell>
          <cell r="T326" t="e">
            <v>#N/A</v>
          </cell>
        </row>
        <row r="327">
          <cell r="A327">
            <v>21610906</v>
          </cell>
          <cell r="B327" t="str">
            <v xml:space="preserve">Miriam del socorro manco </v>
          </cell>
          <cell r="C327">
            <v>21610906</v>
          </cell>
          <cell r="D327" t="str">
            <v>La Soledad</v>
          </cell>
          <cell r="E327">
            <v>3112564557</v>
          </cell>
          <cell r="G327" t="str">
            <v>x</v>
          </cell>
          <cell r="N327" t="str">
            <v>x</v>
          </cell>
          <cell r="S327" t="e">
            <v>#N/A</v>
          </cell>
          <cell r="T327">
            <v>1</v>
          </cell>
        </row>
        <row r="328">
          <cell r="A328">
            <v>21610906</v>
          </cell>
          <cell r="B328" t="str">
            <v xml:space="preserve">Miriam del socorro manco </v>
          </cell>
          <cell r="C328">
            <v>21610906</v>
          </cell>
          <cell r="D328" t="str">
            <v>La Soledad</v>
          </cell>
          <cell r="E328">
            <v>3112564557</v>
          </cell>
          <cell r="G328" t="str">
            <v>x</v>
          </cell>
          <cell r="N328" t="str">
            <v>x</v>
          </cell>
          <cell r="S328" t="e">
            <v>#N/A</v>
          </cell>
          <cell r="T328">
            <v>1</v>
          </cell>
        </row>
        <row r="329">
          <cell r="A329">
            <v>21609781</v>
          </cell>
          <cell r="B329" t="str">
            <v>Gabriela  Goez Florez</v>
          </cell>
          <cell r="C329">
            <v>21609781</v>
          </cell>
          <cell r="D329" t="str">
            <v>El canelo</v>
          </cell>
          <cell r="E329">
            <v>3117314233</v>
          </cell>
          <cell r="L329" t="str">
            <v>x</v>
          </cell>
          <cell r="S329" t="e">
            <v>#N/A</v>
          </cell>
          <cell r="T329" t="e">
            <v>#N/A</v>
          </cell>
        </row>
        <row r="330">
          <cell r="A330">
            <v>21609965</v>
          </cell>
          <cell r="B330" t="str">
            <v xml:space="preserve">Luz Elena Manco </v>
          </cell>
          <cell r="C330">
            <v>21609965</v>
          </cell>
          <cell r="D330" t="str">
            <v xml:space="preserve">Alto del roble </v>
          </cell>
          <cell r="E330">
            <v>3112905772</v>
          </cell>
          <cell r="L330" t="str">
            <v>X</v>
          </cell>
          <cell r="S330" t="e">
            <v>#N/A</v>
          </cell>
          <cell r="T330">
            <v>1</v>
          </cell>
        </row>
        <row r="331">
          <cell r="A331">
            <v>21610945</v>
          </cell>
          <cell r="B331" t="str">
            <v>Elvia Rosa Monroy Giraldo</v>
          </cell>
          <cell r="C331">
            <v>21610945</v>
          </cell>
          <cell r="D331" t="str">
            <v>Botija Arriba</v>
          </cell>
          <cell r="K331" t="str">
            <v>X</v>
          </cell>
          <cell r="Q331" t="str">
            <v>Visitar</v>
          </cell>
          <cell r="S331" t="str">
            <v>banco agrario</v>
          </cell>
          <cell r="T331">
            <v>1</v>
          </cell>
        </row>
        <row r="332">
          <cell r="A332">
            <v>21610100</v>
          </cell>
          <cell r="B332" t="str">
            <v>Olga Oliva Zapata Montoya</v>
          </cell>
          <cell r="C332">
            <v>21610100</v>
          </cell>
          <cell r="D332" t="str">
            <v>La Cusuti</v>
          </cell>
          <cell r="E332">
            <v>3507266257</v>
          </cell>
          <cell r="L332" t="str">
            <v>x</v>
          </cell>
          <cell r="S332" t="e">
            <v>#N/A</v>
          </cell>
          <cell r="T332">
            <v>1</v>
          </cell>
        </row>
        <row r="333">
          <cell r="A333">
            <v>21610109</v>
          </cell>
          <cell r="B333" t="str">
            <v>Magdalena Manco</v>
          </cell>
          <cell r="C333">
            <v>21610109</v>
          </cell>
          <cell r="D333" t="str">
            <v>Urbano</v>
          </cell>
          <cell r="E333">
            <v>3135625690</v>
          </cell>
          <cell r="P333" t="str">
            <v>Imantago</v>
          </cell>
          <cell r="S333" t="e">
            <v>#N/A</v>
          </cell>
          <cell r="T333">
            <v>1</v>
          </cell>
        </row>
        <row r="334">
          <cell r="A334">
            <v>21610145</v>
          </cell>
          <cell r="B334" t="str">
            <v>Aura Aminta Uribe Lopez</v>
          </cell>
          <cell r="C334">
            <v>21610145</v>
          </cell>
          <cell r="D334" t="str">
            <v>Urbano</v>
          </cell>
          <cell r="E334" t="str">
            <v>3147125582-3136213992</v>
          </cell>
          <cell r="G334" t="str">
            <v>x</v>
          </cell>
          <cell r="I334" t="str">
            <v>Jefe de hogar e hijo</v>
          </cell>
          <cell r="L334" t="str">
            <v>x</v>
          </cell>
          <cell r="P334" t="str">
            <v>Vereda mediacuesta</v>
          </cell>
          <cell r="S334" t="e">
            <v>#N/A</v>
          </cell>
          <cell r="T334" t="e">
            <v>#N/A</v>
          </cell>
        </row>
        <row r="335">
          <cell r="A335">
            <v>21611100</v>
          </cell>
          <cell r="B335" t="str">
            <v>Maria Doris Guisao Jimenez</v>
          </cell>
          <cell r="C335">
            <v>21611100</v>
          </cell>
          <cell r="D335" t="str">
            <v>Guadual</v>
          </cell>
          <cell r="E335">
            <v>3213281452</v>
          </cell>
          <cell r="O335" t="str">
            <v>X</v>
          </cell>
          <cell r="S335" t="e">
            <v>#N/A</v>
          </cell>
          <cell r="T335" t="e">
            <v>#N/A</v>
          </cell>
        </row>
        <row r="336">
          <cell r="A336">
            <v>21610181</v>
          </cell>
          <cell r="B336" t="str">
            <v>rosalina correa</v>
          </cell>
          <cell r="C336">
            <v>21610181</v>
          </cell>
          <cell r="D336" t="str">
            <v xml:space="preserve">el madero </v>
          </cell>
          <cell r="E336">
            <v>3147275404</v>
          </cell>
          <cell r="K336" t="str">
            <v>x</v>
          </cell>
          <cell r="S336" t="e">
            <v>#N/A</v>
          </cell>
          <cell r="T336" t="e">
            <v>#N/A</v>
          </cell>
        </row>
        <row r="337">
          <cell r="A337">
            <v>21611248</v>
          </cell>
          <cell r="B337" t="str">
            <v>NORA ELENA  MAZO GUERRA</v>
          </cell>
          <cell r="C337">
            <v>21611248</v>
          </cell>
          <cell r="D337" t="str">
            <v>Urbano</v>
          </cell>
          <cell r="E337">
            <v>3104643208</v>
          </cell>
          <cell r="N337" t="str">
            <v>x</v>
          </cell>
          <cell r="P337" t="str">
            <v>Santa Ana</v>
          </cell>
          <cell r="S337" t="e">
            <v>#N/A</v>
          </cell>
          <cell r="T337">
            <v>1</v>
          </cell>
        </row>
        <row r="338">
          <cell r="A338">
            <v>21611279</v>
          </cell>
          <cell r="B338" t="str">
            <v>GLORA USUGA</v>
          </cell>
          <cell r="C338">
            <v>21611279</v>
          </cell>
          <cell r="D338" t="str">
            <v>CUMBARRA</v>
          </cell>
          <cell r="S338" t="e">
            <v>#N/A</v>
          </cell>
          <cell r="T338">
            <v>1</v>
          </cell>
        </row>
        <row r="339">
          <cell r="A339">
            <v>21611279</v>
          </cell>
          <cell r="B339" t="str">
            <v>Gloria Usuga</v>
          </cell>
          <cell r="C339">
            <v>21611279</v>
          </cell>
          <cell r="D339" t="str">
            <v>Vereda Cumbarra</v>
          </cell>
          <cell r="E339">
            <v>3142601621</v>
          </cell>
          <cell r="L339" t="str">
            <v>x</v>
          </cell>
          <cell r="P339" t="str">
            <v>Vereda Cumbarra</v>
          </cell>
          <cell r="S339" t="e">
            <v>#N/A</v>
          </cell>
          <cell r="T339">
            <v>1</v>
          </cell>
        </row>
        <row r="340">
          <cell r="A340">
            <v>21611327</v>
          </cell>
          <cell r="B340" t="str">
            <v>Dora  Vargas</v>
          </cell>
          <cell r="C340">
            <v>21611327</v>
          </cell>
          <cell r="D340" t="str">
            <v>El Canelito</v>
          </cell>
          <cell r="E340">
            <v>3145012741</v>
          </cell>
          <cell r="O340" t="str">
            <v>X</v>
          </cell>
          <cell r="S340" t="e">
            <v>#N/A</v>
          </cell>
          <cell r="T340">
            <v>1</v>
          </cell>
        </row>
        <row r="341">
          <cell r="A341">
            <v>21610341</v>
          </cell>
          <cell r="B341" t="str">
            <v>Ercilia Usuga</v>
          </cell>
          <cell r="C341">
            <v>21610341</v>
          </cell>
          <cell r="D341" t="str">
            <v>Urbano</v>
          </cell>
          <cell r="E341">
            <v>3147593988</v>
          </cell>
          <cell r="P341" t="str">
            <v>Barrio los balsos</v>
          </cell>
          <cell r="S341" t="e">
            <v>#N/A</v>
          </cell>
          <cell r="T341">
            <v>1</v>
          </cell>
        </row>
        <row r="342">
          <cell r="A342">
            <v>21610429</v>
          </cell>
          <cell r="B342" t="str">
            <v>oliva carmona carmona</v>
          </cell>
          <cell r="C342">
            <v>21610429</v>
          </cell>
          <cell r="D342" t="str">
            <v>los naranjos</v>
          </cell>
          <cell r="E342">
            <v>3205703425</v>
          </cell>
          <cell r="L342" t="str">
            <v>x</v>
          </cell>
          <cell r="S342" t="e">
            <v>#N/A</v>
          </cell>
          <cell r="T342">
            <v>1</v>
          </cell>
        </row>
        <row r="343">
          <cell r="A343">
            <v>21610442</v>
          </cell>
          <cell r="B343" t="str">
            <v>Rubiela Velez</v>
          </cell>
          <cell r="C343">
            <v>21610442</v>
          </cell>
          <cell r="D343" t="str">
            <v>Urbano</v>
          </cell>
          <cell r="E343">
            <v>3105916881</v>
          </cell>
          <cell r="L343" t="str">
            <v>x</v>
          </cell>
          <cell r="P343" t="str">
            <v>Barrio los balsos</v>
          </cell>
          <cell r="S343" t="e">
            <v>#N/A</v>
          </cell>
          <cell r="T343">
            <v>1</v>
          </cell>
        </row>
        <row r="344">
          <cell r="A344">
            <v>21610455</v>
          </cell>
          <cell r="B344" t="str">
            <v xml:space="preserve">Blanca Elena Guisao </v>
          </cell>
          <cell r="C344">
            <v>21610455</v>
          </cell>
          <cell r="D344" t="str">
            <v xml:space="preserve">Alto del roble </v>
          </cell>
          <cell r="E344">
            <v>3122949195</v>
          </cell>
          <cell r="L344" t="str">
            <v>X</v>
          </cell>
          <cell r="S344" t="e">
            <v>#N/A</v>
          </cell>
          <cell r="T344">
            <v>1</v>
          </cell>
        </row>
        <row r="345">
          <cell r="A345">
            <v>21611927</v>
          </cell>
          <cell r="B345" t="str">
            <v xml:space="preserve">Gloria Amparo Flores </v>
          </cell>
          <cell r="C345">
            <v>21611927</v>
          </cell>
          <cell r="D345" t="str">
            <v>Los Naranjos</v>
          </cell>
          <cell r="E345">
            <v>3207913857</v>
          </cell>
          <cell r="O345" t="str">
            <v>X</v>
          </cell>
          <cell r="S345" t="e">
            <v>#N/A</v>
          </cell>
          <cell r="T345" t="e">
            <v>#N/A</v>
          </cell>
        </row>
        <row r="346">
          <cell r="A346">
            <v>21610484</v>
          </cell>
          <cell r="B346" t="str">
            <v>Ofelia del Pilar Usuga</v>
          </cell>
          <cell r="C346">
            <v>21610484</v>
          </cell>
          <cell r="D346" t="str">
            <v>Los Naranjos</v>
          </cell>
          <cell r="E346">
            <v>314335233</v>
          </cell>
          <cell r="G346" t="str">
            <v>x</v>
          </cell>
          <cell r="I346" t="str">
            <v>Ella, esposo y dos niños y dos nietos</v>
          </cell>
          <cell r="L346" t="str">
            <v>x</v>
          </cell>
          <cell r="P346" t="str">
            <v xml:space="preserve">Arriba de la caseta </v>
          </cell>
          <cell r="Q346" t="str">
            <v>Visitar</v>
          </cell>
          <cell r="R346" t="str">
            <v>Julieta</v>
          </cell>
          <cell r="S346" t="e">
            <v>#N/A</v>
          </cell>
          <cell r="T346">
            <v>1</v>
          </cell>
        </row>
        <row r="347">
          <cell r="A347">
            <v>21610639</v>
          </cell>
          <cell r="B347" t="str">
            <v>MARIA OBDULIA ARANGO PEREZ</v>
          </cell>
          <cell r="C347">
            <v>21610639</v>
          </cell>
          <cell r="D347" t="str">
            <v>INSOR</v>
          </cell>
          <cell r="E347">
            <v>3108888437</v>
          </cell>
          <cell r="Q347" t="str">
            <v>Visitar</v>
          </cell>
          <cell r="S347" t="e">
            <v>#N/A</v>
          </cell>
          <cell r="T347" t="e">
            <v>#N/A</v>
          </cell>
        </row>
        <row r="348">
          <cell r="A348">
            <v>21610648</v>
          </cell>
          <cell r="B348" t="str">
            <v>Beatriz Elena Ruiz</v>
          </cell>
          <cell r="C348">
            <v>21610648</v>
          </cell>
          <cell r="D348" t="str">
            <v>Insor</v>
          </cell>
          <cell r="E348">
            <v>3135419203</v>
          </cell>
          <cell r="L348" t="str">
            <v>x</v>
          </cell>
          <cell r="S348" t="e">
            <v>#N/A</v>
          </cell>
          <cell r="T348">
            <v>1</v>
          </cell>
        </row>
        <row r="349">
          <cell r="A349">
            <v>21612176</v>
          </cell>
          <cell r="B349" t="str">
            <v>Elvia Ester Goez</v>
          </cell>
          <cell r="C349">
            <v>21612176</v>
          </cell>
          <cell r="D349" t="str">
            <v>San Miguelito</v>
          </cell>
          <cell r="N349" t="str">
            <v>x</v>
          </cell>
          <cell r="S349" t="e">
            <v>#N/A</v>
          </cell>
          <cell r="T349">
            <v>1</v>
          </cell>
        </row>
        <row r="350">
          <cell r="A350">
            <v>21610666</v>
          </cell>
          <cell r="B350" t="str">
            <v>Elvia Rosa Muñoz Villa</v>
          </cell>
          <cell r="C350">
            <v>21610666</v>
          </cell>
          <cell r="D350" t="str">
            <v>Insor</v>
          </cell>
          <cell r="E350">
            <v>3122825364</v>
          </cell>
          <cell r="K350" t="str">
            <v>x</v>
          </cell>
          <cell r="S350" t="e">
            <v>#N/A</v>
          </cell>
          <cell r="T350" t="e">
            <v>#N/A</v>
          </cell>
        </row>
        <row r="351">
          <cell r="A351">
            <v>21612321</v>
          </cell>
          <cell r="B351" t="str">
            <v>ELENA LOAIZA</v>
          </cell>
          <cell r="C351">
            <v>21612321</v>
          </cell>
          <cell r="D351" t="str">
            <v>LA AGUADA</v>
          </cell>
          <cell r="S351" t="str">
            <v xml:space="preserve">inurbe </v>
          </cell>
          <cell r="T351">
            <v>0</v>
          </cell>
        </row>
        <row r="352">
          <cell r="A352">
            <v>21610701</v>
          </cell>
          <cell r="B352" t="str">
            <v xml:space="preserve">dolly del socorro usuga usuga </v>
          </cell>
          <cell r="C352">
            <v>21610701</v>
          </cell>
          <cell r="D352" t="str">
            <v>san pascual</v>
          </cell>
          <cell r="E352">
            <v>3127379722</v>
          </cell>
          <cell r="L352" t="str">
            <v>x</v>
          </cell>
          <cell r="Q352" t="str">
            <v>secretario salud</v>
          </cell>
          <cell r="S352" t="e">
            <v>#N/A</v>
          </cell>
          <cell r="T352" t="e">
            <v>#N/A</v>
          </cell>
        </row>
        <row r="353">
          <cell r="A353">
            <v>21612391</v>
          </cell>
          <cell r="B353" t="str">
            <v>Elvia Rosa Cinfuentes</v>
          </cell>
          <cell r="C353">
            <v>21612391</v>
          </cell>
          <cell r="D353" t="str">
            <v>San Miguelito</v>
          </cell>
          <cell r="N353" t="str">
            <v>x</v>
          </cell>
          <cell r="S353" t="e">
            <v>#N/A</v>
          </cell>
          <cell r="T353" t="e">
            <v>#N/A</v>
          </cell>
        </row>
        <row r="354">
          <cell r="A354">
            <v>21610723</v>
          </cell>
          <cell r="B354" t="str">
            <v>FALCONERY GUIASO</v>
          </cell>
          <cell r="C354">
            <v>21610723</v>
          </cell>
          <cell r="D354" t="str">
            <v>Urbano</v>
          </cell>
          <cell r="E354">
            <v>3218432963</v>
          </cell>
          <cell r="L354" t="str">
            <v>x</v>
          </cell>
          <cell r="P354" t="str">
            <v>Santa Ana</v>
          </cell>
          <cell r="S354" t="e">
            <v>#N/A</v>
          </cell>
          <cell r="T354">
            <v>1</v>
          </cell>
        </row>
        <row r="355">
          <cell r="A355">
            <v>21610881</v>
          </cell>
          <cell r="B355" t="str">
            <v>ROSA ANGELICA  USUGA RAMIREZ</v>
          </cell>
          <cell r="C355">
            <v>21610881</v>
          </cell>
          <cell r="D355" t="str">
            <v>El café</v>
          </cell>
          <cell r="E355">
            <v>3117828862</v>
          </cell>
          <cell r="R355" t="str">
            <v>Alcalde</v>
          </cell>
          <cell r="S355" t="e">
            <v>#N/A</v>
          </cell>
          <cell r="T355" t="e">
            <v>#N/A</v>
          </cell>
        </row>
        <row r="356">
          <cell r="A356">
            <v>21612445</v>
          </cell>
          <cell r="B356" t="str">
            <v>MARIA GRACIELA CARMONA</v>
          </cell>
          <cell r="C356">
            <v>21612445</v>
          </cell>
          <cell r="D356" t="str">
            <v>Urbano</v>
          </cell>
          <cell r="E356">
            <v>3105240883</v>
          </cell>
          <cell r="L356" t="str">
            <v>x</v>
          </cell>
          <cell r="P356" t="str">
            <v>Santa Ana</v>
          </cell>
          <cell r="S356" t="str">
            <v xml:space="preserve">inurbe </v>
          </cell>
          <cell r="T356" t="e">
            <v>#N/A</v>
          </cell>
        </row>
        <row r="357">
          <cell r="A357">
            <v>21612454</v>
          </cell>
          <cell r="B357" t="str">
            <v>Delia Rosa Monroy Higuita</v>
          </cell>
          <cell r="C357">
            <v>21612454</v>
          </cell>
          <cell r="D357" t="str">
            <v>Botija Arriba</v>
          </cell>
          <cell r="E357" t="str">
            <v>Hablar con la junta</v>
          </cell>
          <cell r="N357" t="str">
            <v>x</v>
          </cell>
          <cell r="S357" t="e">
            <v>#N/A</v>
          </cell>
          <cell r="T357">
            <v>0</v>
          </cell>
        </row>
        <row r="358">
          <cell r="A358">
            <v>21612454</v>
          </cell>
          <cell r="B358" t="str">
            <v>Delia Rosa Monroy  Higuita</v>
          </cell>
          <cell r="C358">
            <v>21612454</v>
          </cell>
          <cell r="D358" t="str">
            <v>Botija Arriba</v>
          </cell>
          <cell r="N358" t="str">
            <v>X</v>
          </cell>
          <cell r="S358" t="e">
            <v>#N/A</v>
          </cell>
          <cell r="T358">
            <v>0</v>
          </cell>
        </row>
        <row r="359">
          <cell r="A359">
            <v>21612479</v>
          </cell>
          <cell r="B359" t="str">
            <v>Lourdes Campo</v>
          </cell>
          <cell r="C359">
            <v>21612479</v>
          </cell>
          <cell r="D359" t="str">
            <v>San Miguelito</v>
          </cell>
          <cell r="O359" t="str">
            <v>X</v>
          </cell>
          <cell r="S359" t="e">
            <v>#N/A</v>
          </cell>
          <cell r="T359" t="e">
            <v>#N/A</v>
          </cell>
        </row>
        <row r="360">
          <cell r="A360">
            <v>21612490</v>
          </cell>
          <cell r="B360" t="str">
            <v>Ofelia de Jesus Rodriguez</v>
          </cell>
          <cell r="C360">
            <v>21612490</v>
          </cell>
          <cell r="D360" t="str">
            <v>La Loma</v>
          </cell>
          <cell r="E360">
            <v>3206280233</v>
          </cell>
          <cell r="O360" t="str">
            <v>x</v>
          </cell>
          <cell r="S360" t="e">
            <v>#N/A</v>
          </cell>
          <cell r="T360" t="e">
            <v>#N/A</v>
          </cell>
        </row>
        <row r="361">
          <cell r="A361">
            <v>21612490</v>
          </cell>
          <cell r="B361" t="str">
            <v>Ofelia de Jesus Rodriguez</v>
          </cell>
          <cell r="C361">
            <v>21612490</v>
          </cell>
          <cell r="D361" t="str">
            <v>La Loma</v>
          </cell>
          <cell r="E361">
            <v>3206280233</v>
          </cell>
          <cell r="O361" t="str">
            <v>x</v>
          </cell>
          <cell r="S361" t="e">
            <v>#N/A</v>
          </cell>
          <cell r="T361" t="e">
            <v>#N/A</v>
          </cell>
        </row>
        <row r="362">
          <cell r="A362">
            <v>21612492</v>
          </cell>
          <cell r="B362" t="str">
            <v>OLGA DE JESUS HIGUITA</v>
          </cell>
          <cell r="C362">
            <v>21612492</v>
          </cell>
          <cell r="D362" t="str">
            <v>SAN MIGUEL</v>
          </cell>
          <cell r="S362" t="str">
            <v xml:space="preserve">inurbe </v>
          </cell>
          <cell r="T362" t="e">
            <v>#N/A</v>
          </cell>
        </row>
        <row r="363">
          <cell r="A363">
            <v>21610906</v>
          </cell>
          <cell r="B363" t="str">
            <v>Maria Del socorro Monrroy</v>
          </cell>
          <cell r="C363">
            <v>21610906</v>
          </cell>
          <cell r="E363">
            <v>3112564557</v>
          </cell>
          <cell r="L363" t="str">
            <v>x</v>
          </cell>
          <cell r="S363" t="e">
            <v>#N/A</v>
          </cell>
          <cell r="T363">
            <v>1</v>
          </cell>
        </row>
        <row r="364">
          <cell r="A364">
            <v>21610911</v>
          </cell>
          <cell r="B364" t="str">
            <v>MARIA DEL SOCORRO CORREA</v>
          </cell>
          <cell r="C364">
            <v>21610911</v>
          </cell>
          <cell r="D364" t="str">
            <v>La loma</v>
          </cell>
          <cell r="E364">
            <v>3114246120</v>
          </cell>
          <cell r="L364" t="str">
            <v>x</v>
          </cell>
          <cell r="P364" t="str">
            <v>San pascual</v>
          </cell>
          <cell r="R364" t="str">
            <v>Alcalde</v>
          </cell>
          <cell r="S364" t="e">
            <v>#N/A</v>
          </cell>
          <cell r="T364">
            <v>1</v>
          </cell>
        </row>
        <row r="365">
          <cell r="A365">
            <v>21612532</v>
          </cell>
          <cell r="B365" t="str">
            <v>Flor Angela Higuita Ramirez</v>
          </cell>
          <cell r="C365">
            <v>21612532</v>
          </cell>
          <cell r="D365" t="str">
            <v>Rubicon</v>
          </cell>
          <cell r="N365" t="str">
            <v>x</v>
          </cell>
          <cell r="S365" t="e">
            <v>#N/A</v>
          </cell>
          <cell r="T365" t="e">
            <v>#N/A</v>
          </cell>
        </row>
        <row r="366">
          <cell r="A366">
            <v>21610911</v>
          </cell>
          <cell r="B366" t="str">
            <v xml:space="preserve">Maria del Socorro Correa </v>
          </cell>
          <cell r="C366">
            <v>21610911</v>
          </cell>
          <cell r="D366" t="str">
            <v>La Loma</v>
          </cell>
          <cell r="E366">
            <v>3135297764</v>
          </cell>
          <cell r="K366" t="str">
            <v>X</v>
          </cell>
          <cell r="S366" t="e">
            <v>#N/A</v>
          </cell>
          <cell r="T366">
            <v>1</v>
          </cell>
        </row>
        <row r="367">
          <cell r="A367">
            <v>21610971</v>
          </cell>
          <cell r="B367" t="str">
            <v>Soraida Ruiz David</v>
          </cell>
          <cell r="C367">
            <v>21610971</v>
          </cell>
          <cell r="D367" t="str">
            <v>Vereda Cumbarra</v>
          </cell>
          <cell r="L367" t="str">
            <v>x</v>
          </cell>
          <cell r="P367" t="str">
            <v>Vereda Cumbarra</v>
          </cell>
          <cell r="S367" t="e">
            <v>#N/A</v>
          </cell>
          <cell r="T367" t="e">
            <v>#N/A</v>
          </cell>
        </row>
        <row r="368">
          <cell r="A368">
            <v>21611039</v>
          </cell>
          <cell r="B368" t="str">
            <v>maria rubiela salas aguirre</v>
          </cell>
          <cell r="C368">
            <v>21611039</v>
          </cell>
          <cell r="E368">
            <v>3218350388</v>
          </cell>
          <cell r="L368" t="str">
            <v>x</v>
          </cell>
          <cell r="S368" t="e">
            <v>#N/A</v>
          </cell>
          <cell r="T368">
            <v>1</v>
          </cell>
        </row>
        <row r="369">
          <cell r="A369">
            <v>21612556</v>
          </cell>
          <cell r="B369" t="str">
            <v>Maria Deyanira Goez Higuita</v>
          </cell>
          <cell r="C369">
            <v>21612556</v>
          </cell>
          <cell r="D369" t="str">
            <v>La Quiebra</v>
          </cell>
          <cell r="O369" t="str">
            <v>X</v>
          </cell>
          <cell r="S369" t="e">
            <v>#N/A</v>
          </cell>
          <cell r="T369" t="e">
            <v>#N/A</v>
          </cell>
        </row>
        <row r="370">
          <cell r="A370">
            <v>21611050</v>
          </cell>
          <cell r="B370" t="str">
            <v>Miriam Muñoz</v>
          </cell>
          <cell r="C370">
            <v>21611050</v>
          </cell>
          <cell r="D370" t="str">
            <v>Insor</v>
          </cell>
          <cell r="E370">
            <v>3114286032</v>
          </cell>
          <cell r="L370" t="str">
            <v>x</v>
          </cell>
          <cell r="S370" t="e">
            <v>#N/A</v>
          </cell>
          <cell r="T370" t="e">
            <v>#N/A</v>
          </cell>
        </row>
        <row r="371">
          <cell r="A371">
            <v>21611070</v>
          </cell>
          <cell r="B371" t="str">
            <v>Piedad de Jesus Tangarife</v>
          </cell>
          <cell r="C371">
            <v>21611070</v>
          </cell>
          <cell r="D371" t="str">
            <v>Urbano</v>
          </cell>
          <cell r="E371">
            <v>3113335839</v>
          </cell>
          <cell r="L371" t="str">
            <v>X</v>
          </cell>
          <cell r="S371" t="e">
            <v>#N/A</v>
          </cell>
          <cell r="T371">
            <v>1</v>
          </cell>
        </row>
        <row r="372">
          <cell r="A372">
            <v>21611074</v>
          </cell>
          <cell r="B372" t="str">
            <v>María del socorro pulgarin</v>
          </cell>
          <cell r="C372">
            <v>21611074</v>
          </cell>
          <cell r="D372" t="str">
            <v>El Retiro</v>
          </cell>
          <cell r="E372" t="str">
            <v>320 777 0532</v>
          </cell>
          <cell r="L372" t="str">
            <v>x</v>
          </cell>
          <cell r="S372" t="e">
            <v>#N/A</v>
          </cell>
          <cell r="T372">
            <v>1</v>
          </cell>
        </row>
        <row r="373">
          <cell r="A373">
            <v>21611132</v>
          </cell>
          <cell r="B373" t="str">
            <v>luz Arias</v>
          </cell>
          <cell r="C373">
            <v>21611132</v>
          </cell>
          <cell r="D373" t="str">
            <v>San Luis del Cafe</v>
          </cell>
          <cell r="E373" t="str">
            <v>312 816 4062</v>
          </cell>
          <cell r="K373" t="str">
            <v>x</v>
          </cell>
          <cell r="S373" t="e">
            <v>#N/A</v>
          </cell>
          <cell r="T373" t="e">
            <v>#N/A</v>
          </cell>
        </row>
        <row r="374">
          <cell r="A374">
            <v>21614345</v>
          </cell>
          <cell r="B374" t="str">
            <v xml:space="preserve">Rosmira londoño </v>
          </cell>
          <cell r="C374">
            <v>21614345</v>
          </cell>
          <cell r="D374" t="str">
            <v>Juntas de uramita</v>
          </cell>
          <cell r="E374">
            <v>3107144049</v>
          </cell>
          <cell r="O374" t="str">
            <v>x</v>
          </cell>
          <cell r="S374" t="e">
            <v>#N/A</v>
          </cell>
          <cell r="T374">
            <v>0</v>
          </cell>
        </row>
        <row r="375">
          <cell r="A375">
            <v>21614345</v>
          </cell>
          <cell r="B375" t="str">
            <v xml:space="preserve">Rosmira londoño </v>
          </cell>
          <cell r="C375">
            <v>21614345</v>
          </cell>
          <cell r="D375" t="str">
            <v>Juntas de uramita</v>
          </cell>
          <cell r="E375">
            <v>3107144049</v>
          </cell>
          <cell r="O375" t="str">
            <v>x</v>
          </cell>
          <cell r="S375" t="e">
            <v>#N/A</v>
          </cell>
          <cell r="T375">
            <v>0</v>
          </cell>
        </row>
        <row r="376">
          <cell r="A376">
            <v>21614370</v>
          </cell>
          <cell r="B376" t="str">
            <v>Magdalena Varela Goez</v>
          </cell>
          <cell r="C376">
            <v>21614370</v>
          </cell>
          <cell r="D376" t="str">
            <v>Vereda Cumbarra</v>
          </cell>
          <cell r="O376" t="str">
            <v>x</v>
          </cell>
          <cell r="P376" t="str">
            <v>Vereda Cumbarra</v>
          </cell>
          <cell r="S376" t="e">
            <v>#N/A</v>
          </cell>
          <cell r="T376">
            <v>1</v>
          </cell>
        </row>
        <row r="377">
          <cell r="A377">
            <v>21614370</v>
          </cell>
          <cell r="B377" t="str">
            <v>Magdalena Varela Goez</v>
          </cell>
          <cell r="C377">
            <v>21614370</v>
          </cell>
          <cell r="D377" t="str">
            <v>Vereda Cumbarra</v>
          </cell>
          <cell r="O377" t="str">
            <v>x</v>
          </cell>
          <cell r="P377" t="str">
            <v>Vereda Cumbarra</v>
          </cell>
          <cell r="S377" t="e">
            <v>#N/A</v>
          </cell>
          <cell r="T377">
            <v>1</v>
          </cell>
        </row>
        <row r="378">
          <cell r="A378">
            <v>21614384</v>
          </cell>
          <cell r="B378" t="str">
            <v>Luz Marina  Salas Valle</v>
          </cell>
          <cell r="C378">
            <v>21614384</v>
          </cell>
          <cell r="D378" t="str">
            <v>Juntas de Uramita</v>
          </cell>
          <cell r="E378">
            <v>3122475218</v>
          </cell>
          <cell r="P378" t="str">
            <v>Juntas de Uramita</v>
          </cell>
          <cell r="S378" t="str">
            <v>banco agrario</v>
          </cell>
          <cell r="T378">
            <v>1</v>
          </cell>
        </row>
        <row r="379">
          <cell r="A379">
            <v>21614447</v>
          </cell>
          <cell r="B379" t="str">
            <v>Luz Mery Valderrama Rueda</v>
          </cell>
          <cell r="C379">
            <v>21614447</v>
          </cell>
          <cell r="D379" t="str">
            <v>Juntas de Uramita</v>
          </cell>
          <cell r="E379">
            <v>3138415967</v>
          </cell>
          <cell r="O379" t="str">
            <v>x</v>
          </cell>
          <cell r="P379" t="str">
            <v>Juntas de Uramita</v>
          </cell>
          <cell r="S379" t="e">
            <v>#N/A</v>
          </cell>
          <cell r="T379" t="e">
            <v>#N/A</v>
          </cell>
        </row>
        <row r="380">
          <cell r="A380">
            <v>21614447</v>
          </cell>
          <cell r="B380" t="str">
            <v>Luz Mery Valderrama Rueda</v>
          </cell>
          <cell r="C380">
            <v>21614447</v>
          </cell>
          <cell r="D380" t="str">
            <v>Juntas de Uramita</v>
          </cell>
          <cell r="E380">
            <v>3138415967</v>
          </cell>
          <cell r="O380" t="str">
            <v>x</v>
          </cell>
          <cell r="P380" t="str">
            <v>Juntas de Uramita</v>
          </cell>
          <cell r="S380" t="e">
            <v>#N/A</v>
          </cell>
          <cell r="T380" t="e">
            <v>#N/A</v>
          </cell>
        </row>
        <row r="381">
          <cell r="A381">
            <v>21611140</v>
          </cell>
          <cell r="B381" t="str">
            <v>Luz Marina Lopez</v>
          </cell>
          <cell r="C381">
            <v>21611140</v>
          </cell>
          <cell r="D381" t="str">
            <v>Urbano</v>
          </cell>
          <cell r="E381">
            <v>3126818064</v>
          </cell>
          <cell r="K381" t="str">
            <v>x</v>
          </cell>
          <cell r="P381" t="str">
            <v>Imantago</v>
          </cell>
          <cell r="S381" t="e">
            <v>#N/A</v>
          </cell>
          <cell r="T381">
            <v>0</v>
          </cell>
        </row>
        <row r="382">
          <cell r="A382">
            <v>21614465</v>
          </cell>
          <cell r="B382" t="str">
            <v xml:space="preserve">Luz Ester Carbajal </v>
          </cell>
          <cell r="C382">
            <v>21614465</v>
          </cell>
          <cell r="D382" t="str">
            <v>Buena Vista</v>
          </cell>
          <cell r="E382">
            <v>3106356738</v>
          </cell>
          <cell r="N382" t="str">
            <v>x</v>
          </cell>
          <cell r="S382" t="e">
            <v>#N/A</v>
          </cell>
          <cell r="T382" t="e">
            <v>#N/A</v>
          </cell>
        </row>
        <row r="383">
          <cell r="A383">
            <v>21614465</v>
          </cell>
          <cell r="B383" t="str">
            <v xml:space="preserve">Luz Ester Carbajal </v>
          </cell>
          <cell r="C383">
            <v>21614465</v>
          </cell>
          <cell r="D383" t="str">
            <v>Buena Vista</v>
          </cell>
          <cell r="E383">
            <v>3106356738</v>
          </cell>
          <cell r="N383" t="str">
            <v>x</v>
          </cell>
          <cell r="S383" t="e">
            <v>#N/A</v>
          </cell>
          <cell r="T383" t="e">
            <v>#N/A</v>
          </cell>
        </row>
        <row r="384">
          <cell r="A384">
            <v>21614519</v>
          </cell>
          <cell r="B384" t="str">
            <v>Blanca Livia Puerta</v>
          </cell>
          <cell r="C384">
            <v>21614519</v>
          </cell>
          <cell r="D384" t="str">
            <v>San Luis de Juntas</v>
          </cell>
          <cell r="E384">
            <v>3108402712</v>
          </cell>
          <cell r="O384" t="str">
            <v>x</v>
          </cell>
          <cell r="S384" t="e">
            <v>#N/A</v>
          </cell>
          <cell r="T384" t="e">
            <v>#N/A</v>
          </cell>
        </row>
        <row r="385">
          <cell r="A385">
            <v>21614519</v>
          </cell>
          <cell r="B385" t="str">
            <v>Blanca Livia Puerta</v>
          </cell>
          <cell r="C385">
            <v>21614519</v>
          </cell>
          <cell r="D385" t="str">
            <v>San Luis de Juntas</v>
          </cell>
          <cell r="E385">
            <v>3108402712</v>
          </cell>
          <cell r="O385" t="str">
            <v>x</v>
          </cell>
          <cell r="S385" t="e">
            <v>#N/A</v>
          </cell>
          <cell r="T385" t="e">
            <v>#N/A</v>
          </cell>
        </row>
        <row r="386">
          <cell r="A386">
            <v>21614578</v>
          </cell>
          <cell r="B386" t="str">
            <v xml:space="preserve">Rosa Garcia </v>
          </cell>
          <cell r="C386">
            <v>21614578</v>
          </cell>
          <cell r="D386" t="str">
            <v>Santo Domingo</v>
          </cell>
          <cell r="E386">
            <v>3206063239</v>
          </cell>
          <cell r="O386" t="str">
            <v>x</v>
          </cell>
          <cell r="S386" t="e">
            <v>#N/A</v>
          </cell>
          <cell r="T386">
            <v>1</v>
          </cell>
        </row>
        <row r="387">
          <cell r="A387">
            <v>21614578</v>
          </cell>
          <cell r="B387" t="str">
            <v xml:space="preserve">Rosa Garcia </v>
          </cell>
          <cell r="C387">
            <v>21614578</v>
          </cell>
          <cell r="D387" t="str">
            <v>Santo Domingo</v>
          </cell>
          <cell r="E387">
            <v>3206063239</v>
          </cell>
          <cell r="O387" t="str">
            <v>x</v>
          </cell>
          <cell r="S387" t="e">
            <v>#N/A</v>
          </cell>
          <cell r="T387">
            <v>1</v>
          </cell>
        </row>
        <row r="388">
          <cell r="A388">
            <v>21611304</v>
          </cell>
          <cell r="B388" t="str">
            <v xml:space="preserve">maria ligia restrepo valle </v>
          </cell>
          <cell r="C388">
            <v>21611304</v>
          </cell>
          <cell r="D388" t="str">
            <v xml:space="preserve">canelo </v>
          </cell>
          <cell r="E388">
            <v>3136328388</v>
          </cell>
          <cell r="L388" t="str">
            <v>x</v>
          </cell>
          <cell r="S388" t="e">
            <v>#N/A</v>
          </cell>
          <cell r="T388" t="e">
            <v>#N/A</v>
          </cell>
        </row>
        <row r="389">
          <cell r="A389">
            <v>21687120</v>
          </cell>
          <cell r="B389" t="str">
            <v>Rosangelica Moreno Hoyos</v>
          </cell>
          <cell r="C389">
            <v>21687120</v>
          </cell>
          <cell r="D389" t="str">
            <v>Vereda el Rosal</v>
          </cell>
          <cell r="N389" t="str">
            <v>X</v>
          </cell>
          <cell r="S389" t="e">
            <v>#N/A</v>
          </cell>
          <cell r="T389" t="e">
            <v>#N/A</v>
          </cell>
        </row>
        <row r="390">
          <cell r="A390">
            <v>21693449</v>
          </cell>
          <cell r="B390" t="str">
            <v>Luz Elena Graciano Puerta</v>
          </cell>
          <cell r="C390">
            <v>21693449</v>
          </cell>
          <cell r="D390" t="str">
            <v>Buena Vista</v>
          </cell>
          <cell r="E390">
            <v>3207945169</v>
          </cell>
          <cell r="O390" t="str">
            <v>x</v>
          </cell>
          <cell r="S390" t="e">
            <v>#N/A</v>
          </cell>
          <cell r="T390">
            <v>1</v>
          </cell>
        </row>
        <row r="391">
          <cell r="A391">
            <v>21693449</v>
          </cell>
          <cell r="B391" t="str">
            <v>Luz Elena Graciano Puerta</v>
          </cell>
          <cell r="C391">
            <v>21693449</v>
          </cell>
          <cell r="D391" t="str">
            <v>Buena Vista</v>
          </cell>
          <cell r="E391">
            <v>3207945169</v>
          </cell>
          <cell r="O391" t="str">
            <v>x</v>
          </cell>
          <cell r="S391" t="e">
            <v>#N/A</v>
          </cell>
          <cell r="T391">
            <v>1</v>
          </cell>
        </row>
        <row r="392">
          <cell r="A392">
            <v>21697876</v>
          </cell>
          <cell r="B392" t="str">
            <v>Ismary Urrego</v>
          </cell>
          <cell r="C392">
            <v>21697876</v>
          </cell>
          <cell r="D392" t="str">
            <v>El Canelito</v>
          </cell>
          <cell r="E392">
            <v>3108493669</v>
          </cell>
          <cell r="O392" t="str">
            <v>X</v>
          </cell>
          <cell r="S392" t="e">
            <v>#N/A</v>
          </cell>
          <cell r="T392" t="e">
            <v>#N/A</v>
          </cell>
        </row>
        <row r="393">
          <cell r="A393">
            <v>21611431</v>
          </cell>
          <cell r="B393" t="str">
            <v>EDELMIRA DURANGO ZAPATA</v>
          </cell>
          <cell r="C393">
            <v>21611431</v>
          </cell>
          <cell r="D393" t="str">
            <v>CESTILLAL</v>
          </cell>
          <cell r="S393" t="e">
            <v>#N/A</v>
          </cell>
          <cell r="T393" t="e">
            <v>#N/A</v>
          </cell>
        </row>
        <row r="394">
          <cell r="A394">
            <v>21611471</v>
          </cell>
          <cell r="B394" t="str">
            <v>Maria Aurora Tangarife</v>
          </cell>
          <cell r="C394">
            <v>21611471</v>
          </cell>
          <cell r="D394" t="str">
            <v>Urbano</v>
          </cell>
          <cell r="E394">
            <v>3122046848</v>
          </cell>
          <cell r="K394" t="str">
            <v>x</v>
          </cell>
          <cell r="P394" t="str">
            <v>Versalles y el eden</v>
          </cell>
          <cell r="S394" t="e">
            <v>#N/A</v>
          </cell>
          <cell r="T394">
            <v>1</v>
          </cell>
        </row>
        <row r="395">
          <cell r="A395">
            <v>1001404668</v>
          </cell>
          <cell r="B395" t="str">
            <v>Edwin Alexis Florez Jimenez</v>
          </cell>
          <cell r="C395">
            <v>1001404668</v>
          </cell>
          <cell r="D395" t="str">
            <v>Paso Arriba</v>
          </cell>
          <cell r="E395">
            <v>3182220633</v>
          </cell>
          <cell r="O395" t="str">
            <v>X</v>
          </cell>
          <cell r="Q395" t="str">
            <v>NO PERTENECE A LA JUNTA</v>
          </cell>
          <cell r="S395" t="e">
            <v>#N/A</v>
          </cell>
          <cell r="T395" t="e">
            <v>#N/A</v>
          </cell>
        </row>
        <row r="396">
          <cell r="A396">
            <v>21758553</v>
          </cell>
          <cell r="B396" t="str">
            <v>Ligia Rosa Higuita Sepulveda</v>
          </cell>
          <cell r="C396">
            <v>21758553</v>
          </cell>
          <cell r="D396" t="str">
            <v>La estrella</v>
          </cell>
          <cell r="E396">
            <v>3127140838</v>
          </cell>
          <cell r="N396" t="str">
            <v>x</v>
          </cell>
          <cell r="S396" t="e">
            <v>#N/A</v>
          </cell>
          <cell r="T396">
            <v>1</v>
          </cell>
        </row>
        <row r="397">
          <cell r="A397">
            <v>21758553</v>
          </cell>
          <cell r="B397" t="str">
            <v>Ligia Rosa Higuita Sepulveda</v>
          </cell>
          <cell r="C397">
            <v>21758553</v>
          </cell>
          <cell r="D397" t="str">
            <v>La estrella</v>
          </cell>
          <cell r="E397">
            <v>3127140838</v>
          </cell>
          <cell r="N397" t="str">
            <v>x</v>
          </cell>
          <cell r="S397" t="e">
            <v>#N/A</v>
          </cell>
          <cell r="T397">
            <v>1</v>
          </cell>
        </row>
        <row r="398">
          <cell r="A398">
            <v>21611506</v>
          </cell>
          <cell r="B398" t="str">
            <v>MARIA TILDE DAVID ESCOBAR</v>
          </cell>
          <cell r="C398">
            <v>21611506</v>
          </cell>
          <cell r="D398" t="str">
            <v>CESTILLAL</v>
          </cell>
          <cell r="S398" t="e">
            <v>#N/A</v>
          </cell>
          <cell r="T398">
            <v>1</v>
          </cell>
        </row>
        <row r="399">
          <cell r="A399">
            <v>21612061</v>
          </cell>
          <cell r="B399" t="str">
            <v>ROSA AMELIA ESCOBAR</v>
          </cell>
          <cell r="C399">
            <v>21612061</v>
          </cell>
          <cell r="D399" t="str">
            <v>SAN MIGUEL</v>
          </cell>
          <cell r="S399" t="e">
            <v>#N/A</v>
          </cell>
          <cell r="T399">
            <v>1</v>
          </cell>
        </row>
        <row r="400">
          <cell r="A400">
            <v>21612106</v>
          </cell>
          <cell r="B400" t="str">
            <v>Rosa Angelica  Giraldo de David</v>
          </cell>
          <cell r="C400">
            <v>21612106</v>
          </cell>
          <cell r="D400" t="str">
            <v>CASCO URBANO</v>
          </cell>
          <cell r="E400">
            <v>3128359294</v>
          </cell>
          <cell r="L400" t="str">
            <v>X</v>
          </cell>
          <cell r="P400" t="str">
            <v>El reten</v>
          </cell>
          <cell r="Q400" t="str">
            <v>Visitar</v>
          </cell>
          <cell r="S400" t="e">
            <v>#N/A</v>
          </cell>
          <cell r="T400">
            <v>1</v>
          </cell>
        </row>
        <row r="401">
          <cell r="A401">
            <v>21612130</v>
          </cell>
          <cell r="B401" t="str">
            <v>MAGOLA CAMPO GIRALDO</v>
          </cell>
          <cell r="C401">
            <v>21612130</v>
          </cell>
          <cell r="D401" t="str">
            <v>CESTILLAL</v>
          </cell>
          <cell r="S401" t="e">
            <v>#N/A</v>
          </cell>
          <cell r="T401" t="e">
            <v>#N/A</v>
          </cell>
        </row>
        <row r="402">
          <cell r="A402">
            <v>21969442</v>
          </cell>
          <cell r="B402" t="str">
            <v xml:space="preserve">Orfa Lidia  Valencia Rojas </v>
          </cell>
          <cell r="C402">
            <v>21969442</v>
          </cell>
          <cell r="D402" t="str">
            <v xml:space="preserve">la escalera </v>
          </cell>
          <cell r="E402">
            <v>3117539396</v>
          </cell>
          <cell r="F402" t="str">
            <v>x</v>
          </cell>
          <cell r="I402" t="str">
            <v xml:space="preserve">ella, tres hijos y un nieto </v>
          </cell>
          <cell r="K402" t="str">
            <v>x</v>
          </cell>
          <cell r="Q402" t="str">
            <v xml:space="preserve">Visitar </v>
          </cell>
          <cell r="S402" t="e">
            <v>#N/A</v>
          </cell>
          <cell r="T402">
            <v>0</v>
          </cell>
        </row>
        <row r="403">
          <cell r="A403">
            <v>21612278</v>
          </cell>
          <cell r="B403" t="str">
            <v xml:space="preserve">rosa margarita usuga usuga </v>
          </cell>
          <cell r="C403">
            <v>21612278</v>
          </cell>
          <cell r="D403" t="str">
            <v>san pascual</v>
          </cell>
          <cell r="E403">
            <v>3104208329</v>
          </cell>
          <cell r="L403" t="str">
            <v>x</v>
          </cell>
          <cell r="S403" t="e">
            <v>#N/A</v>
          </cell>
          <cell r="T403">
            <v>1</v>
          </cell>
        </row>
        <row r="404">
          <cell r="A404">
            <v>22157322</v>
          </cell>
          <cell r="B404" t="str">
            <v>BERTHA LIVIA SEPULVEDA GUISAO</v>
          </cell>
          <cell r="C404">
            <v>22157322</v>
          </cell>
          <cell r="D404" t="str">
            <v>La Balsita</v>
          </cell>
          <cell r="N404" t="str">
            <v>x</v>
          </cell>
          <cell r="R404" t="str">
            <v>x</v>
          </cell>
          <cell r="S404" t="e">
            <v>#N/A</v>
          </cell>
          <cell r="T404" t="e">
            <v>#N/A</v>
          </cell>
        </row>
        <row r="405">
          <cell r="A405">
            <v>24415255</v>
          </cell>
          <cell r="B405" t="str">
            <v>Nidia  Arboleda</v>
          </cell>
          <cell r="C405">
            <v>24415255</v>
          </cell>
          <cell r="D405" t="str">
            <v>La Escalera</v>
          </cell>
          <cell r="E405">
            <v>3126091778</v>
          </cell>
          <cell r="O405" t="str">
            <v>X</v>
          </cell>
          <cell r="S405" t="e">
            <v>#N/A</v>
          </cell>
          <cell r="T405">
            <v>1</v>
          </cell>
        </row>
        <row r="406">
          <cell r="A406">
            <v>21612281</v>
          </cell>
          <cell r="B406" t="str">
            <v>MARIA IRENE CARMONA</v>
          </cell>
          <cell r="C406">
            <v>21612281</v>
          </cell>
          <cell r="D406" t="str">
            <v>CESTILLAL</v>
          </cell>
          <cell r="S406" t="e">
            <v>#N/A</v>
          </cell>
          <cell r="T406">
            <v>1</v>
          </cell>
        </row>
        <row r="407">
          <cell r="A407">
            <v>30650089</v>
          </cell>
          <cell r="B407" t="str">
            <v>VERENA CECILIA VALENCIA MONTENEGRO</v>
          </cell>
          <cell r="C407">
            <v>30650089</v>
          </cell>
          <cell r="D407" t="str">
            <v>La Balsita</v>
          </cell>
          <cell r="N407" t="str">
            <v>x</v>
          </cell>
          <cell r="S407" t="e">
            <v>#N/A</v>
          </cell>
          <cell r="T407">
            <v>1</v>
          </cell>
        </row>
        <row r="408">
          <cell r="A408">
            <v>21612287</v>
          </cell>
          <cell r="B408" t="str">
            <v>Mariela Escobar Olguin</v>
          </cell>
          <cell r="C408">
            <v>21612287</v>
          </cell>
          <cell r="D408" t="str">
            <v>La Quiebra</v>
          </cell>
          <cell r="L408" t="str">
            <v>x</v>
          </cell>
          <cell r="S408" t="e">
            <v>#N/A</v>
          </cell>
          <cell r="T408" t="e">
            <v>#N/A</v>
          </cell>
        </row>
        <row r="409">
          <cell r="A409">
            <v>21612349</v>
          </cell>
          <cell r="B409" t="str">
            <v xml:space="preserve">Rosmira manco de David </v>
          </cell>
          <cell r="C409">
            <v>21612349</v>
          </cell>
          <cell r="D409" t="str">
            <v>La Soledad</v>
          </cell>
          <cell r="E409">
            <v>3207504885</v>
          </cell>
          <cell r="G409" t="str">
            <v>x</v>
          </cell>
          <cell r="L409" t="str">
            <v>x</v>
          </cell>
          <cell r="S409" t="e">
            <v>#N/A</v>
          </cell>
          <cell r="T409">
            <v>0</v>
          </cell>
        </row>
        <row r="410">
          <cell r="A410">
            <v>21612349</v>
          </cell>
          <cell r="B410" t="str">
            <v xml:space="preserve">Rosmira manco de David </v>
          </cell>
          <cell r="C410">
            <v>21612349</v>
          </cell>
          <cell r="D410" t="str">
            <v>La Soledad</v>
          </cell>
          <cell r="E410">
            <v>3207504885</v>
          </cell>
          <cell r="G410" t="str">
            <v>x</v>
          </cell>
          <cell r="L410" t="str">
            <v>x</v>
          </cell>
          <cell r="S410" t="e">
            <v>#N/A</v>
          </cell>
          <cell r="T410">
            <v>0</v>
          </cell>
        </row>
        <row r="411">
          <cell r="A411">
            <v>21612413</v>
          </cell>
          <cell r="B411" t="str">
            <v>TERESA DE JESUS CAMPO GIRALDO</v>
          </cell>
          <cell r="C411">
            <v>21612413</v>
          </cell>
          <cell r="D411" t="str">
            <v>LA AGUADA</v>
          </cell>
          <cell r="S411" t="e">
            <v>#N/A</v>
          </cell>
          <cell r="T411" t="e">
            <v>#N/A</v>
          </cell>
        </row>
        <row r="412">
          <cell r="A412">
            <v>21612413</v>
          </cell>
          <cell r="B412" t="str">
            <v>TERESA DE JESUS CAMPO GIRALDO</v>
          </cell>
          <cell r="C412">
            <v>21612413</v>
          </cell>
          <cell r="D412" t="str">
            <v>LA AGUADA</v>
          </cell>
          <cell r="S412" t="e">
            <v>#N/A</v>
          </cell>
          <cell r="T412" t="e">
            <v>#N/A</v>
          </cell>
        </row>
        <row r="413">
          <cell r="A413">
            <v>32395766</v>
          </cell>
          <cell r="B413" t="str">
            <v>Maria Dioselina David</v>
          </cell>
          <cell r="C413">
            <v>32395766</v>
          </cell>
          <cell r="D413" t="str">
            <v>La estrella</v>
          </cell>
          <cell r="E413">
            <v>3146666880</v>
          </cell>
          <cell r="N413" t="str">
            <v>x</v>
          </cell>
          <cell r="S413" t="e">
            <v>#N/A</v>
          </cell>
          <cell r="T413" t="e">
            <v>#N/A</v>
          </cell>
        </row>
        <row r="414">
          <cell r="A414">
            <v>32395766</v>
          </cell>
          <cell r="B414" t="str">
            <v>Maria Dioselina David</v>
          </cell>
          <cell r="C414">
            <v>32395766</v>
          </cell>
          <cell r="D414" t="str">
            <v>La estrella</v>
          </cell>
          <cell r="E414">
            <v>3146666880</v>
          </cell>
          <cell r="N414" t="str">
            <v>x</v>
          </cell>
          <cell r="S414" t="e">
            <v>#N/A</v>
          </cell>
          <cell r="T414" t="e">
            <v>#N/A</v>
          </cell>
        </row>
        <row r="415">
          <cell r="A415">
            <v>21612429</v>
          </cell>
          <cell r="B415" t="str">
            <v>TERESA CARRILLO</v>
          </cell>
          <cell r="C415">
            <v>21612429</v>
          </cell>
          <cell r="D415" t="str">
            <v>LA AGUADA</v>
          </cell>
          <cell r="S415" t="e">
            <v>#N/A</v>
          </cell>
          <cell r="T415" t="e">
            <v>#N/A</v>
          </cell>
        </row>
        <row r="416">
          <cell r="A416">
            <v>32511097</v>
          </cell>
          <cell r="B416" t="str">
            <v>Rosa Angelica Manco</v>
          </cell>
          <cell r="C416">
            <v>32511097</v>
          </cell>
          <cell r="D416" t="str">
            <v>El canelito</v>
          </cell>
          <cell r="E416">
            <v>3145901700</v>
          </cell>
          <cell r="N416" t="str">
            <v>x</v>
          </cell>
          <cell r="S416" t="e">
            <v>#N/A</v>
          </cell>
          <cell r="T416" t="e">
            <v>#N/A</v>
          </cell>
        </row>
        <row r="417">
          <cell r="A417">
            <v>32521624</v>
          </cell>
          <cell r="B417" t="str">
            <v>TERESA DE JESUS GARCES USUGA</v>
          </cell>
          <cell r="C417">
            <v>32521624</v>
          </cell>
          <cell r="D417" t="str">
            <v>Los Naranjos</v>
          </cell>
          <cell r="E417" t="str">
            <v>3128230047 / 3147455537</v>
          </cell>
          <cell r="K417" t="str">
            <v>X</v>
          </cell>
          <cell r="Q417" t="str">
            <v>visitar</v>
          </cell>
          <cell r="S417" t="e">
            <v>#N/A</v>
          </cell>
          <cell r="T417">
            <v>1</v>
          </cell>
        </row>
        <row r="418">
          <cell r="A418">
            <v>32544199</v>
          </cell>
          <cell r="B418" t="str">
            <v>Nelida de Jesus  Higuita Escobar</v>
          </cell>
          <cell r="C418">
            <v>32544199</v>
          </cell>
          <cell r="D418" t="str">
            <v>Vereda la esperanza</v>
          </cell>
          <cell r="E418">
            <v>3106450217</v>
          </cell>
          <cell r="N418" t="str">
            <v>x</v>
          </cell>
          <cell r="P418" t="str">
            <v>Vereda la esperanza</v>
          </cell>
          <cell r="S418" t="e">
            <v>#N/A</v>
          </cell>
          <cell r="T418" t="e">
            <v>#N/A</v>
          </cell>
        </row>
        <row r="419">
          <cell r="A419">
            <v>32544199</v>
          </cell>
          <cell r="B419" t="str">
            <v>Nelida de Jesus  Higuita Escobar</v>
          </cell>
          <cell r="C419">
            <v>32544199</v>
          </cell>
          <cell r="D419" t="str">
            <v>Vereda la esperanza</v>
          </cell>
          <cell r="E419">
            <v>3106450217</v>
          </cell>
          <cell r="N419" t="str">
            <v>x</v>
          </cell>
          <cell r="P419" t="str">
            <v>Vereda la esperanza</v>
          </cell>
          <cell r="S419" t="e">
            <v>#N/A</v>
          </cell>
          <cell r="T419" t="e">
            <v>#N/A</v>
          </cell>
        </row>
        <row r="420">
          <cell r="A420">
            <v>32611229</v>
          </cell>
          <cell r="B420" t="str">
            <v>Gilma Del Socorro Manco Higuita</v>
          </cell>
          <cell r="C420">
            <v>32611229</v>
          </cell>
          <cell r="D420" t="str">
            <v>La Curva</v>
          </cell>
          <cell r="E420">
            <v>3503455064</v>
          </cell>
          <cell r="O420" t="str">
            <v>X</v>
          </cell>
          <cell r="S420" t="e">
            <v>#N/A</v>
          </cell>
          <cell r="T420" t="e">
            <v>#N/A</v>
          </cell>
        </row>
        <row r="421">
          <cell r="A421">
            <v>21612462</v>
          </cell>
          <cell r="B421" t="str">
            <v xml:space="preserve">maria virgelina usuga </v>
          </cell>
          <cell r="C421">
            <v>21612462</v>
          </cell>
          <cell r="D421" t="str">
            <v xml:space="preserve">la aldea </v>
          </cell>
          <cell r="E421">
            <v>3147854023</v>
          </cell>
          <cell r="L421" t="str">
            <v>x</v>
          </cell>
          <cell r="S421" t="e">
            <v>#N/A</v>
          </cell>
          <cell r="T421">
            <v>1</v>
          </cell>
        </row>
        <row r="422">
          <cell r="A422">
            <v>39171205</v>
          </cell>
          <cell r="B422" t="str">
            <v>Edilma  Hernandez Graciano</v>
          </cell>
          <cell r="C422">
            <v>39171205</v>
          </cell>
          <cell r="D422" t="str">
            <v>Juntas de Uramita</v>
          </cell>
          <cell r="E422">
            <v>3234721598</v>
          </cell>
          <cell r="O422" t="str">
            <v>x</v>
          </cell>
          <cell r="P422" t="str">
            <v>Juntas de Uramita</v>
          </cell>
          <cell r="S422" t="e">
            <v>#N/A</v>
          </cell>
          <cell r="T422">
            <v>1</v>
          </cell>
        </row>
        <row r="423">
          <cell r="A423">
            <v>39171205</v>
          </cell>
          <cell r="B423" t="str">
            <v>Edilma  Hernandez Graciano</v>
          </cell>
          <cell r="C423">
            <v>39171205</v>
          </cell>
          <cell r="D423" t="str">
            <v>Juntas de Uramita</v>
          </cell>
          <cell r="E423">
            <v>3234721598</v>
          </cell>
          <cell r="O423" t="str">
            <v>x</v>
          </cell>
          <cell r="P423" t="str">
            <v>Juntas de Uramita</v>
          </cell>
          <cell r="S423" t="e">
            <v>#N/A</v>
          </cell>
          <cell r="T423">
            <v>1</v>
          </cell>
        </row>
        <row r="424">
          <cell r="A424">
            <v>39295184</v>
          </cell>
          <cell r="B424" t="str">
            <v>Alicia de Jesus Uribe Uribe</v>
          </cell>
          <cell r="C424">
            <v>39295184</v>
          </cell>
          <cell r="D424" t="str">
            <v>Urbano</v>
          </cell>
          <cell r="E424">
            <v>3117817133</v>
          </cell>
          <cell r="F424" t="str">
            <v>x</v>
          </cell>
          <cell r="I424" t="str">
            <v>Jefe de hogar y sobrino</v>
          </cell>
          <cell r="L424" t="str">
            <v>x</v>
          </cell>
          <cell r="P424" t="str">
            <v>Barrio colinas de Miramar</v>
          </cell>
          <cell r="S424" t="str">
            <v>fondo nacional de vivienda</v>
          </cell>
          <cell r="T424">
            <v>0</v>
          </cell>
        </row>
        <row r="425">
          <cell r="A425">
            <v>21612506</v>
          </cell>
          <cell r="B425" t="str">
            <v>INES DURANGO</v>
          </cell>
          <cell r="C425">
            <v>21612506</v>
          </cell>
          <cell r="D425" t="str">
            <v>LA AGUADA</v>
          </cell>
          <cell r="S425" t="e">
            <v>#N/A</v>
          </cell>
          <cell r="T425">
            <v>1</v>
          </cell>
        </row>
        <row r="426">
          <cell r="A426">
            <v>21612522</v>
          </cell>
          <cell r="B426" t="str">
            <v>MAGNOLIA DE JESUS CASTAÑO</v>
          </cell>
          <cell r="C426">
            <v>21612522</v>
          </cell>
          <cell r="D426" t="str">
            <v>CESTILLAL</v>
          </cell>
          <cell r="S426" t="e">
            <v>#N/A</v>
          </cell>
          <cell r="T426" t="e">
            <v>#N/A</v>
          </cell>
        </row>
        <row r="427">
          <cell r="A427">
            <v>21612534</v>
          </cell>
          <cell r="B427" t="str">
            <v>MARIA EDELMIRA URREGO</v>
          </cell>
          <cell r="C427">
            <v>21612534</v>
          </cell>
          <cell r="D427" t="str">
            <v>CESTILLAL</v>
          </cell>
          <cell r="S427" t="e">
            <v>#N/A</v>
          </cell>
          <cell r="T427" t="e">
            <v>#N/A</v>
          </cell>
        </row>
        <row r="428">
          <cell r="A428">
            <v>21612538</v>
          </cell>
          <cell r="B428" t="str">
            <v>MARINA LOPEZ</v>
          </cell>
          <cell r="C428">
            <v>21612538</v>
          </cell>
          <cell r="D428" t="str">
            <v>CUMBARRA</v>
          </cell>
          <cell r="S428" t="e">
            <v>#N/A</v>
          </cell>
          <cell r="T428" t="e">
            <v>#N/A</v>
          </cell>
        </row>
        <row r="429">
          <cell r="A429">
            <v>21612538</v>
          </cell>
          <cell r="B429" t="str">
            <v>Marina Lopez</v>
          </cell>
          <cell r="C429">
            <v>21612538</v>
          </cell>
          <cell r="D429" t="str">
            <v>Vereda Cumbarra</v>
          </cell>
          <cell r="E429">
            <v>3147624022</v>
          </cell>
          <cell r="K429" t="str">
            <v>x</v>
          </cell>
          <cell r="P429" t="str">
            <v>Vereda Cumbarra</v>
          </cell>
          <cell r="S429" t="e">
            <v>#N/A</v>
          </cell>
          <cell r="T429" t="e">
            <v>#N/A</v>
          </cell>
        </row>
        <row r="430">
          <cell r="A430">
            <v>21614103</v>
          </cell>
          <cell r="B430" t="str">
            <v>ANA OFELIA USUGA VALDERRAMA</v>
          </cell>
          <cell r="C430">
            <v>21614103</v>
          </cell>
          <cell r="D430" t="str">
            <v>CESTILLAL</v>
          </cell>
          <cell r="S430" t="e">
            <v>#N/A</v>
          </cell>
          <cell r="T430">
            <v>1</v>
          </cell>
        </row>
        <row r="431">
          <cell r="A431">
            <v>21614272</v>
          </cell>
          <cell r="B431" t="str">
            <v>Rosa María Ortiz ferreiro</v>
          </cell>
          <cell r="C431">
            <v>21614272</v>
          </cell>
          <cell r="D431" t="str">
            <v>San Julián</v>
          </cell>
          <cell r="E431" t="str">
            <v>320 591 7814</v>
          </cell>
          <cell r="G431" t="str">
            <v>x</v>
          </cell>
          <cell r="K431" t="str">
            <v>x</v>
          </cell>
          <cell r="S431" t="e">
            <v>#N/A</v>
          </cell>
          <cell r="T431" t="e">
            <v>#N/A</v>
          </cell>
        </row>
        <row r="432">
          <cell r="A432">
            <v>43141123</v>
          </cell>
          <cell r="B432" t="str">
            <v>Blanca Rosa Guerra</v>
          </cell>
          <cell r="C432">
            <v>43141123</v>
          </cell>
          <cell r="D432" t="str">
            <v>El canelito</v>
          </cell>
          <cell r="E432">
            <v>3209325588</v>
          </cell>
          <cell r="L432" t="str">
            <v>x</v>
          </cell>
          <cell r="S432" t="str">
            <v>banco agrario</v>
          </cell>
          <cell r="T432">
            <v>1</v>
          </cell>
        </row>
        <row r="433">
          <cell r="A433">
            <v>43145491</v>
          </cell>
          <cell r="B433" t="str">
            <v>MARALEIDIS BEDOYA LONDOÑO</v>
          </cell>
          <cell r="C433">
            <v>43145491</v>
          </cell>
          <cell r="D433" t="str">
            <v>Santo Domingo</v>
          </cell>
          <cell r="E433">
            <v>3207117511</v>
          </cell>
          <cell r="G433" t="str">
            <v>x</v>
          </cell>
          <cell r="I433" t="str">
            <v>ella y el esposo</v>
          </cell>
          <cell r="N433" t="str">
            <v>x</v>
          </cell>
          <cell r="P433" t="str">
            <v>Santo Domingo</v>
          </cell>
          <cell r="S433" t="e">
            <v>#N/A</v>
          </cell>
          <cell r="T433" t="e">
            <v>#N/A</v>
          </cell>
        </row>
        <row r="434">
          <cell r="A434">
            <v>43201636</v>
          </cell>
          <cell r="B434" t="str">
            <v>Maria Berenice Durango Manco</v>
          </cell>
          <cell r="C434">
            <v>43201636</v>
          </cell>
          <cell r="D434" t="str">
            <v>Ciriguan</v>
          </cell>
          <cell r="E434">
            <v>3104330976</v>
          </cell>
          <cell r="O434" t="str">
            <v>X</v>
          </cell>
          <cell r="S434" t="e">
            <v>#N/A</v>
          </cell>
          <cell r="T434">
            <v>1</v>
          </cell>
        </row>
        <row r="435">
          <cell r="A435">
            <v>43418520</v>
          </cell>
          <cell r="B435" t="str">
            <v>Blanca Cartagena</v>
          </cell>
          <cell r="C435">
            <v>43418520</v>
          </cell>
          <cell r="D435" t="str">
            <v>Santo Domingo</v>
          </cell>
          <cell r="E435">
            <v>3103917950</v>
          </cell>
          <cell r="O435" t="str">
            <v>x</v>
          </cell>
          <cell r="S435" t="e">
            <v>#N/A</v>
          </cell>
          <cell r="T435">
            <v>1</v>
          </cell>
        </row>
        <row r="436">
          <cell r="A436">
            <v>43418520</v>
          </cell>
          <cell r="B436" t="str">
            <v>Blanca Cartagena</v>
          </cell>
          <cell r="C436">
            <v>43418520</v>
          </cell>
          <cell r="D436" t="str">
            <v>Santo Domingo</v>
          </cell>
          <cell r="E436">
            <v>3103917950</v>
          </cell>
          <cell r="O436" t="str">
            <v>x</v>
          </cell>
          <cell r="S436" t="e">
            <v>#N/A</v>
          </cell>
          <cell r="T436">
            <v>1</v>
          </cell>
        </row>
        <row r="437">
          <cell r="A437">
            <v>43418938</v>
          </cell>
          <cell r="B437" t="str">
            <v>Rosmira del Socorro Garcia Perez</v>
          </cell>
          <cell r="C437">
            <v>43418938</v>
          </cell>
          <cell r="D437" t="str">
            <v>Guadual</v>
          </cell>
          <cell r="E437">
            <v>3147817554</v>
          </cell>
          <cell r="O437" t="str">
            <v>X</v>
          </cell>
          <cell r="S437" t="e">
            <v>#N/A</v>
          </cell>
          <cell r="T437">
            <v>1</v>
          </cell>
        </row>
        <row r="438">
          <cell r="A438">
            <v>43453126</v>
          </cell>
          <cell r="B438" t="str">
            <v>DIANA URREGO GUZMAN</v>
          </cell>
          <cell r="C438">
            <v>43453126</v>
          </cell>
          <cell r="D438" t="str">
            <v>LA AGUADA</v>
          </cell>
          <cell r="S438" t="str">
            <v>c.c.f.de antioquia comfama</v>
          </cell>
          <cell r="T438">
            <v>1</v>
          </cell>
        </row>
        <row r="439">
          <cell r="A439">
            <v>43485733</v>
          </cell>
          <cell r="B439" t="str">
            <v>Luz Mary Carvajal</v>
          </cell>
          <cell r="C439">
            <v>43485733</v>
          </cell>
          <cell r="D439" t="str">
            <v>Juntas de Uramita</v>
          </cell>
          <cell r="E439">
            <v>3104254735</v>
          </cell>
          <cell r="P439" t="str">
            <v>Juntas de Uramita</v>
          </cell>
          <cell r="S439" t="e">
            <v>#N/A</v>
          </cell>
          <cell r="T439">
            <v>0</v>
          </cell>
        </row>
        <row r="440">
          <cell r="A440">
            <v>43485865</v>
          </cell>
          <cell r="B440" t="str">
            <v>Eroina Valle Lopez</v>
          </cell>
          <cell r="C440">
            <v>43485865</v>
          </cell>
          <cell r="D440" t="str">
            <v>Santo Domingo</v>
          </cell>
          <cell r="E440">
            <v>3216289567</v>
          </cell>
          <cell r="N440" t="str">
            <v>x</v>
          </cell>
          <cell r="S440" t="e">
            <v>#N/A</v>
          </cell>
          <cell r="T440" t="e">
            <v>#N/A</v>
          </cell>
        </row>
        <row r="441">
          <cell r="A441">
            <v>43485865</v>
          </cell>
          <cell r="B441" t="str">
            <v>Eroina Valle Lopez</v>
          </cell>
          <cell r="C441">
            <v>43485865</v>
          </cell>
          <cell r="D441" t="str">
            <v>Santo Domingo</v>
          </cell>
          <cell r="E441">
            <v>3216289567</v>
          </cell>
          <cell r="N441" t="str">
            <v>x</v>
          </cell>
          <cell r="S441" t="e">
            <v>#N/A</v>
          </cell>
          <cell r="T441" t="e">
            <v>#N/A</v>
          </cell>
        </row>
        <row r="442">
          <cell r="A442">
            <v>43485897</v>
          </cell>
          <cell r="B442" t="str">
            <v>Maribel Higuita Valderrama</v>
          </cell>
          <cell r="C442">
            <v>43485897</v>
          </cell>
          <cell r="D442" t="str">
            <v>Juntas de Uramita</v>
          </cell>
          <cell r="E442">
            <v>3137693832</v>
          </cell>
          <cell r="P442" t="str">
            <v>Juntas de Uramita</v>
          </cell>
          <cell r="S442" t="str">
            <v>comfenalco antioquia</v>
          </cell>
          <cell r="T442" t="e">
            <v>#N/A</v>
          </cell>
        </row>
        <row r="443">
          <cell r="A443">
            <v>71022308</v>
          </cell>
          <cell r="B443" t="str">
            <v>Fabian Dario Moreno Restrepo</v>
          </cell>
          <cell r="C443">
            <v>71022308</v>
          </cell>
          <cell r="D443" t="str">
            <v>Paso arriba</v>
          </cell>
          <cell r="J443" t="str">
            <v>x</v>
          </cell>
          <cell r="Q443" t="str">
            <v>SI</v>
          </cell>
          <cell r="R443" t="str">
            <v>PRESIDENTE</v>
          </cell>
          <cell r="S443" t="e">
            <v>#N/A</v>
          </cell>
          <cell r="T443" t="e">
            <v>#N/A</v>
          </cell>
        </row>
        <row r="444">
          <cell r="A444">
            <v>70430103</v>
          </cell>
          <cell r="B444" t="str">
            <v>Gilberto Emilio Solis Castañeda</v>
          </cell>
          <cell r="C444">
            <v>70430103</v>
          </cell>
          <cell r="D444" t="str">
            <v>Paso arriba</v>
          </cell>
          <cell r="J444" t="str">
            <v>x</v>
          </cell>
          <cell r="Q444" t="str">
            <v>SI</v>
          </cell>
          <cell r="R444" t="str">
            <v>PRESIDENTE</v>
          </cell>
          <cell r="S444" t="e">
            <v>#N/A</v>
          </cell>
          <cell r="T444" t="e">
            <v>#N/A</v>
          </cell>
        </row>
        <row r="445">
          <cell r="A445">
            <v>21614310</v>
          </cell>
          <cell r="B445" t="str">
            <v>Evalina Moreno Pino</v>
          </cell>
          <cell r="C445">
            <v>21614310</v>
          </cell>
          <cell r="D445" t="str">
            <v>Buena Vista</v>
          </cell>
          <cell r="E445">
            <v>3207925685</v>
          </cell>
          <cell r="K445" t="str">
            <v>x</v>
          </cell>
          <cell r="S445" t="e">
            <v>#N/A</v>
          </cell>
          <cell r="T445" t="e">
            <v>#N/A</v>
          </cell>
        </row>
        <row r="446">
          <cell r="A446">
            <v>21614310</v>
          </cell>
          <cell r="B446" t="str">
            <v>Evalina Moreno Pino</v>
          </cell>
          <cell r="C446">
            <v>21614310</v>
          </cell>
          <cell r="D446" t="str">
            <v>Buena Vista</v>
          </cell>
          <cell r="E446">
            <v>3207925685</v>
          </cell>
          <cell r="K446" t="str">
            <v>x</v>
          </cell>
          <cell r="S446" t="e">
            <v>#N/A</v>
          </cell>
          <cell r="T446" t="e">
            <v>#N/A</v>
          </cell>
        </row>
        <row r="447">
          <cell r="A447">
            <v>21614450</v>
          </cell>
          <cell r="B447" t="str">
            <v>Flor Estela Londoño</v>
          </cell>
          <cell r="C447">
            <v>21614450</v>
          </cell>
          <cell r="D447" t="str">
            <v>Juntas de Uramita</v>
          </cell>
          <cell r="E447">
            <v>3218438995</v>
          </cell>
          <cell r="P447" t="str">
            <v>Juntas de Uramita</v>
          </cell>
          <cell r="S447" t="e">
            <v>#N/A</v>
          </cell>
          <cell r="T447" t="e">
            <v>#N/A</v>
          </cell>
        </row>
        <row r="448">
          <cell r="A448">
            <v>21614534</v>
          </cell>
          <cell r="B448" t="str">
            <v>rosalba londoño higuita</v>
          </cell>
          <cell r="C448">
            <v>21614534</v>
          </cell>
          <cell r="D448" t="str">
            <v>el paso</v>
          </cell>
          <cell r="E448">
            <v>3122531879</v>
          </cell>
          <cell r="L448" t="str">
            <v>x</v>
          </cell>
          <cell r="S448" t="e">
            <v>#N/A</v>
          </cell>
          <cell r="T448" t="e">
            <v>#N/A</v>
          </cell>
        </row>
        <row r="449">
          <cell r="A449">
            <v>21619036</v>
          </cell>
          <cell r="B449" t="str">
            <v>blanca de Jesús Restrepo González</v>
          </cell>
          <cell r="C449">
            <v>21619036</v>
          </cell>
          <cell r="D449" t="str">
            <v>Apucarco</v>
          </cell>
          <cell r="E449" t="str">
            <v>315 665 7224</v>
          </cell>
          <cell r="L449" t="str">
            <v>x</v>
          </cell>
          <cell r="S449" t="e">
            <v>#N/A</v>
          </cell>
          <cell r="T449" t="e">
            <v>#N/A</v>
          </cell>
        </row>
        <row r="450">
          <cell r="A450">
            <v>21624116</v>
          </cell>
          <cell r="B450" t="str">
            <v>luz edilia sanchez correa</v>
          </cell>
          <cell r="C450">
            <v>21624116</v>
          </cell>
          <cell r="D450" t="str">
            <v xml:space="preserve">el madero </v>
          </cell>
          <cell r="E450">
            <v>3205218629</v>
          </cell>
          <cell r="K450" t="str">
            <v>x</v>
          </cell>
          <cell r="S450" t="e">
            <v>#N/A</v>
          </cell>
          <cell r="T450">
            <v>1</v>
          </cell>
        </row>
        <row r="451">
          <cell r="A451">
            <v>43614351</v>
          </cell>
          <cell r="B451" t="str">
            <v xml:space="preserve">Romelia Uribe Durango </v>
          </cell>
          <cell r="C451">
            <v>43614351</v>
          </cell>
          <cell r="D451" t="str">
            <v>Juntas de uramita</v>
          </cell>
          <cell r="E451">
            <v>3206949293</v>
          </cell>
          <cell r="O451" t="str">
            <v>x</v>
          </cell>
          <cell r="S451" t="e">
            <v>#N/A</v>
          </cell>
          <cell r="T451" t="e">
            <v>#N/A</v>
          </cell>
        </row>
        <row r="452">
          <cell r="A452">
            <v>43614351</v>
          </cell>
          <cell r="B452" t="str">
            <v xml:space="preserve">Romelia Uribe Durango </v>
          </cell>
          <cell r="C452">
            <v>43614351</v>
          </cell>
          <cell r="D452" t="str">
            <v>Juntas de uramita</v>
          </cell>
          <cell r="E452">
            <v>3206949293</v>
          </cell>
          <cell r="O452" t="str">
            <v>x</v>
          </cell>
          <cell r="S452" t="e">
            <v>#N/A</v>
          </cell>
          <cell r="T452" t="e">
            <v>#N/A</v>
          </cell>
        </row>
        <row r="453">
          <cell r="A453">
            <v>43635796</v>
          </cell>
          <cell r="B453" t="str">
            <v>NUBIA RIAÑO HIGUITA</v>
          </cell>
          <cell r="C453">
            <v>43635796</v>
          </cell>
          <cell r="D453" t="str">
            <v>CESTILLAL</v>
          </cell>
          <cell r="S453" t="e">
            <v>#N/A</v>
          </cell>
          <cell r="T453">
            <v>1</v>
          </cell>
        </row>
        <row r="454">
          <cell r="A454">
            <v>43636713</v>
          </cell>
          <cell r="B454" t="str">
            <v>Flor Maria Carvajal</v>
          </cell>
          <cell r="C454">
            <v>43636713</v>
          </cell>
          <cell r="D454" t="str">
            <v>Juntas de Uramita</v>
          </cell>
          <cell r="E454">
            <v>3117288143</v>
          </cell>
          <cell r="O454" t="str">
            <v>x</v>
          </cell>
          <cell r="P454" t="str">
            <v>Juntas de Uramita</v>
          </cell>
          <cell r="S454" t="e">
            <v>#N/A</v>
          </cell>
          <cell r="T454" t="e">
            <v>#N/A</v>
          </cell>
        </row>
        <row r="455">
          <cell r="A455">
            <v>43636713</v>
          </cell>
          <cell r="B455" t="str">
            <v>Flor Maria Carvajal</v>
          </cell>
          <cell r="C455">
            <v>43636713</v>
          </cell>
          <cell r="D455" t="str">
            <v>Juntas de Uramita</v>
          </cell>
          <cell r="E455">
            <v>3117288143</v>
          </cell>
          <cell r="O455" t="str">
            <v>x</v>
          </cell>
          <cell r="P455" t="str">
            <v>Juntas de Uramita</v>
          </cell>
          <cell r="S455" t="e">
            <v>#N/A</v>
          </cell>
          <cell r="T455" t="e">
            <v>#N/A</v>
          </cell>
        </row>
        <row r="456">
          <cell r="A456">
            <v>21630367</v>
          </cell>
          <cell r="B456" t="str">
            <v>MARIA ESTER LOPEZ</v>
          </cell>
          <cell r="C456">
            <v>21630367</v>
          </cell>
          <cell r="D456" t="str">
            <v>CESTILLAL</v>
          </cell>
          <cell r="S456" t="e">
            <v>#N/A</v>
          </cell>
          <cell r="T456" t="e">
            <v>#N/A</v>
          </cell>
        </row>
        <row r="457">
          <cell r="A457">
            <v>43780109</v>
          </cell>
          <cell r="B457" t="str">
            <v>Diana Cecilia</v>
          </cell>
          <cell r="C457">
            <v>43780109</v>
          </cell>
          <cell r="D457" t="str">
            <v>Urbano</v>
          </cell>
          <cell r="E457">
            <v>3105266758</v>
          </cell>
          <cell r="K457" t="str">
            <v>x</v>
          </cell>
          <cell r="P457" t="str">
            <v>Versalles y el eden</v>
          </cell>
          <cell r="S457" t="str">
            <v>fondo nacional de vivienda</v>
          </cell>
          <cell r="T457">
            <v>1</v>
          </cell>
        </row>
        <row r="458">
          <cell r="A458">
            <v>21692845</v>
          </cell>
          <cell r="B458" t="str">
            <v>maria irene higuita durango</v>
          </cell>
          <cell r="C458">
            <v>21692845</v>
          </cell>
          <cell r="D458" t="str">
            <v>mediacuesta</v>
          </cell>
          <cell r="E458">
            <v>3233330428</v>
          </cell>
          <cell r="K458" t="str">
            <v>x</v>
          </cell>
          <cell r="S458" t="e">
            <v>#N/A</v>
          </cell>
          <cell r="T458">
            <v>1</v>
          </cell>
        </row>
        <row r="459">
          <cell r="A459">
            <v>21697243</v>
          </cell>
          <cell r="B459" t="str">
            <v>Silvia Milena Cortez</v>
          </cell>
          <cell r="C459">
            <v>21697243</v>
          </cell>
          <cell r="E459">
            <v>3108349112</v>
          </cell>
          <cell r="S459" t="e">
            <v>#N/A</v>
          </cell>
          <cell r="T459">
            <v>1</v>
          </cell>
        </row>
        <row r="460">
          <cell r="A460">
            <v>43780222</v>
          </cell>
          <cell r="B460" t="str">
            <v>Angela Maria Gomez Alvarez</v>
          </cell>
          <cell r="C460">
            <v>43780222</v>
          </cell>
          <cell r="E460">
            <v>3122391916</v>
          </cell>
          <cell r="O460" t="str">
            <v>x</v>
          </cell>
          <cell r="S460" t="e">
            <v>#N/A</v>
          </cell>
          <cell r="T460">
            <v>1</v>
          </cell>
        </row>
        <row r="461">
          <cell r="A461">
            <v>43780222</v>
          </cell>
          <cell r="B461" t="str">
            <v>Angela Maria Gomez Alvarez</v>
          </cell>
          <cell r="C461">
            <v>43780222</v>
          </cell>
          <cell r="E461">
            <v>3122391916</v>
          </cell>
          <cell r="O461" t="str">
            <v>x</v>
          </cell>
          <cell r="S461" t="e">
            <v>#N/A</v>
          </cell>
          <cell r="T461">
            <v>1</v>
          </cell>
        </row>
        <row r="462">
          <cell r="A462">
            <v>21757812</v>
          </cell>
          <cell r="B462" t="str">
            <v>Maria de los Angeles Sepulveda</v>
          </cell>
          <cell r="C462">
            <v>21757812</v>
          </cell>
          <cell r="D462" t="str">
            <v>Insor</v>
          </cell>
          <cell r="E462">
            <v>3206252913</v>
          </cell>
          <cell r="S462" t="e">
            <v>#N/A</v>
          </cell>
          <cell r="T462">
            <v>1</v>
          </cell>
        </row>
        <row r="463">
          <cell r="A463">
            <v>21758025</v>
          </cell>
          <cell r="B463" t="str">
            <v>Rosalba  Silva Sepulveda</v>
          </cell>
          <cell r="C463">
            <v>21758025</v>
          </cell>
          <cell r="D463" t="str">
            <v>Urbano</v>
          </cell>
          <cell r="E463">
            <v>3143646489</v>
          </cell>
          <cell r="L463" t="str">
            <v>x</v>
          </cell>
          <cell r="P463" t="str">
            <v>Imantago</v>
          </cell>
          <cell r="S463" t="e">
            <v>#N/A</v>
          </cell>
          <cell r="T463">
            <v>1</v>
          </cell>
        </row>
        <row r="464">
          <cell r="A464">
            <v>43780280</v>
          </cell>
          <cell r="B464" t="str">
            <v xml:space="preserve">Lucelly Higuita David </v>
          </cell>
          <cell r="C464">
            <v>43780280</v>
          </cell>
          <cell r="D464" t="str">
            <v>La Soledad</v>
          </cell>
          <cell r="E464">
            <v>3205355349</v>
          </cell>
          <cell r="G464" t="str">
            <v>x</v>
          </cell>
          <cell r="N464" t="str">
            <v>x</v>
          </cell>
          <cell r="S464" t="e">
            <v>#N/A</v>
          </cell>
          <cell r="T464" t="e">
            <v>#N/A</v>
          </cell>
        </row>
        <row r="465">
          <cell r="A465">
            <v>43780280</v>
          </cell>
          <cell r="B465" t="str">
            <v xml:space="preserve">Lucelly Higuita David </v>
          </cell>
          <cell r="C465">
            <v>43780280</v>
          </cell>
          <cell r="D465" t="str">
            <v>La Soledad</v>
          </cell>
          <cell r="E465">
            <v>3205355349</v>
          </cell>
          <cell r="G465" t="str">
            <v>x</v>
          </cell>
          <cell r="N465" t="str">
            <v>x</v>
          </cell>
          <cell r="S465" t="e">
            <v>#N/A</v>
          </cell>
          <cell r="T465" t="e">
            <v>#N/A</v>
          </cell>
        </row>
        <row r="466">
          <cell r="A466">
            <v>21758250</v>
          </cell>
          <cell r="B466" t="str">
            <v>Teresa Del Niño Jesus Manco</v>
          </cell>
          <cell r="C466">
            <v>21758250</v>
          </cell>
          <cell r="D466" t="str">
            <v>Botija Arriba</v>
          </cell>
          <cell r="K466" t="str">
            <v>X</v>
          </cell>
          <cell r="Q466" t="str">
            <v>Visitar</v>
          </cell>
          <cell r="S466" t="e">
            <v>#N/A</v>
          </cell>
          <cell r="T466" t="e">
            <v>#N/A</v>
          </cell>
        </row>
        <row r="467">
          <cell r="A467">
            <v>43780309</v>
          </cell>
          <cell r="B467" t="str">
            <v>Socorro Rodriguez</v>
          </cell>
          <cell r="C467">
            <v>43780309</v>
          </cell>
          <cell r="D467" t="str">
            <v>Vereda Cumbarra</v>
          </cell>
          <cell r="O467" t="str">
            <v>x</v>
          </cell>
          <cell r="P467" t="str">
            <v>Vereda Cumbarra</v>
          </cell>
          <cell r="S467" t="e">
            <v>#N/A</v>
          </cell>
          <cell r="T467" t="e">
            <v>#N/A</v>
          </cell>
        </row>
        <row r="468">
          <cell r="A468">
            <v>43780309</v>
          </cell>
          <cell r="B468" t="str">
            <v>Socorro Rodriguez</v>
          </cell>
          <cell r="C468">
            <v>43780309</v>
          </cell>
          <cell r="D468" t="str">
            <v>Vereda Cumbarra</v>
          </cell>
          <cell r="O468" t="str">
            <v>x</v>
          </cell>
          <cell r="P468" t="str">
            <v>Vereda Cumbarra</v>
          </cell>
          <cell r="S468" t="e">
            <v>#N/A</v>
          </cell>
          <cell r="T468" t="e">
            <v>#N/A</v>
          </cell>
        </row>
        <row r="469">
          <cell r="A469">
            <v>43780327</v>
          </cell>
          <cell r="B469" t="str">
            <v>Miriam de Jesus Higuita</v>
          </cell>
          <cell r="C469">
            <v>43780327</v>
          </cell>
          <cell r="D469" t="str">
            <v>Juntas de Uramita</v>
          </cell>
          <cell r="E469">
            <v>3206892798</v>
          </cell>
          <cell r="O469" t="str">
            <v>x</v>
          </cell>
          <cell r="P469" t="str">
            <v>Juntas de Uramita</v>
          </cell>
          <cell r="S469" t="e">
            <v>#N/A</v>
          </cell>
          <cell r="T469">
            <v>1</v>
          </cell>
        </row>
        <row r="470">
          <cell r="A470">
            <v>43780327</v>
          </cell>
          <cell r="B470" t="str">
            <v>Miriam de Jesus Higuita</v>
          </cell>
          <cell r="C470">
            <v>43780327</v>
          </cell>
          <cell r="D470" t="str">
            <v>Juntas de Uramita</v>
          </cell>
          <cell r="E470">
            <v>3206892798</v>
          </cell>
          <cell r="O470" t="str">
            <v>x</v>
          </cell>
          <cell r="P470" t="str">
            <v>Juntas de Uramita</v>
          </cell>
          <cell r="S470" t="e">
            <v>#N/A</v>
          </cell>
          <cell r="T470">
            <v>1</v>
          </cell>
        </row>
        <row r="471">
          <cell r="A471">
            <v>21852496</v>
          </cell>
          <cell r="B471" t="str">
            <v>LIBIA DEL SOCORRO ARROYAVE ESCUDERO</v>
          </cell>
          <cell r="C471">
            <v>21852496</v>
          </cell>
          <cell r="D471" t="str">
            <v>Los Naranjos</v>
          </cell>
          <cell r="E471">
            <v>3206931621</v>
          </cell>
          <cell r="G471" t="str">
            <v>x</v>
          </cell>
          <cell r="L471" t="str">
            <v>x</v>
          </cell>
          <cell r="Q471" t="str">
            <v>Visitar</v>
          </cell>
          <cell r="R471" t="str">
            <v>Julieta</v>
          </cell>
          <cell r="S471" t="e">
            <v>#N/A</v>
          </cell>
          <cell r="T471" t="e">
            <v>#N/A</v>
          </cell>
        </row>
        <row r="472">
          <cell r="A472">
            <v>43780463</v>
          </cell>
          <cell r="B472" t="str">
            <v>NORFA RUIZ DAVID</v>
          </cell>
          <cell r="C472">
            <v>43780463</v>
          </cell>
          <cell r="D472" t="str">
            <v>CUMBARRA</v>
          </cell>
          <cell r="S472" t="str">
            <v>banco agrario</v>
          </cell>
          <cell r="T472" t="e">
            <v>#N/A</v>
          </cell>
        </row>
        <row r="473">
          <cell r="A473">
            <v>43780463</v>
          </cell>
          <cell r="B473" t="str">
            <v>Marta  Usuga</v>
          </cell>
          <cell r="C473">
            <v>43780463</v>
          </cell>
          <cell r="D473" t="str">
            <v>Vereda Cumbarra</v>
          </cell>
          <cell r="E473">
            <v>3127329409</v>
          </cell>
          <cell r="O473" t="str">
            <v>x</v>
          </cell>
          <cell r="P473" t="str">
            <v>Vereda Cumbarra</v>
          </cell>
          <cell r="S473" t="str">
            <v>banco agrario</v>
          </cell>
          <cell r="T473" t="e">
            <v>#N/A</v>
          </cell>
        </row>
        <row r="474">
          <cell r="A474">
            <v>43780463</v>
          </cell>
          <cell r="B474" t="str">
            <v>Marta  Usuga</v>
          </cell>
          <cell r="C474">
            <v>43780463</v>
          </cell>
          <cell r="D474" t="str">
            <v>Vereda Cumbarra</v>
          </cell>
          <cell r="E474">
            <v>3127329409</v>
          </cell>
          <cell r="O474" t="str">
            <v>x</v>
          </cell>
          <cell r="P474" t="str">
            <v>Vereda Cumbarra</v>
          </cell>
          <cell r="S474" t="str">
            <v>banco agrario</v>
          </cell>
          <cell r="T474" t="e">
            <v>#N/A</v>
          </cell>
        </row>
        <row r="475">
          <cell r="A475">
            <v>43780465</v>
          </cell>
          <cell r="B475" t="str">
            <v>Norfa  Ruiz</v>
          </cell>
          <cell r="C475">
            <v>43780465</v>
          </cell>
          <cell r="D475" t="str">
            <v>Vereda Cumbarra</v>
          </cell>
          <cell r="K475" t="str">
            <v>x</v>
          </cell>
          <cell r="P475" t="str">
            <v>Vereda Cumbarra</v>
          </cell>
          <cell r="S475" t="e">
            <v>#N/A</v>
          </cell>
          <cell r="T475">
            <v>0</v>
          </cell>
        </row>
        <row r="476">
          <cell r="A476">
            <v>21884532</v>
          </cell>
          <cell r="B476" t="str">
            <v>Orbilia  Aguirre</v>
          </cell>
          <cell r="C476">
            <v>21884532</v>
          </cell>
          <cell r="D476" t="str">
            <v>Urbano</v>
          </cell>
          <cell r="E476">
            <v>3147498088</v>
          </cell>
          <cell r="L476" t="str">
            <v>x</v>
          </cell>
          <cell r="P476" t="str">
            <v>Barrio los balsos</v>
          </cell>
          <cell r="S476" t="e">
            <v>#N/A</v>
          </cell>
          <cell r="T476">
            <v>1</v>
          </cell>
        </row>
        <row r="477">
          <cell r="A477">
            <v>21894550</v>
          </cell>
          <cell r="B477" t="str">
            <v>Sol Maria Perez Navarro</v>
          </cell>
          <cell r="C477">
            <v>21894550</v>
          </cell>
          <cell r="D477" t="str">
            <v>Guadual</v>
          </cell>
          <cell r="E477">
            <v>3117863184</v>
          </cell>
          <cell r="L477" t="str">
            <v>x</v>
          </cell>
          <cell r="S477" t="e">
            <v>#N/A</v>
          </cell>
          <cell r="T477">
            <v>1</v>
          </cell>
        </row>
        <row r="478">
          <cell r="A478">
            <v>21910743</v>
          </cell>
          <cell r="B478" t="str">
            <v xml:space="preserve">alba nidia agudelo torres </v>
          </cell>
          <cell r="C478">
            <v>21910743</v>
          </cell>
          <cell r="D478" t="str">
            <v>naranjal</v>
          </cell>
          <cell r="E478">
            <v>3126916342</v>
          </cell>
          <cell r="L478" t="str">
            <v>x</v>
          </cell>
          <cell r="S478" t="e">
            <v>#N/A</v>
          </cell>
          <cell r="T478" t="e">
            <v>#N/A</v>
          </cell>
        </row>
        <row r="479">
          <cell r="A479">
            <v>43780605</v>
          </cell>
          <cell r="B479" t="str">
            <v>Maria Margarita Hidalgo Higuita</v>
          </cell>
          <cell r="C479">
            <v>43780605</v>
          </cell>
          <cell r="D479" t="str">
            <v>La Escalera</v>
          </cell>
          <cell r="G479" t="str">
            <v>x</v>
          </cell>
          <cell r="L479" t="str">
            <v>x</v>
          </cell>
          <cell r="S479" t="str">
            <v>fondo nacional de vivienda</v>
          </cell>
          <cell r="T479" t="e">
            <v>#N/A</v>
          </cell>
        </row>
        <row r="480">
          <cell r="A480">
            <v>21911451</v>
          </cell>
          <cell r="B480" t="str">
            <v>Luz Elena Tuberquia Valle</v>
          </cell>
          <cell r="C480">
            <v>21911451</v>
          </cell>
          <cell r="D480" t="str">
            <v>Vereda san Julian</v>
          </cell>
          <cell r="E480">
            <v>3113925213</v>
          </cell>
          <cell r="S480" t="e">
            <v>#N/A</v>
          </cell>
          <cell r="T480">
            <v>1</v>
          </cell>
        </row>
        <row r="481">
          <cell r="A481">
            <v>21931256</v>
          </cell>
          <cell r="B481" t="str">
            <v>Maria Lucelly Tangarife David</v>
          </cell>
          <cell r="C481">
            <v>21931256</v>
          </cell>
          <cell r="D481" t="str">
            <v>La soledad</v>
          </cell>
          <cell r="E481">
            <v>3105322087</v>
          </cell>
          <cell r="K481" t="str">
            <v>x</v>
          </cell>
          <cell r="S481" t="e">
            <v>#N/A</v>
          </cell>
          <cell r="T481" t="e">
            <v>#N/A</v>
          </cell>
        </row>
        <row r="482">
          <cell r="A482">
            <v>21982402</v>
          </cell>
          <cell r="B482" t="str">
            <v xml:space="preserve">olga maria correa alcaraz </v>
          </cell>
          <cell r="C482">
            <v>21982402</v>
          </cell>
          <cell r="D482" t="str">
            <v xml:space="preserve">la balsita </v>
          </cell>
          <cell r="E482">
            <v>3117434818</v>
          </cell>
          <cell r="L482" t="str">
            <v>x</v>
          </cell>
          <cell r="S482" t="e">
            <v>#N/A</v>
          </cell>
          <cell r="T482" t="e">
            <v>#N/A</v>
          </cell>
        </row>
        <row r="483">
          <cell r="A483">
            <v>1001403732</v>
          </cell>
          <cell r="B483" t="str">
            <v>Jhonatan Florez Florez</v>
          </cell>
          <cell r="C483">
            <v>1001403732</v>
          </cell>
          <cell r="D483" t="str">
            <v>Paso arriba</v>
          </cell>
          <cell r="L483" t="str">
            <v>x</v>
          </cell>
          <cell r="Q483" t="str">
            <v>SI</v>
          </cell>
          <cell r="R483" t="str">
            <v>PRESIDENTE</v>
          </cell>
          <cell r="S483" t="e">
            <v>#N/A</v>
          </cell>
          <cell r="T483" t="e">
            <v>#N/A</v>
          </cell>
        </row>
        <row r="484">
          <cell r="A484">
            <v>22069257</v>
          </cell>
          <cell r="B484" t="str">
            <v>Rosa Maria Ceballos Cataño</v>
          </cell>
          <cell r="C484">
            <v>22069257</v>
          </cell>
          <cell r="D484" t="str">
            <v>La estrella</v>
          </cell>
          <cell r="E484">
            <v>3113565406</v>
          </cell>
          <cell r="L484" t="str">
            <v>X</v>
          </cell>
          <cell r="S484" t="e">
            <v>#N/A</v>
          </cell>
          <cell r="T484" t="e">
            <v>#N/A</v>
          </cell>
        </row>
        <row r="485">
          <cell r="A485">
            <v>22228443</v>
          </cell>
          <cell r="B485" t="str">
            <v xml:space="preserve">ligia castaño </v>
          </cell>
          <cell r="C485">
            <v>22228443</v>
          </cell>
          <cell r="D485" t="str">
            <v xml:space="preserve">B. san martin </v>
          </cell>
          <cell r="E485">
            <v>3177553887</v>
          </cell>
          <cell r="L485" t="str">
            <v>x</v>
          </cell>
          <cell r="S485" t="e">
            <v>#N/A</v>
          </cell>
          <cell r="T485">
            <v>1</v>
          </cell>
        </row>
        <row r="486">
          <cell r="A486">
            <v>29327666</v>
          </cell>
          <cell r="B486" t="str">
            <v>Luz Elena Gutierrez Usuga</v>
          </cell>
          <cell r="C486">
            <v>29327666</v>
          </cell>
          <cell r="D486" t="str">
            <v>La lloroncita</v>
          </cell>
          <cell r="E486">
            <v>3105313036</v>
          </cell>
          <cell r="H486" t="str">
            <v>x</v>
          </cell>
          <cell r="I486" t="str">
            <v>Esposo y dos nietos</v>
          </cell>
          <cell r="L486" t="str">
            <v>x</v>
          </cell>
          <cell r="S486" t="e">
            <v>#N/A</v>
          </cell>
          <cell r="T486" t="e">
            <v>#N/A</v>
          </cell>
        </row>
        <row r="487">
          <cell r="A487">
            <v>43780896</v>
          </cell>
          <cell r="B487" t="str">
            <v>Marta Elena Giraldo Gomez</v>
          </cell>
          <cell r="C487">
            <v>43780896</v>
          </cell>
          <cell r="D487" t="str">
            <v>Botija arriba</v>
          </cell>
          <cell r="O487" t="str">
            <v>X</v>
          </cell>
          <cell r="S487" t="e">
            <v>#N/A</v>
          </cell>
          <cell r="T487">
            <v>0</v>
          </cell>
        </row>
        <row r="488">
          <cell r="A488">
            <v>43780896</v>
          </cell>
          <cell r="B488" t="str">
            <v>Marta Elena Giraldo Gomez</v>
          </cell>
          <cell r="C488">
            <v>43780896</v>
          </cell>
          <cell r="D488" t="str">
            <v>Botija Arriba</v>
          </cell>
          <cell r="O488" t="str">
            <v>X</v>
          </cell>
          <cell r="S488" t="e">
            <v>#N/A</v>
          </cell>
          <cell r="T488">
            <v>0</v>
          </cell>
        </row>
        <row r="489">
          <cell r="A489">
            <v>32104830</v>
          </cell>
          <cell r="B489" t="str">
            <v>Gloria emilce Osorio</v>
          </cell>
          <cell r="C489">
            <v>32104830</v>
          </cell>
          <cell r="D489" t="str">
            <v>El Retiro</v>
          </cell>
          <cell r="E489" t="str">
            <v>313716 1134</v>
          </cell>
          <cell r="K489" t="str">
            <v>x</v>
          </cell>
          <cell r="S489" t="e">
            <v>#N/A</v>
          </cell>
          <cell r="T489">
            <v>1</v>
          </cell>
        </row>
        <row r="490">
          <cell r="A490">
            <v>43780908</v>
          </cell>
          <cell r="B490" t="str">
            <v>Maria concepcion Higuita Carmona</v>
          </cell>
          <cell r="C490">
            <v>43780908</v>
          </cell>
          <cell r="D490" t="str">
            <v>Alto del roble</v>
          </cell>
          <cell r="E490">
            <v>3173161126</v>
          </cell>
          <cell r="N490" t="str">
            <v>x</v>
          </cell>
          <cell r="S490" t="e">
            <v>#N/A</v>
          </cell>
          <cell r="T490">
            <v>1</v>
          </cell>
        </row>
        <row r="491">
          <cell r="A491">
            <v>43780908</v>
          </cell>
          <cell r="B491" t="str">
            <v>Maria Consepcion Higuita</v>
          </cell>
          <cell r="C491">
            <v>43780908</v>
          </cell>
          <cell r="D491" t="str">
            <v xml:space="preserve">Alto del roble </v>
          </cell>
          <cell r="E491">
            <v>3173161186</v>
          </cell>
          <cell r="N491" t="str">
            <v>x</v>
          </cell>
          <cell r="S491" t="e">
            <v>#N/A</v>
          </cell>
          <cell r="T491">
            <v>1</v>
          </cell>
        </row>
        <row r="492">
          <cell r="A492">
            <v>43780908</v>
          </cell>
          <cell r="B492" t="str">
            <v>Maria Consepcion Higuita</v>
          </cell>
          <cell r="C492">
            <v>43780908</v>
          </cell>
          <cell r="D492" t="str">
            <v xml:space="preserve">Alto del roble </v>
          </cell>
          <cell r="E492">
            <v>3173161186</v>
          </cell>
          <cell r="N492" t="str">
            <v>x</v>
          </cell>
          <cell r="S492" t="e">
            <v>#N/A</v>
          </cell>
          <cell r="T492">
            <v>1</v>
          </cell>
        </row>
        <row r="493">
          <cell r="A493">
            <v>32258316</v>
          </cell>
          <cell r="B493" t="str">
            <v>ADRIANA MARIA MAZO CRUZ</v>
          </cell>
          <cell r="C493">
            <v>32258316</v>
          </cell>
          <cell r="D493" t="str">
            <v>Urbano</v>
          </cell>
          <cell r="E493">
            <v>3114744010</v>
          </cell>
          <cell r="L493" t="str">
            <v>x</v>
          </cell>
          <cell r="P493" t="str">
            <v>Santa Ana</v>
          </cell>
          <cell r="S493" t="e">
            <v>#N/A</v>
          </cell>
          <cell r="T493" t="e">
            <v>#N/A</v>
          </cell>
        </row>
        <row r="494">
          <cell r="A494">
            <v>43780952</v>
          </cell>
          <cell r="B494" t="str">
            <v>Luz Elena TORRES DAVID</v>
          </cell>
          <cell r="C494">
            <v>43780952</v>
          </cell>
          <cell r="D494" t="str">
            <v>MACANAL</v>
          </cell>
          <cell r="O494" t="str">
            <v>X</v>
          </cell>
          <cell r="R494" t="str">
            <v>ALCALDE PRIORIZAD</v>
          </cell>
          <cell r="S494" t="e">
            <v>#N/A</v>
          </cell>
          <cell r="T494" t="e">
            <v>#N/A</v>
          </cell>
        </row>
        <row r="495">
          <cell r="A495">
            <v>32276536</v>
          </cell>
          <cell r="B495" t="str">
            <v>Maria Mercedes Lopez Rengifo</v>
          </cell>
          <cell r="C495">
            <v>32276536</v>
          </cell>
          <cell r="D495" t="str">
            <v>La lloroncita</v>
          </cell>
          <cell r="E495">
            <v>3204469507</v>
          </cell>
          <cell r="F495" t="str">
            <v>x</v>
          </cell>
          <cell r="I495" t="str">
            <v>Esposo y dos Hijos</v>
          </cell>
          <cell r="L495" t="str">
            <v>x</v>
          </cell>
          <cell r="S495" t="e">
            <v>#N/A</v>
          </cell>
          <cell r="T495" t="e">
            <v>#N/A</v>
          </cell>
        </row>
        <row r="496">
          <cell r="A496">
            <v>43781007</v>
          </cell>
          <cell r="B496" t="str">
            <v>MARIVEL  GARCES USUGA</v>
          </cell>
          <cell r="C496">
            <v>43781007</v>
          </cell>
          <cell r="D496" t="str">
            <v>Los Naranjos</v>
          </cell>
          <cell r="E496">
            <v>3135874650</v>
          </cell>
          <cell r="O496" t="str">
            <v>X</v>
          </cell>
          <cell r="S496" t="e">
            <v>#N/A</v>
          </cell>
          <cell r="T496">
            <v>1</v>
          </cell>
        </row>
        <row r="497">
          <cell r="A497">
            <v>43781007</v>
          </cell>
          <cell r="B497" t="str">
            <v xml:space="preserve">Maribel Garces Usuga </v>
          </cell>
          <cell r="C497">
            <v>43781007</v>
          </cell>
          <cell r="D497" t="str">
            <v>Los Naranjos</v>
          </cell>
          <cell r="E497">
            <v>3135874650</v>
          </cell>
          <cell r="O497" t="str">
            <v>X</v>
          </cell>
          <cell r="S497" t="e">
            <v>#N/A</v>
          </cell>
          <cell r="T497">
            <v>1</v>
          </cell>
        </row>
        <row r="498">
          <cell r="A498">
            <v>32291726</v>
          </cell>
          <cell r="B498" t="str">
            <v>Flor Pino Cardona</v>
          </cell>
          <cell r="C498">
            <v>32291726</v>
          </cell>
          <cell r="D498" t="str">
            <v>Juntas de Uramita</v>
          </cell>
          <cell r="E498">
            <v>3136698886</v>
          </cell>
          <cell r="P498" t="str">
            <v>Juntas de Uramita</v>
          </cell>
          <cell r="S498" t="e">
            <v>#N/A</v>
          </cell>
          <cell r="T498">
            <v>1</v>
          </cell>
        </row>
        <row r="499">
          <cell r="A499">
            <v>43781062</v>
          </cell>
          <cell r="B499" t="str">
            <v>Maria Ofelia Durango Borja</v>
          </cell>
          <cell r="C499">
            <v>43781062</v>
          </cell>
          <cell r="D499" t="str">
            <v>Ciriguan</v>
          </cell>
          <cell r="E499">
            <v>3105922278</v>
          </cell>
          <cell r="O499" t="str">
            <v>X</v>
          </cell>
          <cell r="S499" t="e">
            <v>#N/A</v>
          </cell>
          <cell r="T499" t="e">
            <v>#N/A</v>
          </cell>
        </row>
        <row r="500">
          <cell r="A500">
            <v>43781067</v>
          </cell>
          <cell r="B500" t="str">
            <v>Maria Bellanira Correa</v>
          </cell>
          <cell r="C500">
            <v>43781067</v>
          </cell>
          <cell r="D500" t="str">
            <v xml:space="preserve">Alto del roble </v>
          </cell>
          <cell r="E500">
            <v>3147143350</v>
          </cell>
          <cell r="L500" t="str">
            <v>X</v>
          </cell>
          <cell r="S500" t="str">
            <v>banco agrario</v>
          </cell>
          <cell r="T500" t="e">
            <v>#N/A</v>
          </cell>
        </row>
        <row r="501">
          <cell r="A501">
            <v>32477933</v>
          </cell>
          <cell r="B501" t="str">
            <v>Ana Elda Puerta</v>
          </cell>
          <cell r="C501">
            <v>32477933</v>
          </cell>
          <cell r="D501" t="str">
            <v>Urbano</v>
          </cell>
          <cell r="E501">
            <v>3122290522</v>
          </cell>
          <cell r="K501" t="str">
            <v>x</v>
          </cell>
          <cell r="P501" t="str">
            <v>Versalles y el eden</v>
          </cell>
          <cell r="S501" t="e">
            <v>#N/A</v>
          </cell>
          <cell r="T501">
            <v>1</v>
          </cell>
        </row>
        <row r="502">
          <cell r="A502">
            <v>34311136</v>
          </cell>
          <cell r="B502" t="str">
            <v>ramon de jesus villa</v>
          </cell>
          <cell r="C502">
            <v>34311136</v>
          </cell>
          <cell r="D502" t="str">
            <v>mediacuesta</v>
          </cell>
          <cell r="E502">
            <v>3146806850</v>
          </cell>
          <cell r="L502" t="str">
            <v>x</v>
          </cell>
          <cell r="S502" t="e">
            <v>#N/A</v>
          </cell>
          <cell r="T502" t="e">
            <v>#N/A</v>
          </cell>
        </row>
        <row r="503">
          <cell r="A503">
            <v>34479868</v>
          </cell>
          <cell r="B503" t="str">
            <v>Elizabet Medina</v>
          </cell>
          <cell r="C503">
            <v>34479868</v>
          </cell>
          <cell r="D503" t="str">
            <v>Urbano</v>
          </cell>
          <cell r="E503">
            <v>3206473800</v>
          </cell>
          <cell r="P503" t="str">
            <v>Versalles y el eden</v>
          </cell>
          <cell r="S503" t="e">
            <v>#N/A</v>
          </cell>
          <cell r="T503" t="e">
            <v>#N/A</v>
          </cell>
        </row>
        <row r="504">
          <cell r="A504">
            <v>39301360</v>
          </cell>
          <cell r="B504" t="str">
            <v>Maria Olga David</v>
          </cell>
          <cell r="C504">
            <v>39301360</v>
          </cell>
          <cell r="D504" t="str">
            <v>La soledad</v>
          </cell>
          <cell r="E504">
            <v>3207589966</v>
          </cell>
          <cell r="L504" t="str">
            <v>x</v>
          </cell>
          <cell r="S504" t="e">
            <v>#N/A</v>
          </cell>
          <cell r="T504" t="e">
            <v>#N/A</v>
          </cell>
        </row>
        <row r="505">
          <cell r="A505">
            <v>39357823</v>
          </cell>
          <cell r="B505" t="str">
            <v>Luz dennis Oquendo Correa</v>
          </cell>
          <cell r="C505">
            <v>39357823</v>
          </cell>
          <cell r="D505" t="str">
            <v>Urbano</v>
          </cell>
          <cell r="E505">
            <v>3116466263</v>
          </cell>
          <cell r="P505" t="str">
            <v>Versalles y el eden</v>
          </cell>
          <cell r="S505" t="e">
            <v>#N/A</v>
          </cell>
          <cell r="T505" t="e">
            <v>#N/A</v>
          </cell>
        </row>
        <row r="506">
          <cell r="A506">
            <v>39402518</v>
          </cell>
          <cell r="B506" t="str">
            <v>Luz Amparo Puerta Moreno</v>
          </cell>
          <cell r="C506">
            <v>39402518</v>
          </cell>
          <cell r="D506" t="str">
            <v>Vereda el Rosal</v>
          </cell>
          <cell r="E506">
            <v>3147662321</v>
          </cell>
          <cell r="S506" t="e">
            <v>#N/A</v>
          </cell>
          <cell r="T506" t="e">
            <v>#N/A</v>
          </cell>
        </row>
        <row r="507">
          <cell r="A507">
            <v>39413058</v>
          </cell>
          <cell r="B507" t="str">
            <v xml:space="preserve">maria ligia restrepo valle </v>
          </cell>
          <cell r="C507">
            <v>39413058</v>
          </cell>
          <cell r="D507" t="str">
            <v>la eperanza</v>
          </cell>
          <cell r="E507">
            <v>3117750587</v>
          </cell>
          <cell r="L507" t="str">
            <v>x</v>
          </cell>
          <cell r="R507" t="str">
            <v>alcalde</v>
          </cell>
          <cell r="S507" t="e">
            <v>#N/A</v>
          </cell>
          <cell r="T507" t="e">
            <v>#N/A</v>
          </cell>
        </row>
        <row r="508">
          <cell r="A508">
            <v>39419635</v>
          </cell>
          <cell r="B508" t="str">
            <v>Anadelfa Bedoya</v>
          </cell>
          <cell r="C508">
            <v>39419635</v>
          </cell>
          <cell r="D508" t="str">
            <v>El canelito</v>
          </cell>
          <cell r="E508">
            <v>3215707324</v>
          </cell>
          <cell r="L508" t="str">
            <v>x</v>
          </cell>
          <cell r="S508" t="e">
            <v>#N/A</v>
          </cell>
          <cell r="T508" t="e">
            <v>#N/A</v>
          </cell>
        </row>
        <row r="509">
          <cell r="A509">
            <v>43036933</v>
          </cell>
          <cell r="B509" t="str">
            <v>Maria Mercedes Usuga Higuita</v>
          </cell>
          <cell r="C509">
            <v>43036933</v>
          </cell>
          <cell r="D509" t="str">
            <v>Vereda San Julian</v>
          </cell>
          <cell r="E509">
            <v>3187283107</v>
          </cell>
          <cell r="S509" t="e">
            <v>#N/A</v>
          </cell>
          <cell r="T509">
            <v>1</v>
          </cell>
        </row>
        <row r="510">
          <cell r="A510">
            <v>43086512</v>
          </cell>
          <cell r="B510" t="str">
            <v xml:space="preserve">Luz Marina Arboleda </v>
          </cell>
          <cell r="C510">
            <v>43086512</v>
          </cell>
          <cell r="D510" t="str">
            <v>Urbano</v>
          </cell>
          <cell r="E510">
            <v>3102675117</v>
          </cell>
          <cell r="P510" t="str">
            <v>Versalles y el eden</v>
          </cell>
          <cell r="S510" t="e">
            <v>#N/A</v>
          </cell>
          <cell r="T510">
            <v>1</v>
          </cell>
        </row>
        <row r="511">
          <cell r="A511">
            <v>43781371</v>
          </cell>
          <cell r="B511" t="str">
            <v xml:space="preserve">Aleida Maria Lopez </v>
          </cell>
          <cell r="C511">
            <v>43781371</v>
          </cell>
          <cell r="D511" t="str">
            <v xml:space="preserve">Alto del roble </v>
          </cell>
          <cell r="E511">
            <v>3122831187</v>
          </cell>
          <cell r="N511" t="str">
            <v>x</v>
          </cell>
          <cell r="S511" t="e">
            <v>#N/A</v>
          </cell>
          <cell r="T511" t="e">
            <v>#N/A</v>
          </cell>
        </row>
        <row r="512">
          <cell r="A512">
            <v>43781371</v>
          </cell>
          <cell r="B512" t="str">
            <v xml:space="preserve">Aleida Maria Lopez </v>
          </cell>
          <cell r="C512">
            <v>43781371</v>
          </cell>
          <cell r="D512" t="str">
            <v xml:space="preserve">Alto del roble </v>
          </cell>
          <cell r="E512">
            <v>3122831187</v>
          </cell>
          <cell r="N512" t="str">
            <v>x</v>
          </cell>
          <cell r="S512" t="e">
            <v>#N/A</v>
          </cell>
          <cell r="T512" t="e">
            <v>#N/A</v>
          </cell>
        </row>
        <row r="513">
          <cell r="A513">
            <v>43105157</v>
          </cell>
          <cell r="B513" t="str">
            <v>Maribel Guisao Diaz</v>
          </cell>
          <cell r="C513">
            <v>43105157</v>
          </cell>
          <cell r="D513" t="str">
            <v>Guadual</v>
          </cell>
          <cell r="E513">
            <v>3206613169</v>
          </cell>
          <cell r="K513" t="str">
            <v>x</v>
          </cell>
          <cell r="S513" t="e">
            <v>#N/A</v>
          </cell>
          <cell r="T513">
            <v>1</v>
          </cell>
        </row>
        <row r="514">
          <cell r="A514">
            <v>43415366</v>
          </cell>
          <cell r="B514" t="str">
            <v>Maria Ligia Jimenez</v>
          </cell>
          <cell r="C514">
            <v>43415366</v>
          </cell>
          <cell r="D514" t="str">
            <v>La Escalera</v>
          </cell>
          <cell r="G514" t="str">
            <v>x</v>
          </cell>
          <cell r="S514" t="e">
            <v>#N/A</v>
          </cell>
          <cell r="T514" t="e">
            <v>#N/A</v>
          </cell>
        </row>
        <row r="515">
          <cell r="A515">
            <v>43485404</v>
          </cell>
          <cell r="B515" t="str">
            <v>maria de los angeles castro borja</v>
          </cell>
          <cell r="C515">
            <v>43485404</v>
          </cell>
          <cell r="D515" t="str">
            <v>moroto</v>
          </cell>
          <cell r="E515">
            <v>3118921758</v>
          </cell>
          <cell r="L515" t="str">
            <v>x</v>
          </cell>
          <cell r="S515" t="e">
            <v>#N/A</v>
          </cell>
          <cell r="T515">
            <v>1</v>
          </cell>
        </row>
        <row r="516">
          <cell r="A516">
            <v>43781485</v>
          </cell>
          <cell r="B516" t="str">
            <v>Gloria Cesilia  Monroy Higuita</v>
          </cell>
          <cell r="C516">
            <v>43781485</v>
          </cell>
          <cell r="D516" t="str">
            <v>Botija Arriba</v>
          </cell>
          <cell r="Q516" t="str">
            <v>Visitar</v>
          </cell>
          <cell r="S516" t="e">
            <v>#N/A</v>
          </cell>
          <cell r="T516">
            <v>1</v>
          </cell>
        </row>
        <row r="517">
          <cell r="A517">
            <v>43485944</v>
          </cell>
          <cell r="B517" t="str">
            <v>Gloria Amparo Molina</v>
          </cell>
          <cell r="C517">
            <v>43485944</v>
          </cell>
          <cell r="D517" t="str">
            <v>Juntas de Uramita</v>
          </cell>
          <cell r="E517">
            <v>3146362795</v>
          </cell>
          <cell r="P517" t="str">
            <v>Juntas de Uramita</v>
          </cell>
          <cell r="S517" t="e">
            <v>#N/A</v>
          </cell>
          <cell r="T517" t="e">
            <v>#N/A</v>
          </cell>
        </row>
        <row r="518">
          <cell r="A518">
            <v>43503331</v>
          </cell>
          <cell r="B518" t="str">
            <v>doris del socorro sierra usuga</v>
          </cell>
          <cell r="C518">
            <v>43503331</v>
          </cell>
          <cell r="E518">
            <v>3117360669</v>
          </cell>
          <cell r="L518" t="str">
            <v>x</v>
          </cell>
          <cell r="S518" t="e">
            <v>#N/A</v>
          </cell>
          <cell r="T518">
            <v>1</v>
          </cell>
        </row>
        <row r="519">
          <cell r="A519">
            <v>43781627</v>
          </cell>
          <cell r="B519" t="str">
            <v>DEISY JOHANA  GUISAO</v>
          </cell>
          <cell r="C519">
            <v>43781627</v>
          </cell>
          <cell r="D519" t="str">
            <v>Urbano</v>
          </cell>
          <cell r="E519" t="str">
            <v>3214777900 - 3205296334</v>
          </cell>
          <cell r="G519" t="str">
            <v>X</v>
          </cell>
          <cell r="I519" t="str">
            <v>ESPOSO Y DOS HIJO</v>
          </cell>
          <cell r="N519" t="str">
            <v>x</v>
          </cell>
          <cell r="P519" t="str">
            <v>SAN MARTIN</v>
          </cell>
          <cell r="R519" t="str">
            <v>VICTIMA</v>
          </cell>
          <cell r="S519" t="e">
            <v>#N/A</v>
          </cell>
          <cell r="T519" t="e">
            <v>#N/A</v>
          </cell>
        </row>
        <row r="520">
          <cell r="A520">
            <v>43781633</v>
          </cell>
          <cell r="B520" t="str">
            <v>Orelsy Usuga Usuga</v>
          </cell>
          <cell r="C520">
            <v>43781633</v>
          </cell>
          <cell r="D520" t="str">
            <v>Caracolal</v>
          </cell>
          <cell r="O520" t="str">
            <v>X</v>
          </cell>
          <cell r="S520" t="e">
            <v>#N/A</v>
          </cell>
          <cell r="T520" t="e">
            <v>#N/A</v>
          </cell>
        </row>
        <row r="521">
          <cell r="A521">
            <v>43503797</v>
          </cell>
          <cell r="B521" t="str">
            <v>Miriam De Jesus Graciano Garces</v>
          </cell>
          <cell r="C521">
            <v>43503797</v>
          </cell>
          <cell r="D521" t="str">
            <v>La estrella</v>
          </cell>
          <cell r="E521">
            <v>3013848960</v>
          </cell>
          <cell r="K521" t="str">
            <v>x</v>
          </cell>
          <cell r="S521" t="e">
            <v>#N/A</v>
          </cell>
          <cell r="T521">
            <v>1</v>
          </cell>
        </row>
        <row r="522">
          <cell r="A522">
            <v>43508687</v>
          </cell>
          <cell r="B522" t="str">
            <v>norela del socorro hidalgo lujan</v>
          </cell>
          <cell r="C522">
            <v>43508687</v>
          </cell>
          <cell r="D522" t="str">
            <v>mediacuesta</v>
          </cell>
          <cell r="E522">
            <v>3127975894</v>
          </cell>
          <cell r="K522" t="str">
            <v>x</v>
          </cell>
          <cell r="S522" t="e">
            <v>#N/A</v>
          </cell>
          <cell r="T522" t="e">
            <v>#N/A</v>
          </cell>
        </row>
        <row r="523">
          <cell r="A523">
            <v>43540597</v>
          </cell>
          <cell r="B523" t="str">
            <v xml:space="preserve">Rosa Margarita Lopez Carvajal </v>
          </cell>
          <cell r="C523">
            <v>43540597</v>
          </cell>
          <cell r="D523" t="str">
            <v>El madero</v>
          </cell>
          <cell r="E523">
            <v>3135679548</v>
          </cell>
          <cell r="S523" t="e">
            <v>#N/A</v>
          </cell>
          <cell r="T523" t="e">
            <v>#N/A</v>
          </cell>
        </row>
        <row r="524">
          <cell r="A524">
            <v>43540597</v>
          </cell>
          <cell r="B524" t="str">
            <v>margarita lopez carvajal</v>
          </cell>
          <cell r="C524">
            <v>43540597</v>
          </cell>
          <cell r="D524" t="str">
            <v xml:space="preserve">el madero </v>
          </cell>
          <cell r="E524">
            <v>3136579548</v>
          </cell>
          <cell r="K524" t="str">
            <v>x</v>
          </cell>
          <cell r="S524" t="e">
            <v>#N/A</v>
          </cell>
          <cell r="T524" t="e">
            <v>#N/A</v>
          </cell>
        </row>
        <row r="525">
          <cell r="A525">
            <v>43781854</v>
          </cell>
          <cell r="B525" t="str">
            <v>Maria Consuelo Higuita Manco</v>
          </cell>
          <cell r="C525">
            <v>43781854</v>
          </cell>
          <cell r="D525" t="str">
            <v>La Soledad</v>
          </cell>
          <cell r="E525">
            <v>3134655707</v>
          </cell>
          <cell r="N525" t="str">
            <v>x</v>
          </cell>
          <cell r="S525" t="e">
            <v>#N/A</v>
          </cell>
          <cell r="T525" t="e">
            <v>#N/A</v>
          </cell>
        </row>
        <row r="526">
          <cell r="A526">
            <v>43546901</v>
          </cell>
          <cell r="B526" t="str">
            <v>Angela Vargas</v>
          </cell>
          <cell r="C526">
            <v>43546901</v>
          </cell>
          <cell r="D526" t="str">
            <v>El canelito</v>
          </cell>
          <cell r="E526">
            <v>3127853235</v>
          </cell>
          <cell r="K526" t="str">
            <v>x</v>
          </cell>
          <cell r="S526" t="e">
            <v>#N/A</v>
          </cell>
          <cell r="T526" t="e">
            <v>#N/A</v>
          </cell>
        </row>
        <row r="527">
          <cell r="A527">
            <v>43781883</v>
          </cell>
          <cell r="B527" t="str">
            <v>Berenice Quiroz</v>
          </cell>
          <cell r="C527">
            <v>43781883</v>
          </cell>
          <cell r="D527" t="str">
            <v>San Miguelito</v>
          </cell>
          <cell r="O527" t="str">
            <v>X</v>
          </cell>
          <cell r="S527" t="e">
            <v>#N/A</v>
          </cell>
          <cell r="T527" t="e">
            <v>#N/A</v>
          </cell>
        </row>
        <row r="528">
          <cell r="A528">
            <v>43572472</v>
          </cell>
          <cell r="B528" t="str">
            <v>Irene de socorro Cartagena Quintero</v>
          </cell>
          <cell r="C528">
            <v>43572472</v>
          </cell>
          <cell r="D528" t="str">
            <v>Urbano</v>
          </cell>
          <cell r="E528">
            <v>3185496427</v>
          </cell>
          <cell r="K528" t="str">
            <v>X</v>
          </cell>
          <cell r="S528" t="e">
            <v>#N/A</v>
          </cell>
          <cell r="T528">
            <v>1</v>
          </cell>
        </row>
        <row r="529">
          <cell r="A529">
            <v>43572472</v>
          </cell>
          <cell r="B529" t="str">
            <v>Irene del Socorro Cartagena Quintero</v>
          </cell>
          <cell r="C529">
            <v>43572472</v>
          </cell>
          <cell r="D529" t="str">
            <v>Urbano</v>
          </cell>
          <cell r="E529">
            <v>3136213992</v>
          </cell>
          <cell r="H529" t="str">
            <v>x</v>
          </cell>
          <cell r="I529" t="str">
            <v>Jefe del hogar e hijo</v>
          </cell>
          <cell r="K529" t="str">
            <v>x</v>
          </cell>
          <cell r="P529" t="str">
            <v>Barrio colinas de Miramar</v>
          </cell>
          <cell r="S529" t="e">
            <v>#N/A</v>
          </cell>
          <cell r="T529">
            <v>1</v>
          </cell>
        </row>
        <row r="530">
          <cell r="A530">
            <v>43780064</v>
          </cell>
          <cell r="B530" t="str">
            <v>Maria Yolanda Durango Burja</v>
          </cell>
          <cell r="C530">
            <v>43780064</v>
          </cell>
          <cell r="D530" t="str">
            <v>Ciriguan</v>
          </cell>
          <cell r="E530">
            <v>3116926365</v>
          </cell>
          <cell r="K530" t="str">
            <v>x</v>
          </cell>
          <cell r="S530" t="e">
            <v>#N/A</v>
          </cell>
          <cell r="T530" t="e">
            <v>#N/A</v>
          </cell>
        </row>
        <row r="531">
          <cell r="A531">
            <v>43781966</v>
          </cell>
          <cell r="B531" t="str">
            <v>Dignolly David Carmona</v>
          </cell>
          <cell r="C531">
            <v>43781966</v>
          </cell>
          <cell r="D531" t="str">
            <v>Loma de la alegria</v>
          </cell>
          <cell r="E531">
            <v>3147037307</v>
          </cell>
          <cell r="K531" t="str">
            <v>X</v>
          </cell>
          <cell r="S531" t="str">
            <v>banco agrario</v>
          </cell>
          <cell r="T531" t="e">
            <v>#N/A</v>
          </cell>
        </row>
        <row r="532">
          <cell r="A532">
            <v>43782036</v>
          </cell>
          <cell r="B532" t="str">
            <v>Dora Elena Manco Durango</v>
          </cell>
          <cell r="C532">
            <v>43782036</v>
          </cell>
          <cell r="D532" t="str">
            <v>Ciriguan</v>
          </cell>
          <cell r="E532">
            <v>3137238719</v>
          </cell>
          <cell r="O532" t="str">
            <v>X</v>
          </cell>
          <cell r="S532" t="e">
            <v>#N/A</v>
          </cell>
          <cell r="T532" t="e">
            <v>#N/A</v>
          </cell>
        </row>
        <row r="533">
          <cell r="A533">
            <v>43780101</v>
          </cell>
          <cell r="B533" t="str">
            <v>imelda zapata rodriguez</v>
          </cell>
          <cell r="C533">
            <v>43780101</v>
          </cell>
          <cell r="D533" t="str">
            <v>pernilla</v>
          </cell>
          <cell r="E533">
            <v>3148577755</v>
          </cell>
          <cell r="L533" t="str">
            <v>x</v>
          </cell>
          <cell r="S533" t="e">
            <v>#N/A</v>
          </cell>
          <cell r="T533" t="e">
            <v>#N/A</v>
          </cell>
        </row>
        <row r="534">
          <cell r="A534">
            <v>43780124</v>
          </cell>
          <cell r="B534" t="str">
            <v>Luz Euclia Garcia Higuita</v>
          </cell>
          <cell r="C534">
            <v>43780124</v>
          </cell>
          <cell r="D534" t="str">
            <v>Loma de la alegria</v>
          </cell>
          <cell r="E534">
            <v>3113140035</v>
          </cell>
          <cell r="L534" t="str">
            <v>X</v>
          </cell>
          <cell r="S534" t="e">
            <v>#N/A</v>
          </cell>
          <cell r="T534" t="e">
            <v>#N/A</v>
          </cell>
        </row>
        <row r="535">
          <cell r="A535">
            <v>43782118</v>
          </cell>
          <cell r="B535" t="str">
            <v xml:space="preserve">Maria Nohelia Arboleda Cartagena </v>
          </cell>
          <cell r="C535">
            <v>43782118</v>
          </cell>
          <cell r="D535" t="str">
            <v>Urbano</v>
          </cell>
          <cell r="E535">
            <v>3217228165</v>
          </cell>
          <cell r="K535" t="str">
            <v>x</v>
          </cell>
          <cell r="P535" t="str">
            <v>Versalles y el eden</v>
          </cell>
          <cell r="S535" t="str">
            <v>fondo nacional de vivienda</v>
          </cell>
          <cell r="T535">
            <v>1</v>
          </cell>
        </row>
        <row r="536">
          <cell r="A536">
            <v>1042707076</v>
          </cell>
          <cell r="B536" t="str">
            <v>Luis Alfredo Vahos Larrea</v>
          </cell>
          <cell r="C536">
            <v>1042707076</v>
          </cell>
          <cell r="D536" t="str">
            <v>Paso arriba</v>
          </cell>
          <cell r="E536">
            <v>3207551357</v>
          </cell>
          <cell r="L536" t="str">
            <v>x</v>
          </cell>
          <cell r="Q536" t="str">
            <v>SI</v>
          </cell>
          <cell r="R536" t="str">
            <v>PRESIDENTE</v>
          </cell>
          <cell r="S536" t="e">
            <v>#N/A</v>
          </cell>
          <cell r="T536" t="e">
            <v>#N/A</v>
          </cell>
        </row>
        <row r="537">
          <cell r="A537">
            <v>43782235</v>
          </cell>
          <cell r="B537" t="str">
            <v xml:space="preserve">Adriana Patricia Arango Moreno </v>
          </cell>
          <cell r="C537">
            <v>43782235</v>
          </cell>
          <cell r="D537" t="str">
            <v>Insor</v>
          </cell>
          <cell r="E537">
            <v>3107223896</v>
          </cell>
          <cell r="N537" t="str">
            <v>X</v>
          </cell>
          <cell r="S537" t="e">
            <v>#N/A</v>
          </cell>
          <cell r="T537" t="e">
            <v>#N/A</v>
          </cell>
        </row>
        <row r="538">
          <cell r="A538">
            <v>43780136</v>
          </cell>
          <cell r="B538" t="str">
            <v>MARGOTH HIGUITA ESCOBAR</v>
          </cell>
          <cell r="C538">
            <v>43780136</v>
          </cell>
          <cell r="D538" t="str">
            <v>CESTILLAL</v>
          </cell>
          <cell r="S538" t="e">
            <v>#N/A</v>
          </cell>
          <cell r="T538">
            <v>1</v>
          </cell>
        </row>
        <row r="539">
          <cell r="A539">
            <v>43780223</v>
          </cell>
          <cell r="B539" t="str">
            <v>Nely Arias</v>
          </cell>
          <cell r="C539">
            <v>43780223</v>
          </cell>
          <cell r="D539" t="str">
            <v>Urbano</v>
          </cell>
          <cell r="E539">
            <v>3136365294</v>
          </cell>
          <cell r="K539" t="str">
            <v>x</v>
          </cell>
          <cell r="P539" t="str">
            <v>Barrio los balsos</v>
          </cell>
          <cell r="S539" t="e">
            <v>#N/A</v>
          </cell>
          <cell r="T539" t="e">
            <v>#N/A</v>
          </cell>
        </row>
        <row r="540">
          <cell r="A540">
            <v>43780280</v>
          </cell>
          <cell r="B540" t="str">
            <v xml:space="preserve">lucelly  higuita david </v>
          </cell>
          <cell r="C540">
            <v>43780280</v>
          </cell>
          <cell r="D540" t="str">
            <v>la soledad</v>
          </cell>
          <cell r="E540">
            <v>3205355349</v>
          </cell>
          <cell r="Q540" t="str">
            <v xml:space="preserve">visitar </v>
          </cell>
          <cell r="S540" t="e">
            <v>#N/A</v>
          </cell>
          <cell r="T540" t="e">
            <v>#N/A</v>
          </cell>
        </row>
        <row r="541">
          <cell r="A541">
            <v>43780294</v>
          </cell>
          <cell r="B541" t="str">
            <v>Marta Usuga</v>
          </cell>
          <cell r="C541">
            <v>43780294</v>
          </cell>
          <cell r="D541" t="str">
            <v>Bellavista</v>
          </cell>
          <cell r="E541">
            <v>3218801317</v>
          </cell>
          <cell r="K541" t="str">
            <v>x</v>
          </cell>
          <cell r="S541" t="e">
            <v>#N/A</v>
          </cell>
          <cell r="T541">
            <v>1</v>
          </cell>
        </row>
        <row r="542">
          <cell r="A542">
            <v>43780294</v>
          </cell>
          <cell r="B542" t="str">
            <v>Marta Usuga</v>
          </cell>
          <cell r="C542">
            <v>43780294</v>
          </cell>
          <cell r="D542" t="str">
            <v>Bellavista</v>
          </cell>
          <cell r="E542">
            <v>3218801317</v>
          </cell>
          <cell r="K542" t="str">
            <v>x</v>
          </cell>
          <cell r="S542" t="e">
            <v>#N/A</v>
          </cell>
          <cell r="T542">
            <v>1</v>
          </cell>
        </row>
        <row r="543">
          <cell r="A543">
            <v>43780412</v>
          </cell>
          <cell r="B543" t="str">
            <v>MIRIAM USUGA</v>
          </cell>
          <cell r="C543">
            <v>43780412</v>
          </cell>
          <cell r="D543" t="str">
            <v>SANTO CRISTO</v>
          </cell>
          <cell r="S543" t="e">
            <v>#N/A</v>
          </cell>
          <cell r="T543" t="e">
            <v>#N/A</v>
          </cell>
        </row>
        <row r="544">
          <cell r="A544">
            <v>43780500</v>
          </cell>
          <cell r="B544" t="str">
            <v>Maria Eugenia Muñoz Durango</v>
          </cell>
          <cell r="C544">
            <v>43780500</v>
          </cell>
          <cell r="D544" t="str">
            <v>Urbano</v>
          </cell>
          <cell r="E544">
            <v>3215018959</v>
          </cell>
          <cell r="P544" t="str">
            <v>Versalles y el eden</v>
          </cell>
          <cell r="S544" t="e">
            <v>#N/A</v>
          </cell>
          <cell r="T544" t="e">
            <v>#N/A</v>
          </cell>
        </row>
        <row r="545">
          <cell r="A545">
            <v>43780501</v>
          </cell>
          <cell r="B545" t="str">
            <v>Rosa D318:D330Angelica Guzman Muñoz</v>
          </cell>
          <cell r="C545">
            <v>43780501</v>
          </cell>
          <cell r="D545" t="str">
            <v>Loma de la alegria</v>
          </cell>
          <cell r="E545">
            <v>3122527599</v>
          </cell>
          <cell r="K545" t="str">
            <v>X</v>
          </cell>
          <cell r="S545" t="e">
            <v>#N/A</v>
          </cell>
          <cell r="T545" t="e">
            <v>#N/A</v>
          </cell>
        </row>
        <row r="546">
          <cell r="A546">
            <v>43780622</v>
          </cell>
          <cell r="B546" t="str">
            <v>Edilma Duarte Villa</v>
          </cell>
          <cell r="C546">
            <v>43780622</v>
          </cell>
          <cell r="D546" t="str">
            <v>La Loma</v>
          </cell>
          <cell r="E546">
            <v>3116153081</v>
          </cell>
          <cell r="K546" t="str">
            <v>X</v>
          </cell>
          <cell r="S546" t="e">
            <v>#N/A</v>
          </cell>
          <cell r="T546" t="e">
            <v>#N/A</v>
          </cell>
        </row>
        <row r="547">
          <cell r="A547">
            <v>43780641</v>
          </cell>
          <cell r="B547" t="str">
            <v>ROSA MIRANDA</v>
          </cell>
          <cell r="C547">
            <v>43780641</v>
          </cell>
          <cell r="D547" t="str">
            <v>CUMBARRA</v>
          </cell>
          <cell r="S547" t="e">
            <v>#N/A</v>
          </cell>
          <cell r="T547" t="e">
            <v>#N/A</v>
          </cell>
        </row>
        <row r="548">
          <cell r="A548">
            <v>43816559</v>
          </cell>
          <cell r="B548" t="str">
            <v>Nely Estela Perez</v>
          </cell>
          <cell r="C548">
            <v>43816559</v>
          </cell>
          <cell r="D548" t="str">
            <v>Moroto</v>
          </cell>
          <cell r="E548">
            <v>3116943143</v>
          </cell>
          <cell r="N548" t="str">
            <v>X</v>
          </cell>
          <cell r="S548" t="e">
            <v>#N/A</v>
          </cell>
          <cell r="T548" t="e">
            <v>#N/A</v>
          </cell>
        </row>
        <row r="549">
          <cell r="A549">
            <v>43780641</v>
          </cell>
          <cell r="B549" t="str">
            <v>Rosa  Miranda</v>
          </cell>
          <cell r="C549">
            <v>43780641</v>
          </cell>
          <cell r="D549" t="str">
            <v>Vereda Cumbarra</v>
          </cell>
          <cell r="E549">
            <v>3216932180</v>
          </cell>
          <cell r="L549" t="str">
            <v>x</v>
          </cell>
          <cell r="P549" t="str">
            <v>Vereda Cumbarra</v>
          </cell>
          <cell r="S549" t="e">
            <v>#N/A</v>
          </cell>
          <cell r="T549" t="e">
            <v>#N/A</v>
          </cell>
        </row>
        <row r="550">
          <cell r="A550">
            <v>43835934</v>
          </cell>
          <cell r="B550" t="str">
            <v xml:space="preserve">Medry ospina mira </v>
          </cell>
          <cell r="C550">
            <v>43835934</v>
          </cell>
          <cell r="D550" t="str">
            <v>Juntas de uramita</v>
          </cell>
          <cell r="E550">
            <v>3137036279</v>
          </cell>
          <cell r="O550" t="str">
            <v>x</v>
          </cell>
          <cell r="S550" t="e">
            <v>#N/A</v>
          </cell>
          <cell r="T550" t="e">
            <v>#N/A</v>
          </cell>
        </row>
        <row r="551">
          <cell r="A551">
            <v>43835934</v>
          </cell>
          <cell r="B551" t="str">
            <v xml:space="preserve">Medry ospina mira </v>
          </cell>
          <cell r="C551">
            <v>43835934</v>
          </cell>
          <cell r="D551" t="str">
            <v>Juntas de uramita</v>
          </cell>
          <cell r="E551">
            <v>3137036279</v>
          </cell>
          <cell r="O551" t="str">
            <v>x</v>
          </cell>
          <cell r="S551" t="e">
            <v>#N/A</v>
          </cell>
          <cell r="T551" t="e">
            <v>#N/A</v>
          </cell>
        </row>
        <row r="552">
          <cell r="A552">
            <v>43850071</v>
          </cell>
          <cell r="B552" t="str">
            <v>Nora Libia Graciano</v>
          </cell>
          <cell r="C552">
            <v>43850071</v>
          </cell>
          <cell r="D552" t="str">
            <v>San jose</v>
          </cell>
          <cell r="E552">
            <v>3128336527</v>
          </cell>
          <cell r="O552" t="str">
            <v>X</v>
          </cell>
          <cell r="S552" t="e">
            <v>#N/A</v>
          </cell>
          <cell r="T552" t="e">
            <v>#N/A</v>
          </cell>
        </row>
        <row r="553">
          <cell r="A553">
            <v>43973433</v>
          </cell>
          <cell r="B553" t="str">
            <v xml:space="preserve">Claudia Esneida Morales Gutierrez </v>
          </cell>
          <cell r="C553">
            <v>43973433</v>
          </cell>
          <cell r="D553" t="str">
            <v>La lloroncita</v>
          </cell>
          <cell r="E553">
            <v>3105313036</v>
          </cell>
          <cell r="K553" t="str">
            <v>x</v>
          </cell>
          <cell r="S553" t="str">
            <v>banco agrario</v>
          </cell>
          <cell r="T553" t="e">
            <v>#N/A</v>
          </cell>
        </row>
        <row r="554">
          <cell r="A554">
            <v>43780687</v>
          </cell>
          <cell r="B554" t="str">
            <v>Miriam David Manco</v>
          </cell>
          <cell r="C554">
            <v>43780687</v>
          </cell>
          <cell r="D554" t="str">
            <v>La soledad</v>
          </cell>
          <cell r="E554">
            <v>3219816362</v>
          </cell>
          <cell r="K554" t="str">
            <v>x</v>
          </cell>
          <cell r="S554" t="e">
            <v>#N/A</v>
          </cell>
          <cell r="T554" t="e">
            <v>#N/A</v>
          </cell>
        </row>
        <row r="555">
          <cell r="A555">
            <v>43780798</v>
          </cell>
          <cell r="B555" t="str">
            <v>Gloria María Díaz agudelo</v>
          </cell>
          <cell r="C555">
            <v>43780798</v>
          </cell>
          <cell r="D555" t="str">
            <v>Chontaduro</v>
          </cell>
          <cell r="E555" t="str">
            <v>321 536 4838</v>
          </cell>
          <cell r="L555" t="str">
            <v>x</v>
          </cell>
          <cell r="S555" t="e">
            <v>#N/A</v>
          </cell>
          <cell r="T555">
            <v>0</v>
          </cell>
        </row>
        <row r="556">
          <cell r="A556">
            <v>43780813</v>
          </cell>
          <cell r="B556" t="str">
            <v>Maria del Rosario Correa Giraldo</v>
          </cell>
          <cell r="C556">
            <v>43780813</v>
          </cell>
          <cell r="D556" t="str">
            <v>La soledad</v>
          </cell>
          <cell r="E556">
            <v>3156138592</v>
          </cell>
          <cell r="K556" t="str">
            <v>x</v>
          </cell>
          <cell r="S556" t="e">
            <v>#N/A</v>
          </cell>
          <cell r="T556" t="e">
            <v>#N/A</v>
          </cell>
        </row>
        <row r="557">
          <cell r="A557">
            <v>43780813</v>
          </cell>
          <cell r="B557" t="str">
            <v xml:space="preserve">María del Rosario Correa Giraldo </v>
          </cell>
          <cell r="C557">
            <v>43780813</v>
          </cell>
          <cell r="D557" t="str">
            <v>La Soledad</v>
          </cell>
          <cell r="E557">
            <v>3137488522</v>
          </cell>
          <cell r="G557" t="str">
            <v>x</v>
          </cell>
          <cell r="L557" t="str">
            <v>x</v>
          </cell>
          <cell r="S557" t="e">
            <v>#N/A</v>
          </cell>
          <cell r="T557" t="e">
            <v>#N/A</v>
          </cell>
        </row>
        <row r="558">
          <cell r="A558">
            <v>70045430</v>
          </cell>
          <cell r="B558" t="str">
            <v>Arnold Guisao</v>
          </cell>
          <cell r="C558">
            <v>70045430</v>
          </cell>
          <cell r="D558" t="str">
            <v>Vereda Cumbarra</v>
          </cell>
          <cell r="E558">
            <v>3217933935</v>
          </cell>
          <cell r="N558" t="str">
            <v>x</v>
          </cell>
          <cell r="P558" t="str">
            <v>Vereda Cumbarra</v>
          </cell>
          <cell r="S558" t="e">
            <v>#N/A</v>
          </cell>
          <cell r="T558" t="e">
            <v>#N/A</v>
          </cell>
        </row>
        <row r="559">
          <cell r="A559">
            <v>70045430</v>
          </cell>
          <cell r="B559" t="str">
            <v>Arnold Guisao</v>
          </cell>
          <cell r="C559">
            <v>70045430</v>
          </cell>
          <cell r="D559" t="str">
            <v>Vereda Cumbarra</v>
          </cell>
          <cell r="E559">
            <v>3217933935</v>
          </cell>
          <cell r="N559" t="str">
            <v>x</v>
          </cell>
          <cell r="P559" t="str">
            <v>Vereda Cumbarra</v>
          </cell>
          <cell r="S559" t="e">
            <v>#N/A</v>
          </cell>
          <cell r="T559" t="e">
            <v>#N/A</v>
          </cell>
        </row>
        <row r="560">
          <cell r="A560">
            <v>70092399</v>
          </cell>
          <cell r="B560" t="str">
            <v>Hernan De Jesus Velasquez</v>
          </cell>
          <cell r="C560">
            <v>70092399</v>
          </cell>
          <cell r="E560">
            <v>3122590943</v>
          </cell>
          <cell r="O560" t="str">
            <v>X</v>
          </cell>
          <cell r="S560" t="e">
            <v>#N/A</v>
          </cell>
          <cell r="T560">
            <v>0</v>
          </cell>
        </row>
        <row r="561">
          <cell r="A561">
            <v>70106981</v>
          </cell>
          <cell r="B561" t="str">
            <v>ERNESTO DE JESUS URIBE RIOS</v>
          </cell>
          <cell r="C561">
            <v>70106981</v>
          </cell>
          <cell r="D561" t="str">
            <v>Los Naranjos</v>
          </cell>
          <cell r="E561">
            <v>3104195615</v>
          </cell>
          <cell r="H561" t="str">
            <v>x</v>
          </cell>
          <cell r="I561" t="str">
            <v>Esposa y un nieto</v>
          </cell>
          <cell r="L561" t="str">
            <v>x</v>
          </cell>
          <cell r="P561" t="str">
            <v>Cerca de la caseta</v>
          </cell>
          <cell r="Q561" t="str">
            <v>visitar</v>
          </cell>
          <cell r="R561" t="str">
            <v>Julieta</v>
          </cell>
          <cell r="S561" t="e">
            <v>#N/A</v>
          </cell>
          <cell r="T561">
            <v>1</v>
          </cell>
        </row>
        <row r="562">
          <cell r="A562">
            <v>43780813</v>
          </cell>
          <cell r="B562" t="str">
            <v xml:space="preserve">María del Rosario Correa Giraldo </v>
          </cell>
          <cell r="C562">
            <v>43780813</v>
          </cell>
          <cell r="D562" t="str">
            <v>La Soledad</v>
          </cell>
          <cell r="E562">
            <v>3137488522</v>
          </cell>
          <cell r="G562" t="str">
            <v>x</v>
          </cell>
          <cell r="L562" t="str">
            <v>x</v>
          </cell>
          <cell r="S562" t="e">
            <v>#N/A</v>
          </cell>
          <cell r="T562" t="e">
            <v>#N/A</v>
          </cell>
        </row>
        <row r="563">
          <cell r="A563">
            <v>70430057</v>
          </cell>
          <cell r="B563" t="str">
            <v xml:space="preserve">Luis Alberto Correa Giraldo </v>
          </cell>
          <cell r="C563">
            <v>70430057</v>
          </cell>
          <cell r="D563" t="str">
            <v>La Soledad</v>
          </cell>
          <cell r="E563">
            <v>3105922275</v>
          </cell>
          <cell r="G563" t="str">
            <v>x</v>
          </cell>
          <cell r="O563" t="str">
            <v>x</v>
          </cell>
          <cell r="S563" t="e">
            <v>#N/A</v>
          </cell>
          <cell r="T563" t="e">
            <v>#N/A</v>
          </cell>
        </row>
        <row r="564">
          <cell r="A564">
            <v>70430057</v>
          </cell>
          <cell r="B564" t="str">
            <v xml:space="preserve">Luis Alberto Correa Giraldo </v>
          </cell>
          <cell r="C564">
            <v>70430057</v>
          </cell>
          <cell r="D564" t="str">
            <v>La Soledad</v>
          </cell>
          <cell r="E564">
            <v>3105922275</v>
          </cell>
          <cell r="G564" t="str">
            <v>x</v>
          </cell>
          <cell r="O564" t="str">
            <v>x</v>
          </cell>
          <cell r="S564" t="e">
            <v>#N/A</v>
          </cell>
          <cell r="T564" t="e">
            <v>#N/A</v>
          </cell>
        </row>
        <row r="565">
          <cell r="A565">
            <v>43780849</v>
          </cell>
          <cell r="B565" t="str">
            <v xml:space="preserve">maria elsa sanchez hernandez </v>
          </cell>
          <cell r="C565">
            <v>43780849</v>
          </cell>
          <cell r="D565" t="str">
            <v xml:space="preserve">el madero </v>
          </cell>
          <cell r="E565">
            <v>3205218629</v>
          </cell>
          <cell r="K565" t="str">
            <v>x</v>
          </cell>
          <cell r="S565" t="e">
            <v>#N/A</v>
          </cell>
          <cell r="T565" t="e">
            <v>#N/A</v>
          </cell>
        </row>
        <row r="566">
          <cell r="A566">
            <v>43780908</v>
          </cell>
          <cell r="B566" t="str">
            <v>Maria concepcion  Higuita Carmona</v>
          </cell>
          <cell r="C566">
            <v>43780908</v>
          </cell>
          <cell r="D566" t="str">
            <v>Alto del roble</v>
          </cell>
          <cell r="S566" t="e">
            <v>#N/A</v>
          </cell>
          <cell r="T566">
            <v>1</v>
          </cell>
        </row>
        <row r="567">
          <cell r="A567">
            <v>43780952</v>
          </cell>
          <cell r="B567" t="str">
            <v>Luz Elena Torres David</v>
          </cell>
          <cell r="C567">
            <v>43780952</v>
          </cell>
          <cell r="D567" t="str">
            <v>Macanal</v>
          </cell>
          <cell r="Q567" t="str">
            <v>FOGON ECOLOGICO</v>
          </cell>
          <cell r="R567" t="str">
            <v>PRESIDENTE</v>
          </cell>
          <cell r="S567" t="e">
            <v>#N/A</v>
          </cell>
          <cell r="T567" t="e">
            <v>#N/A</v>
          </cell>
        </row>
        <row r="568">
          <cell r="A568">
            <v>70430209</v>
          </cell>
          <cell r="B568" t="str">
            <v>Omar de Jesus Guisao Jimenez</v>
          </cell>
          <cell r="C568">
            <v>70430209</v>
          </cell>
          <cell r="D568" t="str">
            <v>Guadual</v>
          </cell>
          <cell r="E568">
            <v>3216864176</v>
          </cell>
          <cell r="N568" t="str">
            <v>x</v>
          </cell>
          <cell r="S568" t="e">
            <v>#N/A</v>
          </cell>
          <cell r="T568" t="e">
            <v>#N/A</v>
          </cell>
        </row>
        <row r="569">
          <cell r="A569">
            <v>70430344</v>
          </cell>
          <cell r="B569" t="str">
            <v>HUMBERTO CARRILLO ESCOBAR</v>
          </cell>
          <cell r="C569">
            <v>70430344</v>
          </cell>
          <cell r="D569" t="str">
            <v>CESTILLAL</v>
          </cell>
          <cell r="S569" t="str">
            <v xml:space="preserve">inurbe </v>
          </cell>
          <cell r="T569">
            <v>1</v>
          </cell>
        </row>
        <row r="570">
          <cell r="A570">
            <v>70430385</v>
          </cell>
          <cell r="B570" t="str">
            <v>Luis Alberto Guzman Suarez</v>
          </cell>
          <cell r="C570">
            <v>70430385</v>
          </cell>
          <cell r="D570" t="str">
            <v>Pernilla</v>
          </cell>
          <cell r="N570" t="str">
            <v>X</v>
          </cell>
          <cell r="S570" t="e">
            <v>#N/A</v>
          </cell>
          <cell r="T570">
            <v>1</v>
          </cell>
        </row>
        <row r="571">
          <cell r="A571">
            <v>70430404</v>
          </cell>
          <cell r="B571" t="str">
            <v xml:space="preserve">carlos antonio  usuga usuga </v>
          </cell>
          <cell r="C571">
            <v>70430404</v>
          </cell>
          <cell r="D571" t="str">
            <v xml:space="preserve">los naranjos </v>
          </cell>
          <cell r="E571">
            <v>3147883171</v>
          </cell>
          <cell r="Q571" t="str">
            <v xml:space="preserve">visitar </v>
          </cell>
          <cell r="S571" t="str">
            <v xml:space="preserve">inurbe </v>
          </cell>
          <cell r="T571">
            <v>1</v>
          </cell>
        </row>
        <row r="572">
          <cell r="A572">
            <v>70430444</v>
          </cell>
          <cell r="B572" t="str">
            <v>Hernando de Jesús usuga</v>
          </cell>
          <cell r="C572">
            <v>70430444</v>
          </cell>
          <cell r="D572" t="str">
            <v>La Soledad</v>
          </cell>
          <cell r="E572">
            <v>3137488522</v>
          </cell>
          <cell r="G572" t="str">
            <v>x</v>
          </cell>
          <cell r="O572" t="str">
            <v>x</v>
          </cell>
          <cell r="S572" t="e">
            <v>#N/A</v>
          </cell>
          <cell r="T572">
            <v>0</v>
          </cell>
        </row>
        <row r="573">
          <cell r="A573">
            <v>70430444</v>
          </cell>
          <cell r="B573" t="str">
            <v>Hernando de Jesús usuga</v>
          </cell>
          <cell r="C573">
            <v>70430444</v>
          </cell>
          <cell r="D573" t="str">
            <v>La Soledad</v>
          </cell>
          <cell r="E573">
            <v>3137488522</v>
          </cell>
          <cell r="G573" t="str">
            <v>x</v>
          </cell>
          <cell r="O573" t="str">
            <v>x</v>
          </cell>
          <cell r="S573" t="e">
            <v>#N/A</v>
          </cell>
          <cell r="T573">
            <v>0</v>
          </cell>
        </row>
        <row r="574">
          <cell r="A574">
            <v>70430467</v>
          </cell>
          <cell r="B574" t="str">
            <v>WILLIAM OQUENDO LOPEZ</v>
          </cell>
          <cell r="C574">
            <v>70430467</v>
          </cell>
          <cell r="D574" t="str">
            <v>BOTIJA ARRIBA</v>
          </cell>
          <cell r="S574" t="e">
            <v>#N/A</v>
          </cell>
          <cell r="T574">
            <v>1</v>
          </cell>
        </row>
        <row r="575">
          <cell r="A575">
            <v>70430519</v>
          </cell>
          <cell r="B575" t="str">
            <v>Luis Antonio Tangarife David</v>
          </cell>
          <cell r="C575">
            <v>70430519</v>
          </cell>
          <cell r="D575" t="str">
            <v>La soledad</v>
          </cell>
          <cell r="E575">
            <v>3147817728</v>
          </cell>
          <cell r="L575" t="str">
            <v>x</v>
          </cell>
          <cell r="S575" t="e">
            <v>#N/A</v>
          </cell>
          <cell r="T575">
            <v>1</v>
          </cell>
        </row>
        <row r="576">
          <cell r="A576">
            <v>70430519</v>
          </cell>
          <cell r="B576" t="str">
            <v xml:space="preserve">Luis Antonio tangarife David </v>
          </cell>
          <cell r="C576">
            <v>70430519</v>
          </cell>
          <cell r="D576" t="str">
            <v>La Soledad</v>
          </cell>
          <cell r="E576">
            <v>3141827728</v>
          </cell>
          <cell r="G576" t="str">
            <v>x</v>
          </cell>
          <cell r="L576" t="str">
            <v>x</v>
          </cell>
          <cell r="S576" t="e">
            <v>#N/A</v>
          </cell>
          <cell r="T576">
            <v>1</v>
          </cell>
        </row>
        <row r="577">
          <cell r="A577">
            <v>70430519</v>
          </cell>
          <cell r="B577" t="str">
            <v xml:space="preserve">Luis Antonio tangarife David </v>
          </cell>
          <cell r="C577">
            <v>70430519</v>
          </cell>
          <cell r="D577" t="str">
            <v>La Soledad</v>
          </cell>
          <cell r="E577">
            <v>3141827728</v>
          </cell>
          <cell r="G577" t="str">
            <v>x</v>
          </cell>
          <cell r="L577" t="str">
            <v>x</v>
          </cell>
          <cell r="S577" t="e">
            <v>#N/A</v>
          </cell>
          <cell r="T577">
            <v>1</v>
          </cell>
        </row>
        <row r="578">
          <cell r="A578">
            <v>43781001</v>
          </cell>
          <cell r="B578" t="str">
            <v>Maira Eugenia GARCES USUGA</v>
          </cell>
          <cell r="C578">
            <v>43781001</v>
          </cell>
          <cell r="D578" t="str">
            <v>Los Naranjos</v>
          </cell>
          <cell r="E578">
            <v>3137298429</v>
          </cell>
          <cell r="S578" t="e">
            <v>#N/A</v>
          </cell>
          <cell r="T578">
            <v>1</v>
          </cell>
        </row>
        <row r="579">
          <cell r="A579">
            <v>70430657</v>
          </cell>
          <cell r="B579" t="str">
            <v>Leonel Ospina</v>
          </cell>
          <cell r="C579">
            <v>70430657</v>
          </cell>
          <cell r="D579" t="str">
            <v>El Canelito</v>
          </cell>
          <cell r="E579">
            <v>3146777719</v>
          </cell>
          <cell r="O579" t="str">
            <v>X</v>
          </cell>
          <cell r="S579" t="e">
            <v>#N/A</v>
          </cell>
          <cell r="T579" t="e">
            <v>#N/A</v>
          </cell>
        </row>
        <row r="580">
          <cell r="A580">
            <v>43781007</v>
          </cell>
          <cell r="B580" t="str">
            <v>Marivel GARCES USUGA</v>
          </cell>
          <cell r="C580">
            <v>43781007</v>
          </cell>
          <cell r="D580" t="str">
            <v>Los Naranjos</v>
          </cell>
          <cell r="E580">
            <v>3135784650</v>
          </cell>
          <cell r="G580" t="str">
            <v>x</v>
          </cell>
          <cell r="I580" t="str">
            <v>Ella, 4 Hijos</v>
          </cell>
          <cell r="K580" t="str">
            <v>x</v>
          </cell>
          <cell r="P580" t="str">
            <v>Arrba de la caseta</v>
          </cell>
          <cell r="Q580" t="str">
            <v>Visitar</v>
          </cell>
          <cell r="R580" t="str">
            <v>Julieta</v>
          </cell>
          <cell r="S580" t="e">
            <v>#N/A</v>
          </cell>
          <cell r="T580">
            <v>1</v>
          </cell>
        </row>
        <row r="581">
          <cell r="A581">
            <v>43781025</v>
          </cell>
          <cell r="B581" t="str">
            <v>Nora del Socorro Zapata Serna</v>
          </cell>
          <cell r="C581">
            <v>43781025</v>
          </cell>
          <cell r="D581" t="str">
            <v>La llorona</v>
          </cell>
          <cell r="E581">
            <v>3137397461</v>
          </cell>
          <cell r="K581" t="str">
            <v>x</v>
          </cell>
          <cell r="R581" t="str">
            <v>Alcalde</v>
          </cell>
          <cell r="S581" t="e">
            <v>#N/A</v>
          </cell>
          <cell r="T581" t="e">
            <v>#N/A</v>
          </cell>
        </row>
        <row r="582">
          <cell r="A582">
            <v>70430866</v>
          </cell>
          <cell r="B582" t="str">
            <v>Luis Angel  Usuga</v>
          </cell>
          <cell r="C582">
            <v>70430866</v>
          </cell>
          <cell r="D582" t="str">
            <v>La soledad</v>
          </cell>
          <cell r="E582">
            <v>3104444450</v>
          </cell>
          <cell r="K582" t="str">
            <v>x</v>
          </cell>
          <cell r="S582" t="e">
            <v>#N/A</v>
          </cell>
          <cell r="T582">
            <v>0</v>
          </cell>
        </row>
        <row r="583">
          <cell r="A583">
            <v>70430866</v>
          </cell>
          <cell r="B583" t="str">
            <v xml:space="preserve">Luis Ángel usuga </v>
          </cell>
          <cell r="C583">
            <v>70430866</v>
          </cell>
          <cell r="D583" t="str">
            <v>La Soledad</v>
          </cell>
          <cell r="E583">
            <v>3104444450</v>
          </cell>
          <cell r="G583" t="str">
            <v>x</v>
          </cell>
          <cell r="L583" t="str">
            <v>x</v>
          </cell>
          <cell r="S583" t="e">
            <v>#N/A</v>
          </cell>
          <cell r="T583">
            <v>0</v>
          </cell>
        </row>
        <row r="584">
          <cell r="A584">
            <v>70430866</v>
          </cell>
          <cell r="B584" t="str">
            <v xml:space="preserve">Luis Ángel usuga </v>
          </cell>
          <cell r="C584">
            <v>70430866</v>
          </cell>
          <cell r="D584" t="str">
            <v>La Soledad</v>
          </cell>
          <cell r="E584">
            <v>3104444450</v>
          </cell>
          <cell r="G584" t="str">
            <v>x</v>
          </cell>
          <cell r="L584" t="str">
            <v>x</v>
          </cell>
          <cell r="S584" t="e">
            <v>#N/A</v>
          </cell>
          <cell r="T584">
            <v>0</v>
          </cell>
        </row>
        <row r="585">
          <cell r="A585">
            <v>70430929</v>
          </cell>
          <cell r="B585" t="str">
            <v>Oscar Dario Tuberquia Usuga</v>
          </cell>
          <cell r="C585">
            <v>70430929</v>
          </cell>
          <cell r="D585" t="str">
            <v>Rubicon</v>
          </cell>
          <cell r="L585" t="str">
            <v>x</v>
          </cell>
          <cell r="S585" t="str">
            <v>banco agrario</v>
          </cell>
          <cell r="T585">
            <v>1</v>
          </cell>
        </row>
        <row r="586">
          <cell r="A586">
            <v>43781082</v>
          </cell>
          <cell r="B586" t="str">
            <v>Laura Rosa Zapata</v>
          </cell>
          <cell r="C586">
            <v>43781082</v>
          </cell>
          <cell r="D586" t="str">
            <v>Bellavista</v>
          </cell>
          <cell r="E586">
            <v>3205421213</v>
          </cell>
          <cell r="K586" t="str">
            <v>x</v>
          </cell>
          <cell r="S586" t="e">
            <v>#N/A</v>
          </cell>
          <cell r="T586" t="e">
            <v>#N/A</v>
          </cell>
        </row>
        <row r="587">
          <cell r="A587">
            <v>43781082</v>
          </cell>
          <cell r="B587" t="str">
            <v>Franquelina Valenciana</v>
          </cell>
          <cell r="C587">
            <v>43781082</v>
          </cell>
          <cell r="D587" t="str">
            <v>Bellavista</v>
          </cell>
          <cell r="E587">
            <v>3128065872</v>
          </cell>
          <cell r="K587" t="str">
            <v>x</v>
          </cell>
          <cell r="S587" t="e">
            <v>#N/A</v>
          </cell>
          <cell r="T587" t="e">
            <v>#N/A</v>
          </cell>
        </row>
        <row r="588">
          <cell r="A588">
            <v>43781082</v>
          </cell>
          <cell r="B588" t="str">
            <v>Laura Rosa Zapata</v>
          </cell>
          <cell r="C588">
            <v>43781082</v>
          </cell>
          <cell r="D588" t="str">
            <v>Bellavista</v>
          </cell>
          <cell r="E588">
            <v>3205421213</v>
          </cell>
          <cell r="K588" t="str">
            <v>x</v>
          </cell>
          <cell r="S588" t="e">
            <v>#N/A</v>
          </cell>
          <cell r="T588" t="e">
            <v>#N/A</v>
          </cell>
        </row>
        <row r="589">
          <cell r="A589">
            <v>70431272</v>
          </cell>
          <cell r="B589" t="str">
            <v>Orlando Rueda</v>
          </cell>
          <cell r="C589">
            <v>70431272</v>
          </cell>
          <cell r="D589" t="str">
            <v>Vereda Cumbarra</v>
          </cell>
          <cell r="E589">
            <v>3218704083</v>
          </cell>
          <cell r="O589" t="str">
            <v>x</v>
          </cell>
          <cell r="P589" t="str">
            <v>Vereda Cumbarra</v>
          </cell>
          <cell r="S589" t="e">
            <v>#N/A</v>
          </cell>
          <cell r="T589" t="e">
            <v>#N/A</v>
          </cell>
        </row>
        <row r="590">
          <cell r="A590">
            <v>70431272</v>
          </cell>
          <cell r="B590" t="str">
            <v>Orlando Rueda</v>
          </cell>
          <cell r="C590">
            <v>70431272</v>
          </cell>
          <cell r="D590" t="str">
            <v>Vereda Cumbarra</v>
          </cell>
          <cell r="E590">
            <v>3218704083</v>
          </cell>
          <cell r="O590" t="str">
            <v>x</v>
          </cell>
          <cell r="P590" t="str">
            <v>Vereda Cumbarra</v>
          </cell>
          <cell r="S590" t="e">
            <v>#N/A</v>
          </cell>
          <cell r="T590" t="e">
            <v>#N/A</v>
          </cell>
        </row>
        <row r="591">
          <cell r="A591">
            <v>43781082</v>
          </cell>
          <cell r="B591" t="str">
            <v>Franquelina Valenciana</v>
          </cell>
          <cell r="C591">
            <v>43781082</v>
          </cell>
          <cell r="D591" t="str">
            <v>Bellavista</v>
          </cell>
          <cell r="E591">
            <v>3128065872</v>
          </cell>
          <cell r="K591" t="str">
            <v>x</v>
          </cell>
          <cell r="S591" t="e">
            <v>#N/A</v>
          </cell>
          <cell r="T591" t="e">
            <v>#N/A</v>
          </cell>
        </row>
        <row r="592">
          <cell r="A592">
            <v>70431372</v>
          </cell>
          <cell r="B592" t="str">
            <v>Antonio Jose Higuita Castañeda</v>
          </cell>
          <cell r="C592">
            <v>70431372</v>
          </cell>
          <cell r="D592" t="str">
            <v>Urbano</v>
          </cell>
          <cell r="E592">
            <v>3127159187</v>
          </cell>
          <cell r="L592" t="str">
            <v>x</v>
          </cell>
          <cell r="P592" t="str">
            <v>Imantago</v>
          </cell>
          <cell r="S592" t="str">
            <v xml:space="preserve">inurbe </v>
          </cell>
          <cell r="T592" t="e">
            <v>#N/A</v>
          </cell>
        </row>
        <row r="593">
          <cell r="A593">
            <v>1035304979</v>
          </cell>
          <cell r="B593" t="str">
            <v>Maria Damaris Florez Correa</v>
          </cell>
          <cell r="C593">
            <v>1035304979</v>
          </cell>
          <cell r="D593" t="str">
            <v>Paso Arriba</v>
          </cell>
          <cell r="E593">
            <v>3128420423</v>
          </cell>
          <cell r="O593" t="str">
            <v>X</v>
          </cell>
          <cell r="Q593" t="str">
            <v>NO PERTENECE A LA JUNTA</v>
          </cell>
          <cell r="S593" t="e">
            <v>#N/A</v>
          </cell>
          <cell r="T593" t="e">
            <v>#N/A</v>
          </cell>
        </row>
        <row r="594">
          <cell r="A594">
            <v>43781098</v>
          </cell>
          <cell r="B594" t="str">
            <v>NUBIA GOMEZ</v>
          </cell>
          <cell r="C594">
            <v>43781098</v>
          </cell>
          <cell r="D594" t="str">
            <v>SAN MIGUEL</v>
          </cell>
          <cell r="S594" t="e">
            <v>#N/A</v>
          </cell>
          <cell r="T594" t="e">
            <v>#N/A</v>
          </cell>
        </row>
        <row r="595">
          <cell r="A595">
            <v>70431616</v>
          </cell>
          <cell r="B595" t="str">
            <v>Israel  Bran Carmona</v>
          </cell>
          <cell r="C595">
            <v>70431616</v>
          </cell>
          <cell r="D595" t="str">
            <v>Vededa la Esperanza</v>
          </cell>
          <cell r="E595">
            <v>3127673722</v>
          </cell>
          <cell r="L595" t="str">
            <v>x</v>
          </cell>
          <cell r="P595" t="str">
            <v>Vededa la Esperanza</v>
          </cell>
          <cell r="S595" t="e">
            <v>#N/A</v>
          </cell>
          <cell r="T595">
            <v>0</v>
          </cell>
        </row>
        <row r="596">
          <cell r="A596">
            <v>43781188</v>
          </cell>
          <cell r="B596" t="str">
            <v>Nidia  Manco</v>
          </cell>
          <cell r="C596">
            <v>43781188</v>
          </cell>
          <cell r="D596" t="str">
            <v>Urbano</v>
          </cell>
          <cell r="E596">
            <v>3105368916</v>
          </cell>
          <cell r="P596" t="str">
            <v>Barrio los balsos</v>
          </cell>
          <cell r="S596" t="e">
            <v>#N/A</v>
          </cell>
          <cell r="T596" t="e">
            <v>#N/A</v>
          </cell>
        </row>
        <row r="597">
          <cell r="A597">
            <v>70431653</v>
          </cell>
          <cell r="B597" t="str">
            <v>Luis Angel  Monroy Higuita</v>
          </cell>
          <cell r="C597">
            <v>70431653</v>
          </cell>
          <cell r="D597" t="str">
            <v>Botija Arriba</v>
          </cell>
          <cell r="Q597" t="str">
            <v>Visitar</v>
          </cell>
          <cell r="S597" t="e">
            <v>#N/A</v>
          </cell>
          <cell r="T597">
            <v>1</v>
          </cell>
        </row>
        <row r="598">
          <cell r="A598">
            <v>43781247</v>
          </cell>
          <cell r="B598" t="str">
            <v>Maria celmira Sanchez Hernandez</v>
          </cell>
          <cell r="C598">
            <v>43781247</v>
          </cell>
          <cell r="D598" t="str">
            <v>El madero</v>
          </cell>
          <cell r="E598">
            <v>3172921686</v>
          </cell>
          <cell r="S598" t="e">
            <v>#N/A</v>
          </cell>
          <cell r="T598" t="e">
            <v>#N/A</v>
          </cell>
        </row>
        <row r="599">
          <cell r="A599">
            <v>43781271</v>
          </cell>
          <cell r="B599" t="str">
            <v xml:space="preserve">marta lucia durango posada </v>
          </cell>
          <cell r="C599">
            <v>43781271</v>
          </cell>
          <cell r="D599" t="str">
            <v>cordoncillal</v>
          </cell>
          <cell r="E599">
            <v>3126595963</v>
          </cell>
          <cell r="L599" t="str">
            <v>x</v>
          </cell>
          <cell r="S599" t="e">
            <v>#N/A</v>
          </cell>
          <cell r="T599" t="e">
            <v>#N/A</v>
          </cell>
        </row>
        <row r="600">
          <cell r="A600">
            <v>70431778</v>
          </cell>
          <cell r="B600" t="str">
            <v xml:space="preserve">Jose de los Santos Correa Guzman </v>
          </cell>
          <cell r="C600">
            <v>70431778</v>
          </cell>
          <cell r="D600" t="str">
            <v>San Luis del Café</v>
          </cell>
          <cell r="E600">
            <v>3506169704</v>
          </cell>
          <cell r="N600" t="str">
            <v>X</v>
          </cell>
          <cell r="S600" t="e">
            <v>#N/A</v>
          </cell>
          <cell r="T600" t="e">
            <v>#N/A</v>
          </cell>
        </row>
        <row r="601">
          <cell r="A601">
            <v>43781313</v>
          </cell>
          <cell r="B601" t="str">
            <v>alba Nidia usuga usuga</v>
          </cell>
          <cell r="C601">
            <v>43781313</v>
          </cell>
          <cell r="D601" t="str">
            <v>La Aldea</v>
          </cell>
          <cell r="E601" t="str">
            <v>318 434 1703</v>
          </cell>
          <cell r="S601" t="e">
            <v>#N/A</v>
          </cell>
          <cell r="T601" t="e">
            <v>#N/A</v>
          </cell>
        </row>
        <row r="602">
          <cell r="A602">
            <v>43781350</v>
          </cell>
          <cell r="B602" t="str">
            <v>ANGELA GARCIA</v>
          </cell>
          <cell r="C602">
            <v>43781350</v>
          </cell>
          <cell r="D602" t="str">
            <v>CUMBARRA</v>
          </cell>
          <cell r="S602" t="e">
            <v>#N/A</v>
          </cell>
          <cell r="T602" t="e">
            <v>#N/A</v>
          </cell>
        </row>
        <row r="603">
          <cell r="A603">
            <v>70432033</v>
          </cell>
          <cell r="B603" t="str">
            <v>ANTONIO LOAIZA</v>
          </cell>
          <cell r="C603">
            <v>70432033</v>
          </cell>
          <cell r="D603" t="str">
            <v>LA AGUADA</v>
          </cell>
          <cell r="S603" t="e">
            <v>#N/A</v>
          </cell>
          <cell r="T603">
            <v>0</v>
          </cell>
        </row>
        <row r="604">
          <cell r="A604">
            <v>43781350</v>
          </cell>
          <cell r="B604" t="str">
            <v>Angela  Garcia</v>
          </cell>
          <cell r="C604">
            <v>43781350</v>
          </cell>
          <cell r="D604" t="str">
            <v>Vereda Cumbarra</v>
          </cell>
          <cell r="E604">
            <v>3213959941</v>
          </cell>
          <cell r="L604" t="str">
            <v>x</v>
          </cell>
          <cell r="P604" t="str">
            <v>Vereda Cumbarra</v>
          </cell>
          <cell r="S604" t="e">
            <v>#N/A</v>
          </cell>
          <cell r="T604" t="e">
            <v>#N/A</v>
          </cell>
        </row>
        <row r="605">
          <cell r="A605">
            <v>70432140</v>
          </cell>
          <cell r="B605" t="str">
            <v>Libardo Antonio Jimenez Higuita</v>
          </cell>
          <cell r="C605">
            <v>70432140</v>
          </cell>
          <cell r="D605" t="str">
            <v>Rubicon</v>
          </cell>
          <cell r="L605" t="str">
            <v>x</v>
          </cell>
          <cell r="S605" t="e">
            <v>#N/A</v>
          </cell>
          <cell r="T605">
            <v>1</v>
          </cell>
        </row>
        <row r="606">
          <cell r="A606">
            <v>70432144</v>
          </cell>
          <cell r="B606" t="str">
            <v>Gustavo Castaño Garcia</v>
          </cell>
          <cell r="C606">
            <v>70432144</v>
          </cell>
          <cell r="D606" t="str">
            <v>San Jose</v>
          </cell>
          <cell r="E606">
            <v>3114001862</v>
          </cell>
          <cell r="N606" t="str">
            <v>x</v>
          </cell>
          <cell r="S606" t="e">
            <v>#N/A</v>
          </cell>
          <cell r="T606">
            <v>0</v>
          </cell>
        </row>
        <row r="607">
          <cell r="A607">
            <v>43781366</v>
          </cell>
          <cell r="B607" t="str">
            <v>Fany del Socorro Campo Campo</v>
          </cell>
          <cell r="C607">
            <v>43781366</v>
          </cell>
          <cell r="D607" t="str">
            <v>Insor</v>
          </cell>
          <cell r="G607" t="str">
            <v>x</v>
          </cell>
          <cell r="L607" t="str">
            <v>x</v>
          </cell>
          <cell r="S607" t="e">
            <v>#N/A</v>
          </cell>
          <cell r="T607">
            <v>1</v>
          </cell>
        </row>
        <row r="608">
          <cell r="A608">
            <v>43781368</v>
          </cell>
          <cell r="B608" t="str">
            <v>CIELO DAVID</v>
          </cell>
          <cell r="C608">
            <v>43781368</v>
          </cell>
          <cell r="D608" t="str">
            <v>SAN MIGUEL</v>
          </cell>
          <cell r="S608" t="e">
            <v>#N/A</v>
          </cell>
          <cell r="T608" t="e">
            <v>#N/A</v>
          </cell>
        </row>
        <row r="609">
          <cell r="A609">
            <v>43781412</v>
          </cell>
          <cell r="B609" t="str">
            <v>siomara del socorro lopez</v>
          </cell>
          <cell r="C609">
            <v>43781412</v>
          </cell>
          <cell r="D609" t="str">
            <v>mediacuesta</v>
          </cell>
          <cell r="E609">
            <v>3118320998</v>
          </cell>
          <cell r="L609" t="str">
            <v>x</v>
          </cell>
          <cell r="S609" t="e">
            <v>#N/A</v>
          </cell>
          <cell r="T609" t="e">
            <v>#N/A</v>
          </cell>
        </row>
        <row r="610">
          <cell r="A610">
            <v>43781431</v>
          </cell>
          <cell r="B610" t="str">
            <v>OLGA ELENA ARIAS MANCO</v>
          </cell>
          <cell r="C610">
            <v>43781431</v>
          </cell>
          <cell r="D610" t="str">
            <v>CASCO URBANO</v>
          </cell>
          <cell r="E610">
            <v>3105453730</v>
          </cell>
          <cell r="G610" t="str">
            <v>x</v>
          </cell>
          <cell r="I610" t="str">
            <v>HIJA Y ELLA</v>
          </cell>
          <cell r="P610" t="str">
            <v>Fatima-reten</v>
          </cell>
          <cell r="Q610" t="str">
            <v>Visitar</v>
          </cell>
          <cell r="S610" t="e">
            <v>#N/A</v>
          </cell>
          <cell r="T610" t="e">
            <v>#N/A</v>
          </cell>
        </row>
        <row r="611">
          <cell r="A611">
            <v>70432369</v>
          </cell>
          <cell r="B611" t="str">
            <v xml:space="preserve">Jose Gabriel Manco Marin </v>
          </cell>
          <cell r="C611">
            <v>70432369</v>
          </cell>
          <cell r="D611" t="str">
            <v>La cusuti</v>
          </cell>
          <cell r="E611">
            <v>3146808140</v>
          </cell>
          <cell r="N611" t="str">
            <v>X</v>
          </cell>
          <cell r="S611" t="e">
            <v>#N/A</v>
          </cell>
          <cell r="T611" t="e">
            <v>#N/A</v>
          </cell>
        </row>
        <row r="612">
          <cell r="A612">
            <v>70432408</v>
          </cell>
          <cell r="B612" t="str">
            <v>Hector Ivan Loaiza Aguirre</v>
          </cell>
          <cell r="C612">
            <v>70432408</v>
          </cell>
          <cell r="D612" t="str">
            <v>Loma de la alegria</v>
          </cell>
          <cell r="E612">
            <v>3128372929</v>
          </cell>
          <cell r="N612" t="str">
            <v>x</v>
          </cell>
          <cell r="S612" t="e">
            <v>#N/A</v>
          </cell>
          <cell r="T612" t="e">
            <v>#N/A</v>
          </cell>
        </row>
        <row r="613">
          <cell r="A613">
            <v>70432408</v>
          </cell>
          <cell r="B613" t="str">
            <v>Hector Ivan Loaiza Aguirre</v>
          </cell>
          <cell r="C613">
            <v>70432408</v>
          </cell>
          <cell r="D613" t="str">
            <v>Loma de la alegria</v>
          </cell>
          <cell r="E613">
            <v>3128372929</v>
          </cell>
          <cell r="N613" t="str">
            <v>x</v>
          </cell>
          <cell r="S613" t="e">
            <v>#N/A</v>
          </cell>
          <cell r="T613" t="e">
            <v>#N/A</v>
          </cell>
        </row>
        <row r="614">
          <cell r="A614">
            <v>43781467</v>
          </cell>
          <cell r="B614" t="str">
            <v>OLGA BERENICE MANCO BEDOYA</v>
          </cell>
          <cell r="C614">
            <v>43781467</v>
          </cell>
          <cell r="D614" t="str">
            <v>San Luis del cafe</v>
          </cell>
          <cell r="E614">
            <v>3205666537</v>
          </cell>
          <cell r="Q614" t="str">
            <v>Visitar</v>
          </cell>
          <cell r="R614" t="str">
            <v>Julieta</v>
          </cell>
          <cell r="S614" t="e">
            <v>#N/A</v>
          </cell>
          <cell r="T614" t="e">
            <v>#N/A</v>
          </cell>
        </row>
        <row r="615">
          <cell r="A615">
            <v>70432531</v>
          </cell>
          <cell r="B615" t="str">
            <v>Jesus Arnulfo Duarte Villa</v>
          </cell>
          <cell r="C615">
            <v>70432531</v>
          </cell>
          <cell r="D615" t="str">
            <v>Bellavista</v>
          </cell>
          <cell r="E615">
            <v>3137354809</v>
          </cell>
          <cell r="N615" t="str">
            <v>x</v>
          </cell>
          <cell r="S615" t="e">
            <v>#N/A</v>
          </cell>
          <cell r="T615" t="e">
            <v>#N/A</v>
          </cell>
        </row>
        <row r="616">
          <cell r="A616">
            <v>70432531</v>
          </cell>
          <cell r="B616" t="str">
            <v>Jesus Arnulfo Duarte Villa</v>
          </cell>
          <cell r="C616">
            <v>70432531</v>
          </cell>
          <cell r="D616" t="str">
            <v>Bellavista</v>
          </cell>
          <cell r="E616">
            <v>3137354809</v>
          </cell>
          <cell r="N616" t="str">
            <v>x</v>
          </cell>
          <cell r="S616" t="e">
            <v>#N/A</v>
          </cell>
          <cell r="T616" t="e">
            <v>#N/A</v>
          </cell>
        </row>
        <row r="617">
          <cell r="A617">
            <v>70432577</v>
          </cell>
          <cell r="B617" t="str">
            <v xml:space="preserve">Jose Albeiro Puerta Durango </v>
          </cell>
          <cell r="C617">
            <v>70432577</v>
          </cell>
          <cell r="D617" t="str">
            <v>La cusuti</v>
          </cell>
          <cell r="E617">
            <v>3114344071</v>
          </cell>
          <cell r="O617" t="str">
            <v>X</v>
          </cell>
          <cell r="S617" t="e">
            <v>#N/A</v>
          </cell>
          <cell r="T617" t="e">
            <v>#N/A</v>
          </cell>
        </row>
        <row r="618">
          <cell r="A618">
            <v>43781551</v>
          </cell>
          <cell r="B618" t="str">
            <v>Maria Luz Mari Builes montoya</v>
          </cell>
          <cell r="C618">
            <v>43781551</v>
          </cell>
          <cell r="D618" t="str">
            <v>Macanal</v>
          </cell>
          <cell r="E618">
            <v>3146206422</v>
          </cell>
          <cell r="K618" t="str">
            <v>x</v>
          </cell>
          <cell r="R618" t="str">
            <v>PRESIDENTE</v>
          </cell>
          <cell r="S618" t="e">
            <v>#N/A</v>
          </cell>
          <cell r="T618" t="e">
            <v>#N/A</v>
          </cell>
        </row>
        <row r="619">
          <cell r="A619">
            <v>43781577</v>
          </cell>
          <cell r="B619" t="str">
            <v>gladis elena Vargas</v>
          </cell>
          <cell r="C619">
            <v>43781577</v>
          </cell>
          <cell r="D619" t="str">
            <v>Guayabal</v>
          </cell>
          <cell r="S619" t="e">
            <v>#N/A</v>
          </cell>
          <cell r="T619" t="e">
            <v>#N/A</v>
          </cell>
        </row>
        <row r="620">
          <cell r="A620">
            <v>70432878</v>
          </cell>
          <cell r="B620" t="str">
            <v>Jorge Alirio Uran</v>
          </cell>
          <cell r="C620">
            <v>70432878</v>
          </cell>
          <cell r="D620" t="str">
            <v>La lloroncita</v>
          </cell>
          <cell r="E620">
            <v>3204469507</v>
          </cell>
          <cell r="F620" t="str">
            <v>x</v>
          </cell>
          <cell r="G620" t="str">
            <v>x</v>
          </cell>
          <cell r="I620" t="str">
            <v>Esposa y dos hijas</v>
          </cell>
          <cell r="K620" t="str">
            <v>x</v>
          </cell>
          <cell r="S620" t="str">
            <v>banco agrario</v>
          </cell>
          <cell r="T620" t="e">
            <v>#N/A</v>
          </cell>
        </row>
        <row r="621">
          <cell r="A621">
            <v>70432993</v>
          </cell>
          <cell r="B621" t="str">
            <v>Oscar Humberto Solis Castañeda</v>
          </cell>
          <cell r="C621">
            <v>70432993</v>
          </cell>
          <cell r="D621" t="str">
            <v>Loma de la alegria</v>
          </cell>
          <cell r="E621">
            <v>3138288908</v>
          </cell>
          <cell r="N621" t="str">
            <v>x</v>
          </cell>
          <cell r="S621" t="e">
            <v>#N/A</v>
          </cell>
          <cell r="T621" t="e">
            <v>#N/A</v>
          </cell>
        </row>
        <row r="622">
          <cell r="A622">
            <v>70432993</v>
          </cell>
          <cell r="B622" t="str">
            <v>Oscar Humberto Solis Castañeda</v>
          </cell>
          <cell r="C622">
            <v>70432993</v>
          </cell>
          <cell r="D622" t="str">
            <v>Loma de la alegria</v>
          </cell>
          <cell r="E622">
            <v>3138288908</v>
          </cell>
          <cell r="N622" t="str">
            <v>x</v>
          </cell>
          <cell r="S622" t="e">
            <v>#N/A</v>
          </cell>
          <cell r="T622" t="e">
            <v>#N/A</v>
          </cell>
        </row>
        <row r="623">
          <cell r="A623">
            <v>43781647</v>
          </cell>
          <cell r="B623" t="str">
            <v>Luz Mery  David Escobar</v>
          </cell>
          <cell r="C623">
            <v>43781647</v>
          </cell>
          <cell r="D623" t="str">
            <v>La Quiebra</v>
          </cell>
          <cell r="L623" t="str">
            <v>x</v>
          </cell>
          <cell r="S623" t="e">
            <v>#N/A</v>
          </cell>
          <cell r="T623" t="e">
            <v>#N/A</v>
          </cell>
        </row>
        <row r="624">
          <cell r="A624">
            <v>43781673</v>
          </cell>
          <cell r="B624" t="str">
            <v>Flor dely Goez Goez</v>
          </cell>
          <cell r="C624">
            <v>43781673</v>
          </cell>
          <cell r="D624" t="str">
            <v>Guayabal</v>
          </cell>
          <cell r="S624" t="e">
            <v>#N/A</v>
          </cell>
          <cell r="T624" t="e">
            <v>#N/A</v>
          </cell>
        </row>
        <row r="625">
          <cell r="A625">
            <v>43781781</v>
          </cell>
          <cell r="B625" t="str">
            <v>Monica Andrea Correa Vega</v>
          </cell>
          <cell r="C625">
            <v>43781781</v>
          </cell>
          <cell r="D625" t="str">
            <v>Urbano</v>
          </cell>
          <cell r="E625">
            <v>3233725614</v>
          </cell>
          <cell r="P625" t="str">
            <v>Versalles y el eden</v>
          </cell>
          <cell r="S625" t="e">
            <v>#N/A</v>
          </cell>
          <cell r="T625" t="e">
            <v>#N/A</v>
          </cell>
        </row>
        <row r="626">
          <cell r="A626">
            <v>43781791</v>
          </cell>
          <cell r="B626" t="str">
            <v>Leonis Enidia Goez Durango</v>
          </cell>
          <cell r="C626">
            <v>43781791</v>
          </cell>
          <cell r="D626" t="str">
            <v>Chuza</v>
          </cell>
          <cell r="E626" t="str">
            <v>3207645058-3118472892</v>
          </cell>
          <cell r="F626" t="str">
            <v>x</v>
          </cell>
          <cell r="S626" t="e">
            <v>#N/A</v>
          </cell>
          <cell r="T626" t="e">
            <v>#N/A</v>
          </cell>
        </row>
        <row r="627">
          <cell r="A627">
            <v>43781829</v>
          </cell>
          <cell r="B627" t="str">
            <v>MARINA CASTAÑO ESCOBAR</v>
          </cell>
          <cell r="C627">
            <v>43781829</v>
          </cell>
          <cell r="D627" t="str">
            <v>SAN MIGUEL</v>
          </cell>
          <cell r="S627" t="e">
            <v>#N/A</v>
          </cell>
          <cell r="T627" t="e">
            <v>#N/A</v>
          </cell>
        </row>
        <row r="628">
          <cell r="A628">
            <v>43781879</v>
          </cell>
          <cell r="B628" t="str">
            <v>ROSA DAVID</v>
          </cell>
          <cell r="C628">
            <v>43781879</v>
          </cell>
          <cell r="D628" t="str">
            <v>SAN MIGUEL</v>
          </cell>
          <cell r="S628" t="e">
            <v>#N/A</v>
          </cell>
          <cell r="T628" t="e">
            <v>#N/A</v>
          </cell>
        </row>
        <row r="629">
          <cell r="A629">
            <v>43781935</v>
          </cell>
          <cell r="B629" t="str">
            <v>Girlesa Tangarife Cano</v>
          </cell>
          <cell r="C629">
            <v>43781935</v>
          </cell>
          <cell r="D629" t="str">
            <v>La Soledad</v>
          </cell>
          <cell r="E629">
            <v>3108482956</v>
          </cell>
          <cell r="G629" t="str">
            <v>X</v>
          </cell>
          <cell r="L629" t="str">
            <v>X</v>
          </cell>
          <cell r="S629" t="e">
            <v>#N/A</v>
          </cell>
          <cell r="T629" t="e">
            <v>#N/A</v>
          </cell>
        </row>
        <row r="630">
          <cell r="A630">
            <v>43781935</v>
          </cell>
          <cell r="B630" t="str">
            <v>Girlesa Tangarife Cano</v>
          </cell>
          <cell r="C630">
            <v>43781935</v>
          </cell>
          <cell r="D630" t="str">
            <v>La Soledad</v>
          </cell>
          <cell r="E630">
            <v>3108482956</v>
          </cell>
          <cell r="G630" t="str">
            <v>X</v>
          </cell>
          <cell r="L630" t="str">
            <v>X</v>
          </cell>
          <cell r="S630" t="e">
            <v>#N/A</v>
          </cell>
          <cell r="T630" t="e">
            <v>#N/A</v>
          </cell>
        </row>
        <row r="631">
          <cell r="A631">
            <v>43781939</v>
          </cell>
          <cell r="B631" t="str">
            <v xml:space="preserve">margarita maria correa alcaraz </v>
          </cell>
          <cell r="C631">
            <v>43781939</v>
          </cell>
          <cell r="D631" t="str">
            <v>el canelo</v>
          </cell>
          <cell r="E631">
            <v>3217260689</v>
          </cell>
          <cell r="L631" t="str">
            <v>x</v>
          </cell>
          <cell r="S631" t="e">
            <v>#N/A</v>
          </cell>
          <cell r="T631" t="e">
            <v>#N/A</v>
          </cell>
        </row>
        <row r="632">
          <cell r="A632">
            <v>43781990</v>
          </cell>
          <cell r="B632" t="str">
            <v>omaira Patricia rueda</v>
          </cell>
          <cell r="C632">
            <v>43781990</v>
          </cell>
          <cell r="D632" t="str">
            <v>El Retiro</v>
          </cell>
          <cell r="E632" t="str">
            <v>312 641 1135</v>
          </cell>
          <cell r="K632" t="str">
            <v>x</v>
          </cell>
          <cell r="S632" t="e">
            <v>#N/A</v>
          </cell>
          <cell r="T632" t="e">
            <v>#N/A</v>
          </cell>
        </row>
        <row r="633">
          <cell r="A633">
            <v>70433525</v>
          </cell>
          <cell r="B633" t="str">
            <v>Alonso Bran Jimenes</v>
          </cell>
          <cell r="C633">
            <v>70433525</v>
          </cell>
          <cell r="D633" t="str">
            <v>El canelito</v>
          </cell>
          <cell r="E633">
            <v>3135798481</v>
          </cell>
          <cell r="N633" t="str">
            <v>x</v>
          </cell>
          <cell r="S633" t="e">
            <v>#N/A</v>
          </cell>
          <cell r="T633" t="e">
            <v>#N/A</v>
          </cell>
        </row>
        <row r="634">
          <cell r="A634">
            <v>43782008</v>
          </cell>
          <cell r="B634" t="str">
            <v>Dorian úsuga</v>
          </cell>
          <cell r="C634">
            <v>43782008</v>
          </cell>
          <cell r="D634" t="str">
            <v>San Luis del Cafe</v>
          </cell>
          <cell r="E634" t="str">
            <v>315 212 6322</v>
          </cell>
          <cell r="K634" t="str">
            <v>x</v>
          </cell>
          <cell r="S634" t="e">
            <v>#N/A</v>
          </cell>
          <cell r="T634" t="e">
            <v>#N/A</v>
          </cell>
        </row>
        <row r="635">
          <cell r="A635">
            <v>70433558</v>
          </cell>
          <cell r="B635" t="str">
            <v>Benur Henao Serna</v>
          </cell>
          <cell r="C635">
            <v>70433558</v>
          </cell>
          <cell r="D635" t="str">
            <v>Guadual</v>
          </cell>
          <cell r="E635">
            <v>3217643847</v>
          </cell>
          <cell r="O635" t="str">
            <v>X</v>
          </cell>
          <cell r="S635" t="e">
            <v>#N/A</v>
          </cell>
          <cell r="T635" t="e">
            <v>#N/A</v>
          </cell>
        </row>
        <row r="636">
          <cell r="A636">
            <v>70433696</v>
          </cell>
          <cell r="B636" t="str">
            <v>Hernan de Jesus Garcia Suarez</v>
          </cell>
          <cell r="C636">
            <v>70433696</v>
          </cell>
          <cell r="D636" t="str">
            <v>Ciriguan</v>
          </cell>
          <cell r="E636">
            <v>3113405674</v>
          </cell>
          <cell r="N636" t="str">
            <v>x</v>
          </cell>
          <cell r="S636" t="e">
            <v>#N/A</v>
          </cell>
          <cell r="T636">
            <v>0</v>
          </cell>
        </row>
        <row r="637">
          <cell r="A637">
            <v>43782040</v>
          </cell>
          <cell r="B637" t="str">
            <v>Ana Lucero Gomez Cortes</v>
          </cell>
          <cell r="C637">
            <v>43782040</v>
          </cell>
          <cell r="D637" t="str">
            <v>Macanal</v>
          </cell>
          <cell r="E637">
            <v>3146490113</v>
          </cell>
          <cell r="G637" t="str">
            <v>x</v>
          </cell>
          <cell r="L637" t="str">
            <v>x</v>
          </cell>
          <cell r="P637" t="str">
            <v>Macanal</v>
          </cell>
          <cell r="Q637" t="str">
            <v>Visitar</v>
          </cell>
          <cell r="R637" t="str">
            <v>Visitar</v>
          </cell>
          <cell r="S637" t="e">
            <v>#N/A</v>
          </cell>
          <cell r="T637" t="e">
            <v>#N/A</v>
          </cell>
        </row>
        <row r="638">
          <cell r="A638">
            <v>43782062</v>
          </cell>
          <cell r="B638" t="str">
            <v>carmen soraida bedoya urrego</v>
          </cell>
          <cell r="C638">
            <v>43782062</v>
          </cell>
          <cell r="D638" t="str">
            <v>canelito</v>
          </cell>
          <cell r="E638">
            <v>3142320116</v>
          </cell>
          <cell r="K638" t="str">
            <v>x</v>
          </cell>
          <cell r="S638" t="e">
            <v>#N/A</v>
          </cell>
          <cell r="T638" t="e">
            <v>#N/A</v>
          </cell>
        </row>
        <row r="639">
          <cell r="A639">
            <v>43782113</v>
          </cell>
          <cell r="B639" t="str">
            <v>Adriana Patricia Usuga Tuberquia</v>
          </cell>
          <cell r="C639">
            <v>43782113</v>
          </cell>
          <cell r="D639" t="str">
            <v>Rubicon</v>
          </cell>
          <cell r="E639">
            <v>3133567115</v>
          </cell>
          <cell r="L639" t="str">
            <v>x</v>
          </cell>
          <cell r="S639" t="e">
            <v>#N/A</v>
          </cell>
          <cell r="T639" t="e">
            <v>#N/A</v>
          </cell>
        </row>
        <row r="640">
          <cell r="A640">
            <v>70433914</v>
          </cell>
          <cell r="B640" t="str">
            <v>Ramiro  Montoya Puerta</v>
          </cell>
          <cell r="C640">
            <v>70433914</v>
          </cell>
          <cell r="D640" t="str">
            <v>San Jose</v>
          </cell>
          <cell r="N640" t="str">
            <v>x</v>
          </cell>
          <cell r="S640" t="e">
            <v>#N/A</v>
          </cell>
          <cell r="T640" t="e">
            <v>#N/A</v>
          </cell>
        </row>
        <row r="641">
          <cell r="A641">
            <v>43782332</v>
          </cell>
          <cell r="B641" t="str">
            <v>Patricia Elena Rodriguez</v>
          </cell>
          <cell r="C641">
            <v>43782332</v>
          </cell>
          <cell r="D641" t="str">
            <v>La soledad</v>
          </cell>
          <cell r="E641">
            <v>3214993135</v>
          </cell>
          <cell r="L641" t="str">
            <v>x</v>
          </cell>
          <cell r="Q641" t="str">
            <v>Zona en alto riesgo</v>
          </cell>
          <cell r="S641" t="e">
            <v>#N/A</v>
          </cell>
          <cell r="T641">
            <v>1</v>
          </cell>
        </row>
        <row r="642">
          <cell r="A642">
            <v>43782332</v>
          </cell>
          <cell r="B642" t="str">
            <v xml:space="preserve">Patricia Elena Rodríguez </v>
          </cell>
          <cell r="C642">
            <v>43782332</v>
          </cell>
          <cell r="D642" t="str">
            <v>La Soledad</v>
          </cell>
          <cell r="E642">
            <v>3106304261</v>
          </cell>
          <cell r="G642" t="str">
            <v>x</v>
          </cell>
          <cell r="L642" t="str">
            <v>x</v>
          </cell>
          <cell r="S642" t="e">
            <v>#N/A</v>
          </cell>
          <cell r="T642">
            <v>1</v>
          </cell>
        </row>
        <row r="643">
          <cell r="A643">
            <v>43782332</v>
          </cell>
          <cell r="B643" t="str">
            <v xml:space="preserve">Patricia Elena Rodríguez </v>
          </cell>
          <cell r="C643">
            <v>43782332</v>
          </cell>
          <cell r="D643" t="str">
            <v>La Soledad</v>
          </cell>
          <cell r="E643">
            <v>3106304261</v>
          </cell>
          <cell r="G643" t="str">
            <v>x</v>
          </cell>
          <cell r="L643" t="str">
            <v>x</v>
          </cell>
          <cell r="S643" t="e">
            <v>#N/A</v>
          </cell>
          <cell r="T643">
            <v>1</v>
          </cell>
        </row>
        <row r="644">
          <cell r="A644">
            <v>43782349</v>
          </cell>
          <cell r="B644" t="str">
            <v>Gladis  Campo</v>
          </cell>
          <cell r="C644">
            <v>43782349</v>
          </cell>
          <cell r="D644" t="str">
            <v>San Miguelito</v>
          </cell>
          <cell r="S644" t="e">
            <v>#N/A</v>
          </cell>
          <cell r="T644" t="e">
            <v>#N/A</v>
          </cell>
        </row>
        <row r="645">
          <cell r="A645">
            <v>43782402</v>
          </cell>
          <cell r="B645" t="str">
            <v>Diana Patricia Manco</v>
          </cell>
          <cell r="C645">
            <v>43782402</v>
          </cell>
          <cell r="D645" t="str">
            <v>Insor</v>
          </cell>
          <cell r="E645">
            <v>3186330317</v>
          </cell>
          <cell r="L645" t="str">
            <v>x</v>
          </cell>
          <cell r="S645" t="e">
            <v>#N/A</v>
          </cell>
          <cell r="T645">
            <v>1</v>
          </cell>
        </row>
        <row r="646">
          <cell r="A646">
            <v>43782556</v>
          </cell>
          <cell r="B646" t="str">
            <v>ANGELA MARIA MANCO RUEDA</v>
          </cell>
          <cell r="C646">
            <v>43782556</v>
          </cell>
          <cell r="D646" t="str">
            <v>Chontaduro</v>
          </cell>
          <cell r="E646">
            <v>3217710241</v>
          </cell>
          <cell r="G646" t="str">
            <v>x</v>
          </cell>
          <cell r="I646" t="str">
            <v>Ella, hermano y madre</v>
          </cell>
          <cell r="P646" t="str">
            <v>Parte alta, por donde william mas arriba de la escuela</v>
          </cell>
          <cell r="Q646" t="str">
            <v>Visitar</v>
          </cell>
          <cell r="R646" t="str">
            <v>Julieta</v>
          </cell>
          <cell r="S646" t="e">
            <v>#N/A</v>
          </cell>
          <cell r="T646" t="e">
            <v>#N/A</v>
          </cell>
        </row>
        <row r="647">
          <cell r="A647">
            <v>43782571</v>
          </cell>
          <cell r="B647" t="str">
            <v>Marta Elena Higuita Correa</v>
          </cell>
          <cell r="C647">
            <v>43782571</v>
          </cell>
          <cell r="D647" t="str">
            <v xml:space="preserve">Alto del roble </v>
          </cell>
          <cell r="E647">
            <v>3127451977</v>
          </cell>
          <cell r="S647" t="e">
            <v>#N/A</v>
          </cell>
          <cell r="T647" t="e">
            <v>#N/A</v>
          </cell>
        </row>
        <row r="648">
          <cell r="A648">
            <v>70434386</v>
          </cell>
          <cell r="B648" t="str">
            <v>Rafael Angel David Quiroz</v>
          </cell>
          <cell r="C648">
            <v>70434386</v>
          </cell>
          <cell r="D648" t="str">
            <v>La Curva</v>
          </cell>
          <cell r="E648" t="str">
            <v>3122271244 - 3233701096</v>
          </cell>
          <cell r="O648" t="str">
            <v>X</v>
          </cell>
          <cell r="S648" t="e">
            <v>#N/A</v>
          </cell>
          <cell r="T648">
            <v>1</v>
          </cell>
        </row>
        <row r="649">
          <cell r="A649">
            <v>70434418</v>
          </cell>
          <cell r="B649" t="str">
            <v>Beatriz Rodriguez</v>
          </cell>
          <cell r="C649">
            <v>70434418</v>
          </cell>
          <cell r="D649" t="str">
            <v>San Miguelito</v>
          </cell>
          <cell r="O649" t="str">
            <v>X</v>
          </cell>
          <cell r="S649" t="e">
            <v>#N/A</v>
          </cell>
          <cell r="T649">
            <v>1</v>
          </cell>
        </row>
        <row r="650">
          <cell r="A650">
            <v>70434496</v>
          </cell>
          <cell r="B650" t="str">
            <v>Javier valderrama</v>
          </cell>
          <cell r="C650">
            <v>70434496</v>
          </cell>
          <cell r="D650" t="str">
            <v>Vereda Chupadero</v>
          </cell>
          <cell r="P650" t="str">
            <v>Vereda Chupadero</v>
          </cell>
          <cell r="S650" t="str">
            <v>banco agrario</v>
          </cell>
          <cell r="T650">
            <v>0</v>
          </cell>
        </row>
        <row r="651">
          <cell r="A651">
            <v>43782619</v>
          </cell>
          <cell r="B651" t="str">
            <v>Cristina Yaneth Usuga Higuita</v>
          </cell>
          <cell r="C651">
            <v>43782619</v>
          </cell>
          <cell r="D651" t="str">
            <v>Rubicon</v>
          </cell>
          <cell r="L651" t="str">
            <v>x</v>
          </cell>
          <cell r="S651" t="e">
            <v>#N/A</v>
          </cell>
          <cell r="T651" t="e">
            <v>#N/A</v>
          </cell>
        </row>
        <row r="652">
          <cell r="A652">
            <v>43782647</v>
          </cell>
          <cell r="B652" t="str">
            <v>Nora Elena  Higuita</v>
          </cell>
          <cell r="C652">
            <v>43782647</v>
          </cell>
          <cell r="D652" t="str">
            <v>El canelito</v>
          </cell>
          <cell r="E652">
            <v>3117609513</v>
          </cell>
          <cell r="L652" t="str">
            <v>x</v>
          </cell>
          <cell r="S652" t="e">
            <v>#N/A</v>
          </cell>
          <cell r="T652" t="e">
            <v>#N/A</v>
          </cell>
        </row>
        <row r="653">
          <cell r="A653">
            <v>70434890</v>
          </cell>
          <cell r="B653" t="str">
            <v>Nelson Antonio David</v>
          </cell>
          <cell r="C653">
            <v>70434890</v>
          </cell>
          <cell r="D653" t="str">
            <v>La Quiebra</v>
          </cell>
          <cell r="O653" t="str">
            <v>X</v>
          </cell>
          <cell r="S653" t="e">
            <v>#N/A</v>
          </cell>
          <cell r="T653" t="e">
            <v>#N/A</v>
          </cell>
        </row>
        <row r="654">
          <cell r="A654">
            <v>43782677</v>
          </cell>
          <cell r="B654" t="str">
            <v>Sandra Cristina López Molina</v>
          </cell>
          <cell r="C654">
            <v>43782677</v>
          </cell>
          <cell r="D654" t="str">
            <v>San Julián</v>
          </cell>
          <cell r="E654" t="str">
            <v>310 722 9074</v>
          </cell>
          <cell r="G654" t="str">
            <v>x</v>
          </cell>
          <cell r="L654" t="str">
            <v>x</v>
          </cell>
          <cell r="S654" t="e">
            <v>#N/A</v>
          </cell>
          <cell r="T654" t="e">
            <v>#N/A</v>
          </cell>
        </row>
        <row r="655">
          <cell r="A655">
            <v>43809106</v>
          </cell>
          <cell r="B655" t="str">
            <v>Luzsilia de Jesus Cartagena Castrillon</v>
          </cell>
          <cell r="C655">
            <v>43809106</v>
          </cell>
          <cell r="D655" t="str">
            <v>Juntas de Uramita</v>
          </cell>
          <cell r="E655">
            <v>3117056475</v>
          </cell>
          <cell r="P655" t="str">
            <v>Juntas de Uramita</v>
          </cell>
          <cell r="S655" t="e">
            <v>#N/A</v>
          </cell>
          <cell r="T655" t="e">
            <v>#N/A</v>
          </cell>
        </row>
        <row r="656">
          <cell r="A656">
            <v>43817353</v>
          </cell>
          <cell r="B656" t="str">
            <v>MARTA LILIANA CARRILLO</v>
          </cell>
          <cell r="C656">
            <v>43817353</v>
          </cell>
          <cell r="D656" t="str">
            <v>CESTILLAL</v>
          </cell>
          <cell r="S656" t="e">
            <v>#N/A</v>
          </cell>
          <cell r="T656" t="e">
            <v>#N/A</v>
          </cell>
        </row>
        <row r="657">
          <cell r="A657">
            <v>46678893</v>
          </cell>
          <cell r="B657" t="str">
            <v>Gloria Emilse Manco Bedoya</v>
          </cell>
          <cell r="C657">
            <v>46678893</v>
          </cell>
          <cell r="D657" t="str">
            <v xml:space="preserve">Alto del roble </v>
          </cell>
          <cell r="E657">
            <v>3144775012</v>
          </cell>
          <cell r="K657" t="str">
            <v>X</v>
          </cell>
          <cell r="S657" t="e">
            <v>#N/A</v>
          </cell>
          <cell r="T657" t="e">
            <v>#N/A</v>
          </cell>
        </row>
        <row r="658">
          <cell r="A658">
            <v>46952971</v>
          </cell>
          <cell r="B658" t="str">
            <v>Yolanda  Giraldo Higuita</v>
          </cell>
          <cell r="C658">
            <v>46952971</v>
          </cell>
          <cell r="D658" t="str">
            <v>Juntas de Uramita</v>
          </cell>
          <cell r="E658">
            <v>3108918479</v>
          </cell>
          <cell r="P658" t="str">
            <v>Juntas de Uramita</v>
          </cell>
          <cell r="S658" t="e">
            <v>#N/A</v>
          </cell>
          <cell r="T658" t="e">
            <v>#N/A</v>
          </cell>
        </row>
        <row r="659">
          <cell r="A659">
            <v>70435182</v>
          </cell>
          <cell r="B659" t="str">
            <v>Geiener Orolando Usuga Usuga</v>
          </cell>
          <cell r="C659">
            <v>70435182</v>
          </cell>
          <cell r="D659" t="str">
            <v>Rubicon</v>
          </cell>
          <cell r="O659" t="str">
            <v>X</v>
          </cell>
          <cell r="S659" t="e">
            <v>#N/A</v>
          </cell>
          <cell r="T659" t="e">
            <v>#N/A</v>
          </cell>
        </row>
        <row r="660">
          <cell r="A660">
            <v>70435275</v>
          </cell>
          <cell r="B660" t="str">
            <v>CESAR SUAREZ</v>
          </cell>
          <cell r="C660">
            <v>70435275</v>
          </cell>
          <cell r="D660" t="str">
            <v>CUMBARRA</v>
          </cell>
          <cell r="S660" t="str">
            <v>caja popular de vivienda militar</v>
          </cell>
          <cell r="T660">
            <v>1</v>
          </cell>
        </row>
        <row r="661">
          <cell r="A661">
            <v>66964293</v>
          </cell>
          <cell r="B661" t="str">
            <v>Gloria Nancy David Bran</v>
          </cell>
          <cell r="C661">
            <v>66964293</v>
          </cell>
          <cell r="D661" t="str">
            <v>Ciriguan</v>
          </cell>
          <cell r="E661">
            <v>3206914735</v>
          </cell>
          <cell r="L661" t="str">
            <v>X</v>
          </cell>
          <cell r="S661" t="e">
            <v>#N/A</v>
          </cell>
          <cell r="T661" t="e">
            <v>#N/A</v>
          </cell>
        </row>
        <row r="662">
          <cell r="A662">
            <v>70043582</v>
          </cell>
          <cell r="B662" t="str">
            <v>ARALDO DE JESUS GIRALDO</v>
          </cell>
          <cell r="C662">
            <v>70043582</v>
          </cell>
          <cell r="D662" t="str">
            <v>CESTILLAL</v>
          </cell>
          <cell r="S662" t="e">
            <v>#N/A</v>
          </cell>
          <cell r="T662" t="e">
            <v>#N/A</v>
          </cell>
        </row>
        <row r="663">
          <cell r="A663">
            <v>70196175</v>
          </cell>
          <cell r="B663" t="str">
            <v>leopoldo de jesus londoño cano</v>
          </cell>
          <cell r="C663">
            <v>70196175</v>
          </cell>
          <cell r="D663" t="str">
            <v>la cusuti</v>
          </cell>
          <cell r="E663">
            <v>3117095532</v>
          </cell>
          <cell r="L663" t="str">
            <v>x</v>
          </cell>
          <cell r="S663" t="e">
            <v>#N/A</v>
          </cell>
          <cell r="T663">
            <v>1</v>
          </cell>
        </row>
        <row r="664">
          <cell r="A664">
            <v>70435529</v>
          </cell>
          <cell r="B664" t="str">
            <v>Andres Abelardo  Rueda Correa</v>
          </cell>
          <cell r="C664">
            <v>70435529</v>
          </cell>
          <cell r="D664" t="str">
            <v>La Soledad</v>
          </cell>
          <cell r="E664">
            <v>3145768298</v>
          </cell>
          <cell r="G664" t="str">
            <v>x</v>
          </cell>
          <cell r="O664" t="str">
            <v>x</v>
          </cell>
          <cell r="S664" t="e">
            <v>#N/A</v>
          </cell>
          <cell r="T664">
            <v>1</v>
          </cell>
        </row>
        <row r="665">
          <cell r="A665">
            <v>70435529</v>
          </cell>
          <cell r="B665" t="str">
            <v>Andres Abelardo  Rueda Correa</v>
          </cell>
          <cell r="C665">
            <v>70435529</v>
          </cell>
          <cell r="D665" t="str">
            <v>La Soledad</v>
          </cell>
          <cell r="E665">
            <v>3145768298</v>
          </cell>
          <cell r="G665" t="str">
            <v>x</v>
          </cell>
          <cell r="O665" t="str">
            <v>x</v>
          </cell>
          <cell r="S665" t="e">
            <v>#N/A</v>
          </cell>
          <cell r="T665">
            <v>1</v>
          </cell>
        </row>
        <row r="666">
          <cell r="A666">
            <v>70205889</v>
          </cell>
          <cell r="B666" t="str">
            <v>Jair Baena</v>
          </cell>
          <cell r="C666">
            <v>70205889</v>
          </cell>
          <cell r="D666" t="str">
            <v>Vereda Cumbarra</v>
          </cell>
          <cell r="E666">
            <v>3148611433</v>
          </cell>
          <cell r="L666" t="str">
            <v>x</v>
          </cell>
          <cell r="P666" t="str">
            <v>Vereda Cumbarra</v>
          </cell>
          <cell r="S666" t="e">
            <v>#N/A</v>
          </cell>
          <cell r="T666" t="e">
            <v>#N/A</v>
          </cell>
        </row>
        <row r="667">
          <cell r="A667">
            <v>70430072</v>
          </cell>
          <cell r="B667" t="str">
            <v>oscar de jesus ocampo mereno</v>
          </cell>
          <cell r="C667">
            <v>70430072</v>
          </cell>
          <cell r="D667" t="str">
            <v>pernilla</v>
          </cell>
          <cell r="E667">
            <v>3226643966</v>
          </cell>
          <cell r="K667" t="str">
            <v>x</v>
          </cell>
          <cell r="S667" t="e">
            <v>#N/A</v>
          </cell>
          <cell r="T667">
            <v>0</v>
          </cell>
        </row>
        <row r="668">
          <cell r="A668">
            <v>70430075</v>
          </cell>
          <cell r="B668" t="str">
            <v>gildardo de jesus higuita zapata</v>
          </cell>
          <cell r="C668">
            <v>70430075</v>
          </cell>
          <cell r="D668" t="str">
            <v xml:space="preserve">la campiña </v>
          </cell>
          <cell r="E668">
            <v>3148299070</v>
          </cell>
          <cell r="K668" t="str">
            <v>x</v>
          </cell>
          <cell r="S668" t="e">
            <v>#N/A</v>
          </cell>
          <cell r="T668">
            <v>0</v>
          </cell>
        </row>
        <row r="669">
          <cell r="A669">
            <v>70430166</v>
          </cell>
          <cell r="B669" t="str">
            <v>GUSTAVO RUEDA</v>
          </cell>
          <cell r="C669">
            <v>70430166</v>
          </cell>
          <cell r="D669" t="str">
            <v>CUMBARRA</v>
          </cell>
          <cell r="S669" t="e">
            <v>#N/A</v>
          </cell>
          <cell r="T669" t="e">
            <v>#N/A</v>
          </cell>
        </row>
        <row r="670">
          <cell r="A670">
            <v>70430166</v>
          </cell>
          <cell r="B670" t="str">
            <v>Gustavo Rueda</v>
          </cell>
          <cell r="C670">
            <v>70430166</v>
          </cell>
          <cell r="D670" t="str">
            <v>Vereda Cumbarra</v>
          </cell>
          <cell r="E670">
            <v>3218704083</v>
          </cell>
          <cell r="L670" t="str">
            <v>x</v>
          </cell>
          <cell r="P670" t="str">
            <v>Vereda Cumbarra</v>
          </cell>
          <cell r="S670" t="e">
            <v>#N/A</v>
          </cell>
          <cell r="T670" t="e">
            <v>#N/A</v>
          </cell>
        </row>
        <row r="671">
          <cell r="A671">
            <v>70435887</v>
          </cell>
          <cell r="B671" t="str">
            <v xml:space="preserve">Aicardo de Jesus Alcaraz Londoño </v>
          </cell>
          <cell r="C671">
            <v>70435887</v>
          </cell>
          <cell r="D671" t="str">
            <v>Apucarco</v>
          </cell>
          <cell r="E671">
            <v>3116053247</v>
          </cell>
          <cell r="O671" t="str">
            <v>X</v>
          </cell>
          <cell r="S671" t="e">
            <v>#N/A</v>
          </cell>
          <cell r="T671" t="e">
            <v>#N/A</v>
          </cell>
        </row>
        <row r="672">
          <cell r="A672">
            <v>70430234</v>
          </cell>
          <cell r="B672" t="str">
            <v>Pedro Emilio Usuga Rodriguez</v>
          </cell>
          <cell r="C672">
            <v>70430234</v>
          </cell>
          <cell r="D672" t="str">
            <v>San pascual</v>
          </cell>
          <cell r="E672">
            <v>3128692889</v>
          </cell>
          <cell r="S672" t="e">
            <v>#N/A</v>
          </cell>
          <cell r="T672" t="e">
            <v>#N/A</v>
          </cell>
        </row>
        <row r="673">
          <cell r="A673">
            <v>70430326</v>
          </cell>
          <cell r="B673" t="str">
            <v>Miguel Ángel londoño londoño</v>
          </cell>
          <cell r="C673">
            <v>70430326</v>
          </cell>
          <cell r="D673" t="str">
            <v>Apucarco</v>
          </cell>
          <cell r="E673" t="str">
            <v>320 646 3653</v>
          </cell>
          <cell r="S673" t="e">
            <v>#N/A</v>
          </cell>
          <cell r="T673">
            <v>1</v>
          </cell>
        </row>
        <row r="674">
          <cell r="A674">
            <v>70430339</v>
          </cell>
          <cell r="B674" t="str">
            <v>luis humberto rodriguez oquendo</v>
          </cell>
          <cell r="C674">
            <v>70430339</v>
          </cell>
          <cell r="D674" t="str">
            <v>San Pascual</v>
          </cell>
          <cell r="E674">
            <v>3234907640</v>
          </cell>
          <cell r="L674" t="str">
            <v>x</v>
          </cell>
          <cell r="R674" t="str">
            <v>alcalde</v>
          </cell>
          <cell r="S674" t="e">
            <v>#N/A</v>
          </cell>
          <cell r="T674">
            <v>1</v>
          </cell>
        </row>
        <row r="675">
          <cell r="A675">
            <v>70430546</v>
          </cell>
          <cell r="B675" t="str">
            <v>Jesus Mario Ramirez Usuga</v>
          </cell>
          <cell r="C675">
            <v>70430546</v>
          </cell>
          <cell r="D675" t="str">
            <v>Vededa la Esperanza</v>
          </cell>
          <cell r="E675">
            <v>3146754697</v>
          </cell>
          <cell r="L675" t="str">
            <v>x</v>
          </cell>
          <cell r="P675" t="str">
            <v>Vededa la Esperanza</v>
          </cell>
          <cell r="S675" t="e">
            <v>#N/A</v>
          </cell>
          <cell r="T675" t="e">
            <v>#N/A</v>
          </cell>
        </row>
        <row r="676">
          <cell r="A676">
            <v>70436075</v>
          </cell>
          <cell r="B676" t="str">
            <v xml:space="preserve">Iván Darío cenaras Cartagena </v>
          </cell>
          <cell r="C676">
            <v>70436075</v>
          </cell>
          <cell r="D676" t="str">
            <v>La Soledad</v>
          </cell>
          <cell r="E676">
            <v>3108482956</v>
          </cell>
          <cell r="G676" t="str">
            <v>x</v>
          </cell>
          <cell r="O676" t="str">
            <v>x</v>
          </cell>
          <cell r="S676" t="e">
            <v>#N/A</v>
          </cell>
          <cell r="T676">
            <v>0</v>
          </cell>
        </row>
        <row r="677">
          <cell r="A677">
            <v>70436075</v>
          </cell>
          <cell r="B677" t="str">
            <v xml:space="preserve">Iván Darío cenaras Cartagena </v>
          </cell>
          <cell r="C677">
            <v>70436075</v>
          </cell>
          <cell r="D677" t="str">
            <v>La Soledad</v>
          </cell>
          <cell r="E677">
            <v>3108482956</v>
          </cell>
          <cell r="G677" t="str">
            <v>x</v>
          </cell>
          <cell r="O677" t="str">
            <v>x</v>
          </cell>
          <cell r="S677" t="e">
            <v>#N/A</v>
          </cell>
          <cell r="T677">
            <v>0</v>
          </cell>
        </row>
        <row r="678">
          <cell r="A678">
            <v>70430728</v>
          </cell>
          <cell r="B678" t="str">
            <v>Luis Fernando Arango</v>
          </cell>
          <cell r="C678">
            <v>70430728</v>
          </cell>
          <cell r="D678" t="str">
            <v>Insor</v>
          </cell>
          <cell r="E678">
            <v>3182681824</v>
          </cell>
          <cell r="K678" t="str">
            <v>x</v>
          </cell>
          <cell r="S678" t="e">
            <v>#N/A</v>
          </cell>
          <cell r="T678">
            <v>1</v>
          </cell>
        </row>
        <row r="679">
          <cell r="A679">
            <v>70436148</v>
          </cell>
          <cell r="B679" t="str">
            <v>Faber Darío tangarife usuga</v>
          </cell>
          <cell r="C679">
            <v>70436148</v>
          </cell>
          <cell r="D679" t="str">
            <v>La Soledad</v>
          </cell>
          <cell r="E679">
            <v>3108482956</v>
          </cell>
          <cell r="H679" t="str">
            <v>x</v>
          </cell>
          <cell r="O679" t="str">
            <v>x</v>
          </cell>
          <cell r="S679" t="e">
            <v>#N/A</v>
          </cell>
          <cell r="T679" t="e">
            <v>#N/A</v>
          </cell>
        </row>
        <row r="680">
          <cell r="A680">
            <v>70436148</v>
          </cell>
          <cell r="B680" t="str">
            <v>Faber Darío tangarife usuga</v>
          </cell>
          <cell r="C680">
            <v>70436148</v>
          </cell>
          <cell r="D680" t="str">
            <v>La Soledad</v>
          </cell>
          <cell r="E680">
            <v>3108482956</v>
          </cell>
          <cell r="H680" t="str">
            <v>x</v>
          </cell>
          <cell r="O680" t="str">
            <v>x</v>
          </cell>
          <cell r="S680" t="e">
            <v>#N/A</v>
          </cell>
          <cell r="T680" t="e">
            <v>#N/A</v>
          </cell>
        </row>
        <row r="681">
          <cell r="A681">
            <v>70542853</v>
          </cell>
          <cell r="B681" t="str">
            <v xml:space="preserve">Duber  Fernandes </v>
          </cell>
          <cell r="C681">
            <v>70542853</v>
          </cell>
          <cell r="D681" t="str">
            <v>Botija arriba</v>
          </cell>
          <cell r="O681" t="str">
            <v>X</v>
          </cell>
          <cell r="S681" t="e">
            <v>#N/A</v>
          </cell>
          <cell r="T681">
            <v>1</v>
          </cell>
        </row>
        <row r="682">
          <cell r="A682">
            <v>70542853</v>
          </cell>
          <cell r="B682" t="str">
            <v xml:space="preserve">Duber Fernandez </v>
          </cell>
          <cell r="C682">
            <v>70542853</v>
          </cell>
          <cell r="D682" t="str">
            <v>Botija Arriba</v>
          </cell>
          <cell r="O682" t="str">
            <v>X</v>
          </cell>
          <cell r="S682" t="e">
            <v>#N/A</v>
          </cell>
          <cell r="T682">
            <v>1</v>
          </cell>
        </row>
        <row r="683">
          <cell r="A683">
            <v>70907542</v>
          </cell>
          <cell r="B683" t="str">
            <v>John Fredy Muñoz Londoño</v>
          </cell>
          <cell r="C683">
            <v>70907542</v>
          </cell>
          <cell r="D683" t="str">
            <v>Vereda la Campiña</v>
          </cell>
          <cell r="N683" t="str">
            <v>X</v>
          </cell>
          <cell r="S683" t="e">
            <v>#N/A</v>
          </cell>
          <cell r="T683" t="e">
            <v>#N/A</v>
          </cell>
        </row>
        <row r="684">
          <cell r="A684">
            <v>70430833</v>
          </cell>
          <cell r="B684" t="str">
            <v>LUIS EFREN  ARTEAGA GUERRA</v>
          </cell>
          <cell r="C684">
            <v>70430833</v>
          </cell>
          <cell r="D684" t="str">
            <v>La manga</v>
          </cell>
          <cell r="L684" t="str">
            <v>x</v>
          </cell>
          <cell r="R684" t="str">
            <v>Alcalde</v>
          </cell>
          <cell r="S684" t="e">
            <v>#N/A</v>
          </cell>
          <cell r="T684">
            <v>1</v>
          </cell>
        </row>
        <row r="685">
          <cell r="A685">
            <v>70430852</v>
          </cell>
          <cell r="B685" t="str">
            <v>Rodrigo Hurtado</v>
          </cell>
          <cell r="C685">
            <v>70430852</v>
          </cell>
          <cell r="D685" t="str">
            <v>San Luis del Cafe</v>
          </cell>
          <cell r="E685" t="str">
            <v>321 500 6794</v>
          </cell>
          <cell r="L685" t="str">
            <v>x</v>
          </cell>
          <cell r="S685" t="e">
            <v>#N/A</v>
          </cell>
          <cell r="T685">
            <v>1</v>
          </cell>
        </row>
        <row r="686">
          <cell r="A686">
            <v>70430870</v>
          </cell>
          <cell r="B686" t="str">
            <v>Jesus Franklin Guisao Lopez</v>
          </cell>
          <cell r="C686">
            <v>70430870</v>
          </cell>
          <cell r="D686" t="str">
            <v>Vededa la Esperanza</v>
          </cell>
          <cell r="E686">
            <v>3146805192</v>
          </cell>
          <cell r="K686" t="str">
            <v>x</v>
          </cell>
          <cell r="P686" t="str">
            <v>Vededa la Esperanza</v>
          </cell>
          <cell r="S686" t="e">
            <v>#N/A</v>
          </cell>
          <cell r="T686" t="e">
            <v>#N/A</v>
          </cell>
        </row>
        <row r="687">
          <cell r="A687">
            <v>70430982</v>
          </cell>
          <cell r="B687" t="str">
            <v>nicolas de jesus uribe miranda</v>
          </cell>
          <cell r="C687">
            <v>70430982</v>
          </cell>
          <cell r="D687" t="str">
            <v xml:space="preserve">el madero </v>
          </cell>
          <cell r="E687">
            <v>3135095887</v>
          </cell>
          <cell r="K687" t="str">
            <v>x</v>
          </cell>
          <cell r="S687" t="e">
            <v>#N/A</v>
          </cell>
          <cell r="T687">
            <v>1</v>
          </cell>
        </row>
        <row r="688">
          <cell r="A688">
            <v>70431003</v>
          </cell>
          <cell r="B688" t="str">
            <v>JORGE EMIRO  MANCO DAVID</v>
          </cell>
          <cell r="C688">
            <v>70431003</v>
          </cell>
          <cell r="D688" t="str">
            <v>La manga</v>
          </cell>
          <cell r="E688">
            <v>3508347874</v>
          </cell>
          <cell r="L688" t="str">
            <v>x</v>
          </cell>
          <cell r="R688" t="str">
            <v>Alcalde</v>
          </cell>
          <cell r="S688" t="e">
            <v>#N/A</v>
          </cell>
          <cell r="T688">
            <v>1</v>
          </cell>
        </row>
        <row r="689">
          <cell r="A689">
            <v>70431157</v>
          </cell>
          <cell r="B689" t="str">
            <v>Pedro Antonio pulgarín</v>
          </cell>
          <cell r="C689">
            <v>70431157</v>
          </cell>
          <cell r="D689" t="str">
            <v>El Retiro</v>
          </cell>
          <cell r="E689" t="str">
            <v>310 722 6121</v>
          </cell>
          <cell r="K689" t="str">
            <v>x</v>
          </cell>
          <cell r="S689" t="e">
            <v>#N/A</v>
          </cell>
          <cell r="T689" t="e">
            <v>#N/A</v>
          </cell>
        </row>
        <row r="690">
          <cell r="A690">
            <v>70431194</v>
          </cell>
          <cell r="B690" t="str">
            <v>WBALDO  BUILES MONTOYA</v>
          </cell>
          <cell r="C690">
            <v>70431194</v>
          </cell>
          <cell r="D690" t="str">
            <v>Los Naranjos</v>
          </cell>
          <cell r="E690">
            <v>3206973080</v>
          </cell>
          <cell r="R690" t="str">
            <v>Alcalde</v>
          </cell>
          <cell r="S690" t="e">
            <v>#N/A</v>
          </cell>
          <cell r="T690" t="e">
            <v>#N/A</v>
          </cell>
        </row>
        <row r="691">
          <cell r="A691">
            <v>70431251</v>
          </cell>
          <cell r="B691" t="str">
            <v xml:space="preserve">hector durango </v>
          </cell>
          <cell r="C691">
            <v>70431251</v>
          </cell>
          <cell r="D691" t="str">
            <v xml:space="preserve">la aldea </v>
          </cell>
          <cell r="E691">
            <v>3114263666</v>
          </cell>
          <cell r="L691" t="str">
            <v>x</v>
          </cell>
          <cell r="S691" t="e">
            <v>#N/A</v>
          </cell>
          <cell r="T691" t="e">
            <v>#N/A</v>
          </cell>
        </row>
        <row r="692">
          <cell r="A692">
            <v>70431353</v>
          </cell>
          <cell r="B692" t="str">
            <v>Ramiro  Restrepo Valle</v>
          </cell>
          <cell r="C692">
            <v>70431353</v>
          </cell>
          <cell r="D692" t="str">
            <v>La Escalera</v>
          </cell>
          <cell r="F692" t="str">
            <v>x</v>
          </cell>
          <cell r="S692" t="e">
            <v>#N/A</v>
          </cell>
          <cell r="T692">
            <v>1</v>
          </cell>
        </row>
        <row r="693">
          <cell r="A693">
            <v>70431452</v>
          </cell>
          <cell r="B693" t="str">
            <v xml:space="preserve">hector alcides vahos </v>
          </cell>
          <cell r="C693">
            <v>70431452</v>
          </cell>
          <cell r="D693" t="str">
            <v xml:space="preserve">la aldea </v>
          </cell>
          <cell r="E693">
            <v>3122428363</v>
          </cell>
          <cell r="L693" t="str">
            <v>x</v>
          </cell>
          <cell r="S693" t="e">
            <v>#N/A</v>
          </cell>
          <cell r="T693" t="e">
            <v>#N/A</v>
          </cell>
        </row>
        <row r="694">
          <cell r="A694">
            <v>71718623</v>
          </cell>
          <cell r="B694" t="str">
            <v>Oscar Guillermo Villa Gil</v>
          </cell>
          <cell r="C694">
            <v>71718623</v>
          </cell>
          <cell r="D694" t="str">
            <v>El canelo</v>
          </cell>
          <cell r="E694">
            <v>3105042511</v>
          </cell>
          <cell r="O694" t="str">
            <v>X</v>
          </cell>
          <cell r="S694" t="e">
            <v>#N/A</v>
          </cell>
          <cell r="T694">
            <v>1</v>
          </cell>
        </row>
        <row r="695">
          <cell r="A695">
            <v>71760213</v>
          </cell>
          <cell r="B695" t="str">
            <v>Fraide Amando Jimenez Higuita</v>
          </cell>
          <cell r="C695">
            <v>71760213</v>
          </cell>
          <cell r="D695" t="str">
            <v>Rubicon</v>
          </cell>
          <cell r="L695" t="str">
            <v>x</v>
          </cell>
          <cell r="S695" t="e">
            <v>#N/A</v>
          </cell>
          <cell r="T695">
            <v>1</v>
          </cell>
        </row>
        <row r="696">
          <cell r="A696">
            <v>70431542</v>
          </cell>
          <cell r="B696" t="str">
            <v>NICOLAS GUISAO</v>
          </cell>
          <cell r="C696">
            <v>70431542</v>
          </cell>
          <cell r="D696" t="str">
            <v>CUMBARRA</v>
          </cell>
          <cell r="S696" t="e">
            <v>#N/A</v>
          </cell>
          <cell r="T696">
            <v>1</v>
          </cell>
        </row>
        <row r="697">
          <cell r="A697">
            <v>70431542</v>
          </cell>
          <cell r="B697" t="str">
            <v>Nicolas Guisao</v>
          </cell>
          <cell r="C697">
            <v>70431542</v>
          </cell>
          <cell r="D697" t="str">
            <v>Vereda Cumbarra</v>
          </cell>
          <cell r="E697">
            <v>3116999529</v>
          </cell>
          <cell r="L697" t="str">
            <v>x</v>
          </cell>
          <cell r="P697" t="str">
            <v>Vereda Cumbarra</v>
          </cell>
          <cell r="S697" t="e">
            <v>#N/A</v>
          </cell>
          <cell r="T697">
            <v>1</v>
          </cell>
        </row>
        <row r="698">
          <cell r="A698">
            <v>73141733</v>
          </cell>
          <cell r="B698" t="str">
            <v>Wilsom  Sanchez</v>
          </cell>
          <cell r="C698">
            <v>73141733</v>
          </cell>
          <cell r="D698" t="str">
            <v>El Canelito</v>
          </cell>
          <cell r="E698">
            <v>3167556997</v>
          </cell>
          <cell r="O698" t="str">
            <v>X</v>
          </cell>
          <cell r="S698" t="e">
            <v>#N/A</v>
          </cell>
          <cell r="T698">
            <v>0</v>
          </cell>
        </row>
        <row r="699">
          <cell r="A699">
            <v>70431644</v>
          </cell>
          <cell r="B699" t="str">
            <v>jese walter herrera ruiz</v>
          </cell>
          <cell r="C699">
            <v>70431644</v>
          </cell>
          <cell r="D699" t="str">
            <v>mediacuesta</v>
          </cell>
          <cell r="E699">
            <v>3224931774</v>
          </cell>
          <cell r="L699" t="str">
            <v>x</v>
          </cell>
          <cell r="S699" t="e">
            <v>#N/A</v>
          </cell>
          <cell r="T699">
            <v>1</v>
          </cell>
        </row>
        <row r="700">
          <cell r="A700">
            <v>70431651</v>
          </cell>
          <cell r="B700" t="str">
            <v>orlando Goez</v>
          </cell>
          <cell r="C700">
            <v>70431651</v>
          </cell>
          <cell r="D700" t="str">
            <v>Guayabal</v>
          </cell>
          <cell r="S700" t="e">
            <v>#N/A</v>
          </cell>
          <cell r="T700" t="e">
            <v>#N/A</v>
          </cell>
        </row>
        <row r="701">
          <cell r="A701">
            <v>70431718</v>
          </cell>
          <cell r="B701" t="str">
            <v>Julio Bermudez</v>
          </cell>
          <cell r="C701">
            <v>70431718</v>
          </cell>
          <cell r="D701" t="str">
            <v>Juntas de Uramita</v>
          </cell>
          <cell r="E701">
            <v>3117350828</v>
          </cell>
          <cell r="P701" t="str">
            <v>Juntas de Uramita</v>
          </cell>
          <cell r="S701" t="e">
            <v>#N/A</v>
          </cell>
          <cell r="T701" t="e">
            <v>#N/A</v>
          </cell>
        </row>
        <row r="702">
          <cell r="A702">
            <v>70431745</v>
          </cell>
          <cell r="B702" t="str">
            <v>Rodimiro de jesus goez sepulveda</v>
          </cell>
          <cell r="C702">
            <v>70431745</v>
          </cell>
          <cell r="D702" t="str">
            <v>Guayabal</v>
          </cell>
          <cell r="S702" t="e">
            <v>#N/A</v>
          </cell>
          <cell r="T702">
            <v>0</v>
          </cell>
        </row>
        <row r="703">
          <cell r="A703">
            <v>70431841</v>
          </cell>
          <cell r="B703" t="str">
            <v>Luis Eduardo Zapata Giraldo</v>
          </cell>
          <cell r="C703">
            <v>70431841</v>
          </cell>
          <cell r="D703" t="str">
            <v>Buena Vista</v>
          </cell>
          <cell r="E703">
            <v>3205904630</v>
          </cell>
          <cell r="K703" t="str">
            <v>x</v>
          </cell>
          <cell r="S703" t="e">
            <v>#N/A</v>
          </cell>
          <cell r="T703" t="e">
            <v>#N/A</v>
          </cell>
        </row>
        <row r="704">
          <cell r="A704">
            <v>98540430</v>
          </cell>
          <cell r="B704" t="str">
            <v>HELMER ANTONIO SALAZAR USUGA</v>
          </cell>
          <cell r="C704">
            <v>98540430</v>
          </cell>
          <cell r="D704" t="str">
            <v>MACANAL</v>
          </cell>
          <cell r="E704">
            <v>3122739186</v>
          </cell>
          <cell r="N704" t="str">
            <v>x</v>
          </cell>
          <cell r="R704" t="str">
            <v>PRESIDENTE PRIORIZADO</v>
          </cell>
          <cell r="S704" t="e">
            <v>#N/A</v>
          </cell>
          <cell r="T704">
            <v>1</v>
          </cell>
        </row>
        <row r="705">
          <cell r="A705">
            <v>98540708</v>
          </cell>
          <cell r="B705" t="str">
            <v xml:space="preserve">Jaime Alexander usuga usuga </v>
          </cell>
          <cell r="C705">
            <v>98540708</v>
          </cell>
          <cell r="D705" t="str">
            <v>La Soledad</v>
          </cell>
          <cell r="E705">
            <v>3134625707</v>
          </cell>
          <cell r="H705" t="str">
            <v>x</v>
          </cell>
          <cell r="N705" t="str">
            <v>x</v>
          </cell>
          <cell r="S705" t="e">
            <v>#N/A</v>
          </cell>
          <cell r="T705" t="e">
            <v>#N/A</v>
          </cell>
        </row>
        <row r="706">
          <cell r="A706">
            <v>98540708</v>
          </cell>
          <cell r="B706" t="str">
            <v xml:space="preserve">Jaime Alexander usuga usuga </v>
          </cell>
          <cell r="C706">
            <v>98540708</v>
          </cell>
          <cell r="D706" t="str">
            <v>La Soledad</v>
          </cell>
          <cell r="E706">
            <v>3134625707</v>
          </cell>
          <cell r="H706" t="str">
            <v>x</v>
          </cell>
          <cell r="N706" t="str">
            <v>x</v>
          </cell>
          <cell r="S706" t="e">
            <v>#N/A</v>
          </cell>
          <cell r="T706" t="e">
            <v>#N/A</v>
          </cell>
        </row>
        <row r="707">
          <cell r="A707">
            <v>70431841</v>
          </cell>
          <cell r="B707" t="str">
            <v>Luis Eduardo Zapata Giraldo</v>
          </cell>
          <cell r="C707">
            <v>70431841</v>
          </cell>
          <cell r="D707" t="str">
            <v>Buena Vista</v>
          </cell>
          <cell r="E707">
            <v>3205904630</v>
          </cell>
          <cell r="K707" t="str">
            <v>x</v>
          </cell>
          <cell r="S707" t="e">
            <v>#N/A</v>
          </cell>
          <cell r="T707" t="e">
            <v>#N/A</v>
          </cell>
        </row>
        <row r="708">
          <cell r="A708">
            <v>70432039</v>
          </cell>
          <cell r="B708" t="str">
            <v>ALBERTO DAVID</v>
          </cell>
          <cell r="C708">
            <v>70432039</v>
          </cell>
          <cell r="D708" t="str">
            <v>SAN MIGUEL</v>
          </cell>
          <cell r="S708" t="e">
            <v>#N/A</v>
          </cell>
          <cell r="T708" t="e">
            <v>#N/A</v>
          </cell>
        </row>
        <row r="709">
          <cell r="A709">
            <v>70432041</v>
          </cell>
          <cell r="B709" t="str">
            <v>NANDO CAMPO</v>
          </cell>
          <cell r="C709">
            <v>70432041</v>
          </cell>
          <cell r="D709" t="str">
            <v>LA AGUADA</v>
          </cell>
          <cell r="S709" t="e">
            <v>#N/A</v>
          </cell>
          <cell r="T709" t="e">
            <v>#N/A</v>
          </cell>
        </row>
        <row r="710">
          <cell r="A710">
            <v>70432158</v>
          </cell>
          <cell r="B710" t="str">
            <v>Anibal de Jesus Rodriguez</v>
          </cell>
          <cell r="C710">
            <v>70432158</v>
          </cell>
          <cell r="D710" t="str">
            <v>La Loma</v>
          </cell>
          <cell r="E710">
            <v>3187641011</v>
          </cell>
          <cell r="L710" t="str">
            <v>X</v>
          </cell>
          <cell r="S710" t="e">
            <v>#N/A</v>
          </cell>
          <cell r="T710" t="e">
            <v>#N/A</v>
          </cell>
        </row>
        <row r="711">
          <cell r="A711">
            <v>70432219</v>
          </cell>
          <cell r="B711" t="str">
            <v>conrrado restrepo lopera</v>
          </cell>
          <cell r="C711">
            <v>70432219</v>
          </cell>
          <cell r="D711" t="str">
            <v xml:space="preserve">el madero </v>
          </cell>
          <cell r="E711">
            <v>3206241664</v>
          </cell>
          <cell r="L711" t="str">
            <v>x</v>
          </cell>
          <cell r="S711" t="e">
            <v>#N/A</v>
          </cell>
          <cell r="T711" t="e">
            <v>#N/A</v>
          </cell>
        </row>
        <row r="712">
          <cell r="A712">
            <v>70432229</v>
          </cell>
          <cell r="B712" t="str">
            <v>Dario  Medina</v>
          </cell>
          <cell r="C712">
            <v>70432229</v>
          </cell>
          <cell r="D712" t="str">
            <v>Urbano</v>
          </cell>
          <cell r="K712" t="str">
            <v>x</v>
          </cell>
          <cell r="P712" t="str">
            <v>Barrio los balsos</v>
          </cell>
          <cell r="S712" t="e">
            <v>#N/A</v>
          </cell>
          <cell r="T712" t="e">
            <v>#N/A</v>
          </cell>
        </row>
        <row r="713">
          <cell r="A713">
            <v>70432303</v>
          </cell>
          <cell r="B713" t="str">
            <v>Hector Alcides Lopez Usuga</v>
          </cell>
          <cell r="C713">
            <v>70432303</v>
          </cell>
          <cell r="D713" t="str">
            <v>Rubicon</v>
          </cell>
          <cell r="L713" t="str">
            <v>x</v>
          </cell>
          <cell r="S713" t="e">
            <v>#N/A</v>
          </cell>
          <cell r="T713">
            <v>1</v>
          </cell>
        </row>
        <row r="714">
          <cell r="A714">
            <v>70432494</v>
          </cell>
          <cell r="B714" t="str">
            <v>Jairo de Jesús Correa higuita</v>
          </cell>
          <cell r="C714">
            <v>70432494</v>
          </cell>
          <cell r="D714" t="str">
            <v>La Soledad</v>
          </cell>
          <cell r="G714" t="str">
            <v>x</v>
          </cell>
          <cell r="L714" t="str">
            <v>x</v>
          </cell>
          <cell r="S714" t="e">
            <v>#N/A</v>
          </cell>
          <cell r="T714">
            <v>1</v>
          </cell>
        </row>
        <row r="715">
          <cell r="A715">
            <v>70432494</v>
          </cell>
          <cell r="B715" t="str">
            <v>Jairo de Jesús Correa higuita</v>
          </cell>
          <cell r="C715">
            <v>70432494</v>
          </cell>
          <cell r="D715" t="str">
            <v>La Soledad</v>
          </cell>
          <cell r="G715" t="str">
            <v>x</v>
          </cell>
          <cell r="L715" t="str">
            <v>x</v>
          </cell>
          <cell r="S715" t="e">
            <v>#N/A</v>
          </cell>
          <cell r="T715">
            <v>1</v>
          </cell>
        </row>
        <row r="716">
          <cell r="A716">
            <v>70432543</v>
          </cell>
          <cell r="B716" t="str">
            <v xml:space="preserve">jhon alonso giraldo durango </v>
          </cell>
          <cell r="C716">
            <v>70432543</v>
          </cell>
          <cell r="D716" t="str">
            <v>naranjal</v>
          </cell>
          <cell r="E716">
            <v>3128939384</v>
          </cell>
          <cell r="K716" t="str">
            <v>x</v>
          </cell>
          <cell r="S716" t="e">
            <v>#N/A</v>
          </cell>
          <cell r="T716" t="e">
            <v>#N/A</v>
          </cell>
        </row>
        <row r="717">
          <cell r="A717">
            <v>70432637</v>
          </cell>
          <cell r="B717" t="str">
            <v>Jaime Quiroz</v>
          </cell>
          <cell r="C717">
            <v>70432637</v>
          </cell>
          <cell r="D717" t="str">
            <v>San Miguelito</v>
          </cell>
          <cell r="E717">
            <v>3218826563</v>
          </cell>
          <cell r="L717" t="str">
            <v>x</v>
          </cell>
          <cell r="S717" t="e">
            <v>#N/A</v>
          </cell>
          <cell r="T717">
            <v>1</v>
          </cell>
        </row>
        <row r="718">
          <cell r="A718">
            <v>70432772</v>
          </cell>
          <cell r="B718" t="str">
            <v>Saúl Antonio rueda manco</v>
          </cell>
          <cell r="C718">
            <v>70432772</v>
          </cell>
          <cell r="D718" t="str">
            <v>La Soledad</v>
          </cell>
          <cell r="E718">
            <v>3137488522</v>
          </cell>
          <cell r="G718" t="str">
            <v>x</v>
          </cell>
          <cell r="L718" t="str">
            <v>x</v>
          </cell>
          <cell r="S718" t="e">
            <v>#N/A</v>
          </cell>
          <cell r="T718" t="e">
            <v>#N/A</v>
          </cell>
        </row>
        <row r="719">
          <cell r="A719">
            <v>98710843</v>
          </cell>
          <cell r="B719" t="str">
            <v>Juan Guillermo Reestrepo Roldan</v>
          </cell>
          <cell r="C719">
            <v>98710843</v>
          </cell>
          <cell r="D719" t="str">
            <v>Apucarco</v>
          </cell>
          <cell r="E719">
            <v>3135210151</v>
          </cell>
          <cell r="N719" t="str">
            <v>X</v>
          </cell>
          <cell r="S719" t="e">
            <v>#N/A</v>
          </cell>
          <cell r="T719" t="e">
            <v>#N/A</v>
          </cell>
        </row>
        <row r="720">
          <cell r="A720">
            <v>70432772</v>
          </cell>
          <cell r="B720" t="str">
            <v>Saúl Antonio rueda manco</v>
          </cell>
          <cell r="C720">
            <v>70432772</v>
          </cell>
          <cell r="D720" t="str">
            <v>La Soledad</v>
          </cell>
          <cell r="E720">
            <v>3137488522</v>
          </cell>
          <cell r="G720" t="str">
            <v>x</v>
          </cell>
          <cell r="L720" t="str">
            <v>x</v>
          </cell>
          <cell r="S720" t="e">
            <v>#N/A</v>
          </cell>
          <cell r="T720" t="e">
            <v>#N/A</v>
          </cell>
        </row>
        <row r="721">
          <cell r="A721">
            <v>216100488</v>
          </cell>
          <cell r="B721" t="str">
            <v xml:space="preserve">Emilse Duarte Villa </v>
          </cell>
          <cell r="C721">
            <v>216100488</v>
          </cell>
          <cell r="D721" t="str">
            <v>Bellavista</v>
          </cell>
          <cell r="E721">
            <v>3205997128</v>
          </cell>
          <cell r="N721" t="str">
            <v>x</v>
          </cell>
          <cell r="S721" t="e">
            <v>#N/A</v>
          </cell>
          <cell r="T721" t="e">
            <v>#N/A</v>
          </cell>
        </row>
        <row r="722">
          <cell r="A722">
            <v>216100488</v>
          </cell>
          <cell r="B722" t="str">
            <v xml:space="preserve">Emilse Duarte Villa </v>
          </cell>
          <cell r="C722">
            <v>216100488</v>
          </cell>
          <cell r="D722" t="str">
            <v>Bellavista</v>
          </cell>
          <cell r="E722">
            <v>3205997128</v>
          </cell>
          <cell r="N722" t="str">
            <v>x</v>
          </cell>
          <cell r="S722" t="e">
            <v>#N/A</v>
          </cell>
          <cell r="T722" t="e">
            <v>#N/A</v>
          </cell>
        </row>
        <row r="723">
          <cell r="A723">
            <v>431485156</v>
          </cell>
          <cell r="B723" t="str">
            <v xml:space="preserve">Luz Deysi Navales Graciano </v>
          </cell>
          <cell r="C723">
            <v>431485156</v>
          </cell>
          <cell r="D723" t="str">
            <v>Juntas de uramita</v>
          </cell>
          <cell r="E723">
            <v>3104245450</v>
          </cell>
          <cell r="O723" t="str">
            <v>x</v>
          </cell>
          <cell r="S723" t="e">
            <v>#N/A</v>
          </cell>
          <cell r="T723" t="e">
            <v>#N/A</v>
          </cell>
        </row>
        <row r="724">
          <cell r="A724">
            <v>431485156</v>
          </cell>
          <cell r="B724" t="str">
            <v xml:space="preserve">Luz Deysi Navales Graciano </v>
          </cell>
          <cell r="C724">
            <v>431485156</v>
          </cell>
          <cell r="D724" t="str">
            <v>Juntas de uramita</v>
          </cell>
          <cell r="E724">
            <v>3104245450</v>
          </cell>
          <cell r="O724" t="str">
            <v>x</v>
          </cell>
          <cell r="S724" t="e">
            <v>#N/A</v>
          </cell>
          <cell r="T724" t="e">
            <v>#N/A</v>
          </cell>
        </row>
        <row r="725">
          <cell r="A725">
            <v>70432806</v>
          </cell>
          <cell r="B725" t="str">
            <v>mario alberto castañeda rodriguez</v>
          </cell>
          <cell r="C725">
            <v>70432806</v>
          </cell>
          <cell r="D725" t="str">
            <v>mediacuesta</v>
          </cell>
          <cell r="E725">
            <v>3213401710</v>
          </cell>
          <cell r="S725" t="e">
            <v>#N/A</v>
          </cell>
          <cell r="T725" t="e">
            <v>#N/A</v>
          </cell>
        </row>
        <row r="726">
          <cell r="A726">
            <v>70433006</v>
          </cell>
          <cell r="B726" t="str">
            <v>Germán Jiménez</v>
          </cell>
          <cell r="C726">
            <v>70433006</v>
          </cell>
          <cell r="D726" t="str">
            <v>San Luis del Cafe</v>
          </cell>
          <cell r="E726" t="str">
            <v>314 541 3612</v>
          </cell>
          <cell r="L726" t="str">
            <v>x</v>
          </cell>
          <cell r="S726" t="e">
            <v>#N/A</v>
          </cell>
          <cell r="T726">
            <v>1</v>
          </cell>
        </row>
        <row r="727">
          <cell r="A727">
            <v>70433055</v>
          </cell>
          <cell r="B727" t="str">
            <v>javier antonio velasquez guerra</v>
          </cell>
          <cell r="C727">
            <v>70433055</v>
          </cell>
          <cell r="D727" t="str">
            <v>chontaduro</v>
          </cell>
          <cell r="L727" t="str">
            <v>x</v>
          </cell>
          <cell r="S727" t="e">
            <v>#N/A</v>
          </cell>
          <cell r="T727">
            <v>0</v>
          </cell>
        </row>
        <row r="728">
          <cell r="A728">
            <v>70433099</v>
          </cell>
          <cell r="B728" t="str">
            <v>luis oracio usuga</v>
          </cell>
          <cell r="C728">
            <v>70433099</v>
          </cell>
          <cell r="D728" t="str">
            <v xml:space="preserve">el madero </v>
          </cell>
          <cell r="E728">
            <v>3126358283</v>
          </cell>
          <cell r="K728" t="str">
            <v>x</v>
          </cell>
          <cell r="S728" t="e">
            <v>#N/A</v>
          </cell>
          <cell r="T728">
            <v>1</v>
          </cell>
        </row>
        <row r="729">
          <cell r="A729">
            <v>70433099</v>
          </cell>
          <cell r="B729" t="str">
            <v>luis oracio usuga  florez</v>
          </cell>
          <cell r="C729">
            <v>70433099</v>
          </cell>
          <cell r="D729" t="str">
            <v>el madero</v>
          </cell>
          <cell r="E729">
            <v>3126358283</v>
          </cell>
          <cell r="L729" t="str">
            <v>x</v>
          </cell>
          <cell r="S729" t="e">
            <v>#N/A</v>
          </cell>
          <cell r="T729">
            <v>1</v>
          </cell>
        </row>
        <row r="730">
          <cell r="A730">
            <v>70433104</v>
          </cell>
          <cell r="B730" t="str">
            <v xml:space="preserve">jairo de jesus  borja rueda </v>
          </cell>
          <cell r="C730">
            <v>70433104</v>
          </cell>
          <cell r="D730" t="str">
            <v>moroto</v>
          </cell>
          <cell r="E730">
            <v>3226780212</v>
          </cell>
          <cell r="Q730" t="str">
            <v xml:space="preserve">visitar </v>
          </cell>
          <cell r="S730" t="e">
            <v>#N/A</v>
          </cell>
          <cell r="T730" t="e">
            <v>#N/A</v>
          </cell>
        </row>
        <row r="731">
          <cell r="A731">
            <v>70433109</v>
          </cell>
          <cell r="B731" t="str">
            <v>Dario de Jesus Rodriguez</v>
          </cell>
          <cell r="C731">
            <v>70433109</v>
          </cell>
          <cell r="D731" t="str">
            <v>La soledad</v>
          </cell>
          <cell r="E731">
            <v>3114532797</v>
          </cell>
          <cell r="K731" t="str">
            <v>x</v>
          </cell>
          <cell r="S731" t="e">
            <v>#N/A</v>
          </cell>
          <cell r="T731" t="e">
            <v>#N/A</v>
          </cell>
        </row>
        <row r="732">
          <cell r="A732">
            <v>1001386124</v>
          </cell>
          <cell r="B732" t="str">
            <v>Monica cecilia Peña Tangarife</v>
          </cell>
          <cell r="C732">
            <v>1001386124</v>
          </cell>
          <cell r="D732" t="str">
            <v>La cusuti</v>
          </cell>
          <cell r="O732" t="str">
            <v>X</v>
          </cell>
          <cell r="R732" t="str">
            <v>Martica</v>
          </cell>
          <cell r="S732" t="e">
            <v>#N/A</v>
          </cell>
          <cell r="T732" t="e">
            <v>#N/A</v>
          </cell>
        </row>
        <row r="733">
          <cell r="A733">
            <v>70433109</v>
          </cell>
          <cell r="B733" t="str">
            <v>Dario de Jesus Rodriguez</v>
          </cell>
          <cell r="C733">
            <v>70433109</v>
          </cell>
          <cell r="D733" t="str">
            <v>La Soledad</v>
          </cell>
          <cell r="E733">
            <v>3137488522</v>
          </cell>
          <cell r="G733" t="str">
            <v>x</v>
          </cell>
          <cell r="S733" t="e">
            <v>#N/A</v>
          </cell>
          <cell r="T733" t="e">
            <v>#N/A</v>
          </cell>
        </row>
        <row r="734">
          <cell r="A734">
            <v>70433109</v>
          </cell>
          <cell r="B734" t="str">
            <v>Dario de Jesus Rodriguez</v>
          </cell>
          <cell r="C734">
            <v>70433109</v>
          </cell>
          <cell r="D734" t="str">
            <v>La Soledad</v>
          </cell>
          <cell r="E734">
            <v>3137488522</v>
          </cell>
          <cell r="G734" t="str">
            <v>x</v>
          </cell>
          <cell r="S734" t="e">
            <v>#N/A</v>
          </cell>
          <cell r="T734" t="e">
            <v>#N/A</v>
          </cell>
        </row>
        <row r="735">
          <cell r="A735">
            <v>70433229</v>
          </cell>
          <cell r="B735" t="str">
            <v>ONALDO DAVID RUEDA</v>
          </cell>
          <cell r="C735">
            <v>70433229</v>
          </cell>
          <cell r="D735" t="str">
            <v>CUMBARRA</v>
          </cell>
          <cell r="S735" t="e">
            <v>#N/A</v>
          </cell>
          <cell r="T735" t="e">
            <v>#N/A</v>
          </cell>
        </row>
        <row r="736">
          <cell r="A736">
            <v>70433321</v>
          </cell>
          <cell r="B736" t="str">
            <v>ERNESTO DAVID</v>
          </cell>
          <cell r="C736">
            <v>70433321</v>
          </cell>
          <cell r="D736" t="str">
            <v>SAN MIGUEL</v>
          </cell>
          <cell r="S736" t="e">
            <v>#N/A</v>
          </cell>
          <cell r="T736" t="e">
            <v>#N/A</v>
          </cell>
        </row>
        <row r="737">
          <cell r="A737">
            <v>70433326</v>
          </cell>
          <cell r="B737" t="str">
            <v>William de Jesus Rodriguez Zapata</v>
          </cell>
          <cell r="C737">
            <v>70433326</v>
          </cell>
          <cell r="D737" t="str">
            <v>La Soledad</v>
          </cell>
          <cell r="E737">
            <v>3207645058</v>
          </cell>
          <cell r="S737" t="e">
            <v>#N/A</v>
          </cell>
          <cell r="T737">
            <v>1</v>
          </cell>
        </row>
        <row r="738">
          <cell r="A738">
            <v>70433326</v>
          </cell>
          <cell r="B738" t="str">
            <v>William de Jesus Rodriguez Zapata</v>
          </cell>
          <cell r="C738">
            <v>70433326</v>
          </cell>
          <cell r="D738" t="str">
            <v>La Soledad</v>
          </cell>
          <cell r="E738">
            <v>3207645058</v>
          </cell>
          <cell r="S738" t="e">
            <v>#N/A</v>
          </cell>
          <cell r="T738">
            <v>1</v>
          </cell>
        </row>
        <row r="739">
          <cell r="A739">
            <v>70433353</v>
          </cell>
          <cell r="B739" t="str">
            <v xml:space="preserve">jose alirio goez goez </v>
          </cell>
          <cell r="C739">
            <v>70433353</v>
          </cell>
          <cell r="D739" t="str">
            <v>guayabal parte baja</v>
          </cell>
          <cell r="E739">
            <v>3204917291</v>
          </cell>
          <cell r="S739" t="e">
            <v>#N/A</v>
          </cell>
          <cell r="T739" t="e">
            <v>#N/A</v>
          </cell>
        </row>
        <row r="740">
          <cell r="A740">
            <v>32259494</v>
          </cell>
          <cell r="B740" t="str">
            <v>Maria Lucero Florez Torres</v>
          </cell>
          <cell r="C740">
            <v>32259494</v>
          </cell>
          <cell r="D740" t="str">
            <v>Paso arriba</v>
          </cell>
          <cell r="E740">
            <v>3103784798</v>
          </cell>
          <cell r="J740" t="str">
            <v>x</v>
          </cell>
          <cell r="Q740" t="str">
            <v>SI</v>
          </cell>
          <cell r="R740" t="str">
            <v>PRESIDENTE</v>
          </cell>
          <cell r="S740" t="e">
            <v>#N/A</v>
          </cell>
          <cell r="T740" t="e">
            <v>#N/A</v>
          </cell>
        </row>
        <row r="741">
          <cell r="A741">
            <v>70433363</v>
          </cell>
          <cell r="B741" t="str">
            <v>ivan de jesus holguin durango</v>
          </cell>
          <cell r="C741">
            <v>70433363</v>
          </cell>
          <cell r="D741" t="str">
            <v>la estrella</v>
          </cell>
          <cell r="L741" t="str">
            <v>x</v>
          </cell>
          <cell r="S741" t="e">
            <v>#N/A</v>
          </cell>
          <cell r="T741">
            <v>0</v>
          </cell>
        </row>
        <row r="742">
          <cell r="A742">
            <v>70433558</v>
          </cell>
          <cell r="B742" t="str">
            <v>Horacio Muñoz</v>
          </cell>
          <cell r="C742">
            <v>70433558</v>
          </cell>
          <cell r="D742" t="str">
            <v>Insor</v>
          </cell>
          <cell r="E742">
            <v>3104535554</v>
          </cell>
          <cell r="L742" t="str">
            <v>x</v>
          </cell>
          <cell r="S742" t="e">
            <v>#N/A</v>
          </cell>
          <cell r="T742" t="e">
            <v>#N/A</v>
          </cell>
        </row>
        <row r="743">
          <cell r="A743">
            <v>1007420652</v>
          </cell>
          <cell r="B743" t="str">
            <v>FERNEY ALEXIS BERRIO CATSRO</v>
          </cell>
          <cell r="C743">
            <v>1007420652</v>
          </cell>
          <cell r="D743" t="str">
            <v>Moroto</v>
          </cell>
          <cell r="E743">
            <v>3197183666</v>
          </cell>
          <cell r="G743" t="str">
            <v>x</v>
          </cell>
          <cell r="N743" t="str">
            <v>x</v>
          </cell>
          <cell r="P743" t="str">
            <v>Moroto</v>
          </cell>
          <cell r="S743" t="e">
            <v>#N/A</v>
          </cell>
          <cell r="T743" t="e">
            <v>#N/A</v>
          </cell>
        </row>
        <row r="744">
          <cell r="A744">
            <v>70433869</v>
          </cell>
          <cell r="B744" t="str">
            <v>Marco Tulio Duarte Higuita</v>
          </cell>
          <cell r="C744">
            <v>70433869</v>
          </cell>
          <cell r="D744" t="str">
            <v>La Quiebra</v>
          </cell>
          <cell r="L744" t="str">
            <v>x</v>
          </cell>
          <cell r="S744" t="e">
            <v>#N/A</v>
          </cell>
          <cell r="T744" t="e">
            <v>#N/A</v>
          </cell>
        </row>
        <row r="745">
          <cell r="A745">
            <v>1007460561</v>
          </cell>
          <cell r="B745" t="str">
            <v xml:space="preserve">Erika Uribe higuita </v>
          </cell>
          <cell r="C745">
            <v>1007460561</v>
          </cell>
          <cell r="D745" t="str">
            <v>Juntas de uramita</v>
          </cell>
          <cell r="E745">
            <v>3122743155</v>
          </cell>
          <cell r="O745" t="str">
            <v>x</v>
          </cell>
          <cell r="S745" t="e">
            <v>#N/A</v>
          </cell>
          <cell r="T745" t="e">
            <v>#N/A</v>
          </cell>
        </row>
        <row r="746">
          <cell r="A746">
            <v>1007460561</v>
          </cell>
          <cell r="B746" t="str">
            <v xml:space="preserve">Erika Uribe higuita </v>
          </cell>
          <cell r="C746">
            <v>1007460561</v>
          </cell>
          <cell r="D746" t="str">
            <v>Juntas de uramita</v>
          </cell>
          <cell r="E746">
            <v>3122743155</v>
          </cell>
          <cell r="O746" t="str">
            <v>x</v>
          </cell>
          <cell r="S746" t="e">
            <v>#N/A</v>
          </cell>
          <cell r="T746" t="e">
            <v>#N/A</v>
          </cell>
        </row>
        <row r="747">
          <cell r="A747">
            <v>70433994</v>
          </cell>
          <cell r="B747" t="str">
            <v>RAMON ALFREDO OSORIO ARTEAGA</v>
          </cell>
          <cell r="C747">
            <v>70433994</v>
          </cell>
          <cell r="D747" t="str">
            <v>LLANO GRANDE</v>
          </cell>
          <cell r="E747">
            <v>3122539683</v>
          </cell>
          <cell r="I747" t="str">
            <v>SOLO</v>
          </cell>
          <cell r="L747" t="str">
            <v>X</v>
          </cell>
          <cell r="Q747" t="str">
            <v>Visitar</v>
          </cell>
          <cell r="S747" t="e">
            <v>#N/A</v>
          </cell>
          <cell r="T747" t="e">
            <v>#N/A</v>
          </cell>
        </row>
        <row r="748">
          <cell r="A748">
            <v>70434173</v>
          </cell>
          <cell r="B748" t="str">
            <v>FRANCISCO JAVIER  USUGA FLORES</v>
          </cell>
          <cell r="C748">
            <v>70434173</v>
          </cell>
          <cell r="D748" t="str">
            <v>Bellavista</v>
          </cell>
          <cell r="E748">
            <v>3182605725</v>
          </cell>
          <cell r="K748" t="str">
            <v>x</v>
          </cell>
          <cell r="R748" t="str">
            <v>Alcalde</v>
          </cell>
          <cell r="S748" t="e">
            <v>#N/A</v>
          </cell>
          <cell r="T748" t="e">
            <v>#N/A</v>
          </cell>
        </row>
        <row r="749">
          <cell r="A749">
            <v>70434173</v>
          </cell>
          <cell r="B749" t="str">
            <v>Francisco Javier Usuga</v>
          </cell>
          <cell r="C749">
            <v>70434173</v>
          </cell>
          <cell r="D749" t="str">
            <v>Bellavista</v>
          </cell>
          <cell r="E749">
            <v>3182605772</v>
          </cell>
          <cell r="L749" t="str">
            <v>x</v>
          </cell>
          <cell r="S749" t="e">
            <v>#N/A</v>
          </cell>
          <cell r="T749" t="e">
            <v>#N/A</v>
          </cell>
        </row>
        <row r="750">
          <cell r="A750">
            <v>1022381939</v>
          </cell>
          <cell r="B750" t="str">
            <v>Yuliana Milena Osorio Ramirez</v>
          </cell>
          <cell r="C750">
            <v>1022381939</v>
          </cell>
          <cell r="D750" t="str">
            <v>Rubicon</v>
          </cell>
          <cell r="N750" t="str">
            <v>x</v>
          </cell>
          <cell r="S750" t="e">
            <v>#N/A</v>
          </cell>
          <cell r="T750" t="e">
            <v>#N/A</v>
          </cell>
        </row>
        <row r="751">
          <cell r="A751">
            <v>70434173</v>
          </cell>
          <cell r="B751" t="str">
            <v>Francisco Javier Usuga</v>
          </cell>
          <cell r="C751">
            <v>70434173</v>
          </cell>
          <cell r="D751" t="str">
            <v>Bellavista</v>
          </cell>
          <cell r="E751">
            <v>3182605772</v>
          </cell>
          <cell r="L751" t="str">
            <v>x</v>
          </cell>
          <cell r="S751" t="e">
            <v>#N/A</v>
          </cell>
          <cell r="T751" t="e">
            <v>#N/A</v>
          </cell>
        </row>
        <row r="752">
          <cell r="A752">
            <v>70434278</v>
          </cell>
          <cell r="B752" t="str">
            <v>Luis Amado Usuga Graciano</v>
          </cell>
          <cell r="C752">
            <v>70434278</v>
          </cell>
          <cell r="D752" t="str">
            <v>Buena Vista</v>
          </cell>
          <cell r="E752">
            <v>3148476927</v>
          </cell>
          <cell r="L752" t="str">
            <v>x</v>
          </cell>
          <cell r="S752" t="e">
            <v>#N/A</v>
          </cell>
          <cell r="T752" t="e">
            <v>#N/A</v>
          </cell>
        </row>
        <row r="753">
          <cell r="A753">
            <v>70434278</v>
          </cell>
          <cell r="B753" t="str">
            <v>Luis Amado Usuga Graciano</v>
          </cell>
          <cell r="C753">
            <v>70434278</v>
          </cell>
          <cell r="D753" t="str">
            <v>Buena Vista</v>
          </cell>
          <cell r="E753">
            <v>3148476927</v>
          </cell>
          <cell r="L753" t="str">
            <v>x</v>
          </cell>
          <cell r="S753" t="e">
            <v>#N/A</v>
          </cell>
          <cell r="T753" t="e">
            <v>#N/A</v>
          </cell>
        </row>
        <row r="754">
          <cell r="A754">
            <v>70434285</v>
          </cell>
          <cell r="B754" t="str">
            <v>Argiro  Muñoz</v>
          </cell>
          <cell r="C754">
            <v>70434285</v>
          </cell>
          <cell r="D754" t="str">
            <v>Insor</v>
          </cell>
          <cell r="E754">
            <v>3207669358</v>
          </cell>
          <cell r="L754" t="str">
            <v>x</v>
          </cell>
          <cell r="S754" t="e">
            <v>#N/A</v>
          </cell>
          <cell r="T754" t="e">
            <v>#N/A</v>
          </cell>
        </row>
        <row r="755">
          <cell r="A755">
            <v>1035302001</v>
          </cell>
          <cell r="B755" t="str">
            <v>Albeiro Antonio Graciano Zapata</v>
          </cell>
          <cell r="C755">
            <v>1035302001</v>
          </cell>
          <cell r="D755" t="str">
            <v>Buena Vista</v>
          </cell>
          <cell r="E755">
            <v>3147084148</v>
          </cell>
          <cell r="O755" t="str">
            <v>x</v>
          </cell>
          <cell r="S755" t="e">
            <v>#N/A</v>
          </cell>
          <cell r="T755">
            <v>1</v>
          </cell>
        </row>
        <row r="756">
          <cell r="A756">
            <v>1035302001</v>
          </cell>
          <cell r="B756" t="str">
            <v>Albeiro Antonio Graciano Zapata</v>
          </cell>
          <cell r="C756">
            <v>1035302001</v>
          </cell>
          <cell r="D756" t="str">
            <v>Buena Vista</v>
          </cell>
          <cell r="E756">
            <v>3147084148</v>
          </cell>
          <cell r="O756" t="str">
            <v>x</v>
          </cell>
          <cell r="S756" t="e">
            <v>#N/A</v>
          </cell>
          <cell r="T756">
            <v>1</v>
          </cell>
        </row>
        <row r="757">
          <cell r="A757">
            <v>70434723</v>
          </cell>
          <cell r="B757" t="str">
            <v>favian hernando usuga aguirre</v>
          </cell>
          <cell r="C757">
            <v>70434723</v>
          </cell>
          <cell r="D757" t="str">
            <v>La Soledad</v>
          </cell>
          <cell r="E757">
            <v>3126001365</v>
          </cell>
          <cell r="L757" t="str">
            <v>x</v>
          </cell>
          <cell r="S757" t="e">
            <v>#N/A</v>
          </cell>
          <cell r="T757">
            <v>1</v>
          </cell>
        </row>
        <row r="758">
          <cell r="A758">
            <v>70434751</v>
          </cell>
          <cell r="B758" t="str">
            <v>Miguel Angel Guisao Giraldo</v>
          </cell>
          <cell r="C758">
            <v>70434751</v>
          </cell>
          <cell r="D758" t="str">
            <v>Rubicon</v>
          </cell>
          <cell r="E758">
            <v>3135167847</v>
          </cell>
          <cell r="S758" t="e">
            <v>#N/A</v>
          </cell>
          <cell r="T758">
            <v>1</v>
          </cell>
        </row>
        <row r="759">
          <cell r="A759">
            <v>1035302186</v>
          </cell>
          <cell r="B759" t="str">
            <v xml:space="preserve">Luz Piedad Higuita </v>
          </cell>
          <cell r="C759">
            <v>1035302186</v>
          </cell>
          <cell r="D759" t="str">
            <v>La soledad</v>
          </cell>
          <cell r="E759">
            <v>3106506529</v>
          </cell>
          <cell r="L759" t="str">
            <v>x</v>
          </cell>
          <cell r="S759" t="str">
            <v>banco agrario</v>
          </cell>
          <cell r="T759" t="e">
            <v>#N/A</v>
          </cell>
        </row>
        <row r="760">
          <cell r="A760">
            <v>70434940</v>
          </cell>
          <cell r="B760" t="str">
            <v>Gustavo Alirio Duragando Lopera</v>
          </cell>
          <cell r="C760">
            <v>70434940</v>
          </cell>
          <cell r="D760" t="str">
            <v>La estrella</v>
          </cell>
          <cell r="E760">
            <v>3122537163</v>
          </cell>
          <cell r="L760" t="str">
            <v>x</v>
          </cell>
          <cell r="S760" t="e">
            <v>#N/A</v>
          </cell>
          <cell r="T760">
            <v>1</v>
          </cell>
        </row>
        <row r="761">
          <cell r="A761">
            <v>1035302203</v>
          </cell>
          <cell r="B761" t="str">
            <v xml:space="preserve">Robinson Alberto Correa Correa </v>
          </cell>
          <cell r="C761">
            <v>1035302203</v>
          </cell>
          <cell r="D761" t="str">
            <v>La Soledad</v>
          </cell>
          <cell r="E761">
            <v>3137488522</v>
          </cell>
          <cell r="G761" t="str">
            <v>x</v>
          </cell>
          <cell r="O761" t="str">
            <v>x</v>
          </cell>
          <cell r="S761" t="e">
            <v>#N/A</v>
          </cell>
          <cell r="T761">
            <v>1</v>
          </cell>
        </row>
        <row r="762">
          <cell r="A762">
            <v>1035302203</v>
          </cell>
          <cell r="B762" t="str">
            <v xml:space="preserve">Robinson Alberto Correa Correa </v>
          </cell>
          <cell r="C762">
            <v>1035302203</v>
          </cell>
          <cell r="D762" t="str">
            <v>La Soledad</v>
          </cell>
          <cell r="E762">
            <v>3137488522</v>
          </cell>
          <cell r="G762" t="str">
            <v>x</v>
          </cell>
          <cell r="O762" t="str">
            <v>x</v>
          </cell>
          <cell r="S762" t="e">
            <v>#N/A</v>
          </cell>
          <cell r="T762">
            <v>1</v>
          </cell>
        </row>
        <row r="763">
          <cell r="A763">
            <v>70434940</v>
          </cell>
          <cell r="B763" t="str">
            <v>gustavo alirio durango lopera</v>
          </cell>
          <cell r="C763">
            <v>70434940</v>
          </cell>
          <cell r="D763" t="str">
            <v>la estrella</v>
          </cell>
          <cell r="E763">
            <v>3122537163</v>
          </cell>
          <cell r="L763" t="str">
            <v>x</v>
          </cell>
          <cell r="S763" t="e">
            <v>#N/A</v>
          </cell>
          <cell r="T763">
            <v>1</v>
          </cell>
        </row>
        <row r="764">
          <cell r="A764">
            <v>70435101</v>
          </cell>
          <cell r="B764" t="str">
            <v>Leonel  Higuita Higuita</v>
          </cell>
          <cell r="C764">
            <v>70435101</v>
          </cell>
          <cell r="D764" t="str">
            <v>Vereda Chupadero</v>
          </cell>
          <cell r="P764" t="str">
            <v>Vereda Chupadero</v>
          </cell>
          <cell r="S764" t="e">
            <v>#N/A</v>
          </cell>
          <cell r="T764" t="e">
            <v>#N/A</v>
          </cell>
        </row>
        <row r="765">
          <cell r="A765">
            <v>70435101</v>
          </cell>
          <cell r="B765" t="str">
            <v>leonel higuita higuita</v>
          </cell>
          <cell r="C765">
            <v>70435101</v>
          </cell>
          <cell r="D765" t="str">
            <v>chupadero</v>
          </cell>
          <cell r="L765" t="str">
            <v>x</v>
          </cell>
          <cell r="S765" t="e">
            <v>#N/A</v>
          </cell>
          <cell r="T765" t="e">
            <v>#N/A</v>
          </cell>
        </row>
        <row r="766">
          <cell r="A766">
            <v>1035302461</v>
          </cell>
          <cell r="B766" t="str">
            <v>Leidy Johana Castaño Usuga</v>
          </cell>
          <cell r="C766">
            <v>1035302461</v>
          </cell>
          <cell r="D766" t="str">
            <v>Juntas de Uramita</v>
          </cell>
          <cell r="E766">
            <v>3122188846</v>
          </cell>
          <cell r="O766" t="str">
            <v>x</v>
          </cell>
          <cell r="P766" t="str">
            <v>Juntas de Uramita</v>
          </cell>
          <cell r="S766" t="e">
            <v>#N/A</v>
          </cell>
          <cell r="T766">
            <v>1</v>
          </cell>
        </row>
        <row r="767">
          <cell r="A767">
            <v>1035302461</v>
          </cell>
          <cell r="B767" t="str">
            <v>Leidy Johana Castaño Usuga</v>
          </cell>
          <cell r="C767">
            <v>1035302461</v>
          </cell>
          <cell r="D767" t="str">
            <v>Juntas de Uramita</v>
          </cell>
          <cell r="E767">
            <v>3122188846</v>
          </cell>
          <cell r="O767" t="str">
            <v>x</v>
          </cell>
          <cell r="P767" t="str">
            <v>Juntas de Uramita</v>
          </cell>
          <cell r="S767" t="e">
            <v>#N/A</v>
          </cell>
          <cell r="T767">
            <v>1</v>
          </cell>
        </row>
        <row r="768">
          <cell r="A768">
            <v>1035302511</v>
          </cell>
          <cell r="B768" t="str">
            <v>Claudia Andrea Correa Castro</v>
          </cell>
          <cell r="C768">
            <v>1035302511</v>
          </cell>
          <cell r="D768" t="str">
            <v>Moroto</v>
          </cell>
          <cell r="E768">
            <v>3103573389</v>
          </cell>
          <cell r="O768" t="str">
            <v>X</v>
          </cell>
          <cell r="S768" t="e">
            <v>#N/A</v>
          </cell>
          <cell r="T768">
            <v>1</v>
          </cell>
        </row>
        <row r="769">
          <cell r="A769">
            <v>1035302516</v>
          </cell>
          <cell r="B769" t="str">
            <v xml:space="preserve">Diony Cecilia Valencia Uribe </v>
          </cell>
          <cell r="C769">
            <v>1035302516</v>
          </cell>
          <cell r="D769" t="str">
            <v>Apucarco</v>
          </cell>
          <cell r="E769">
            <v>3002840608</v>
          </cell>
          <cell r="O769" t="str">
            <v>X</v>
          </cell>
          <cell r="S769" t="e">
            <v>#N/A</v>
          </cell>
          <cell r="T769" t="e">
            <v>#N/A</v>
          </cell>
        </row>
        <row r="770">
          <cell r="A770">
            <v>70435109</v>
          </cell>
          <cell r="B770" t="str">
            <v>Uber Alonso Tuberquia Quiroz</v>
          </cell>
          <cell r="C770">
            <v>70435109</v>
          </cell>
          <cell r="D770" t="str">
            <v>Botija Arriba</v>
          </cell>
          <cell r="Q770" t="str">
            <v>Visitar</v>
          </cell>
          <cell r="S770" t="e">
            <v>#N/A</v>
          </cell>
          <cell r="T770" t="e">
            <v>#N/A</v>
          </cell>
        </row>
        <row r="771">
          <cell r="A771">
            <v>70435109</v>
          </cell>
          <cell r="B771" t="str">
            <v>UBER ALONSO TUBERQUIA MONROY</v>
          </cell>
          <cell r="C771">
            <v>70435109</v>
          </cell>
          <cell r="D771" t="str">
            <v>BOTIJA ARRIBA</v>
          </cell>
          <cell r="S771" t="e">
            <v>#N/A</v>
          </cell>
          <cell r="T771" t="e">
            <v>#N/A</v>
          </cell>
        </row>
        <row r="772">
          <cell r="A772">
            <v>70435294</v>
          </cell>
          <cell r="B772" t="str">
            <v>Alexander Andrade Benitez Benitez</v>
          </cell>
          <cell r="C772">
            <v>70435294</v>
          </cell>
          <cell r="D772" t="str">
            <v>La estrella</v>
          </cell>
          <cell r="E772">
            <v>3103845602</v>
          </cell>
          <cell r="K772" t="str">
            <v>x</v>
          </cell>
          <cell r="S772" t="e">
            <v>#N/A</v>
          </cell>
          <cell r="T772" t="e">
            <v>#N/A</v>
          </cell>
        </row>
        <row r="773">
          <cell r="A773">
            <v>1035302873</v>
          </cell>
          <cell r="B773" t="str">
            <v>Ever Ernando Usuga Higuita</v>
          </cell>
          <cell r="C773">
            <v>1035302873</v>
          </cell>
          <cell r="D773" t="str">
            <v>Rubicon</v>
          </cell>
          <cell r="O773" t="str">
            <v>X</v>
          </cell>
          <cell r="S773" t="e">
            <v>#N/A</v>
          </cell>
          <cell r="T773" t="e">
            <v>#N/A</v>
          </cell>
        </row>
        <row r="774">
          <cell r="A774">
            <v>98452421</v>
          </cell>
          <cell r="B774" t="str">
            <v>Omar Alberto Escudero Sanmartin</v>
          </cell>
          <cell r="C774">
            <v>98452421</v>
          </cell>
          <cell r="D774" t="str">
            <v>Paso arriba</v>
          </cell>
          <cell r="E774">
            <v>3207003605</v>
          </cell>
          <cell r="L774" t="str">
            <v>X</v>
          </cell>
          <cell r="Q774" t="str">
            <v>SI</v>
          </cell>
          <cell r="R774" t="str">
            <v>PRESIDENTE</v>
          </cell>
          <cell r="S774" t="e">
            <v>#N/A</v>
          </cell>
          <cell r="T774" t="e">
            <v>#N/A</v>
          </cell>
        </row>
        <row r="775">
          <cell r="A775">
            <v>1035302934</v>
          </cell>
          <cell r="B775" t="str">
            <v>Wiliam Alberto Usuga Puerta</v>
          </cell>
          <cell r="C775">
            <v>1035302934</v>
          </cell>
          <cell r="D775" t="str">
            <v>San Luis de Juntas</v>
          </cell>
          <cell r="E775">
            <v>3122252698</v>
          </cell>
          <cell r="N775" t="str">
            <v>x</v>
          </cell>
          <cell r="S775" t="e">
            <v>#N/A</v>
          </cell>
          <cell r="T775" t="e">
            <v>#N/A</v>
          </cell>
        </row>
        <row r="776">
          <cell r="A776">
            <v>1035302934</v>
          </cell>
          <cell r="B776" t="str">
            <v>Wiliam Alberto Usuga Puerta</v>
          </cell>
          <cell r="C776">
            <v>1035302934</v>
          </cell>
          <cell r="D776" t="str">
            <v>San Luis de Juntas</v>
          </cell>
          <cell r="E776">
            <v>3122252698</v>
          </cell>
          <cell r="N776" t="str">
            <v>x</v>
          </cell>
          <cell r="S776" t="e">
            <v>#N/A</v>
          </cell>
          <cell r="T776" t="e">
            <v>#N/A</v>
          </cell>
        </row>
        <row r="777">
          <cell r="A777">
            <v>70435332</v>
          </cell>
          <cell r="B777" t="str">
            <v>Nelson Godoy Goez</v>
          </cell>
          <cell r="C777">
            <v>70435332</v>
          </cell>
          <cell r="D777" t="str">
            <v>Guayabal</v>
          </cell>
          <cell r="S777" t="e">
            <v>#N/A</v>
          </cell>
          <cell r="T777" t="e">
            <v>#N/A</v>
          </cell>
        </row>
        <row r="778">
          <cell r="A778">
            <v>70435350</v>
          </cell>
          <cell r="B778" t="str">
            <v>Luis Alberto Manco Higuita</v>
          </cell>
          <cell r="C778">
            <v>70435350</v>
          </cell>
          <cell r="D778" t="str">
            <v>La soledad</v>
          </cell>
          <cell r="E778">
            <v>3104627213</v>
          </cell>
          <cell r="K778" t="str">
            <v>x</v>
          </cell>
          <cell r="S778" t="e">
            <v>#N/A</v>
          </cell>
          <cell r="T778">
            <v>1</v>
          </cell>
        </row>
        <row r="779">
          <cell r="A779">
            <v>70435369</v>
          </cell>
          <cell r="B779" t="str">
            <v>Luis Fernando Osorio</v>
          </cell>
          <cell r="C779">
            <v>70435369</v>
          </cell>
          <cell r="D779" t="str">
            <v>El Retiro</v>
          </cell>
          <cell r="E779" t="str">
            <v>321 881 0270</v>
          </cell>
          <cell r="K779" t="str">
            <v>x</v>
          </cell>
          <cell r="S779" t="e">
            <v>#N/A</v>
          </cell>
          <cell r="T779">
            <v>1</v>
          </cell>
        </row>
        <row r="780">
          <cell r="A780">
            <v>1035303180</v>
          </cell>
          <cell r="B780" t="str">
            <v xml:space="preserve">Milena Usuga Morales </v>
          </cell>
          <cell r="C780">
            <v>1035303180</v>
          </cell>
          <cell r="D780" t="str">
            <v xml:space="preserve">Alto del roble </v>
          </cell>
          <cell r="E780">
            <v>3188951466</v>
          </cell>
          <cell r="N780" t="str">
            <v>x</v>
          </cell>
          <cell r="S780" t="e">
            <v>#N/A</v>
          </cell>
          <cell r="T780" t="e">
            <v>#N/A</v>
          </cell>
        </row>
        <row r="781">
          <cell r="A781">
            <v>1035303180</v>
          </cell>
          <cell r="B781" t="str">
            <v xml:space="preserve">Milena Usuga Morales </v>
          </cell>
          <cell r="C781">
            <v>1035303180</v>
          </cell>
          <cell r="D781" t="str">
            <v xml:space="preserve">Alto del roble </v>
          </cell>
          <cell r="E781">
            <v>3188951466</v>
          </cell>
          <cell r="N781" t="str">
            <v>x</v>
          </cell>
          <cell r="S781" t="e">
            <v>#N/A</v>
          </cell>
          <cell r="T781" t="e">
            <v>#N/A</v>
          </cell>
        </row>
        <row r="782">
          <cell r="A782">
            <v>1035303380</v>
          </cell>
          <cell r="B782" t="str">
            <v>Edison Dario Quiseno Graciano</v>
          </cell>
          <cell r="C782">
            <v>1035303380</v>
          </cell>
          <cell r="D782" t="str">
            <v>La estrella</v>
          </cell>
          <cell r="E782">
            <v>3117123571</v>
          </cell>
          <cell r="O782" t="str">
            <v>x</v>
          </cell>
          <cell r="S782" t="e">
            <v>#N/A</v>
          </cell>
          <cell r="T782" t="e">
            <v>#N/A</v>
          </cell>
        </row>
        <row r="783">
          <cell r="A783">
            <v>1035303380</v>
          </cell>
          <cell r="B783" t="str">
            <v>Edison Dario Quiseno Graciano</v>
          </cell>
          <cell r="C783">
            <v>1035303380</v>
          </cell>
          <cell r="D783" t="str">
            <v>La estrella</v>
          </cell>
          <cell r="E783">
            <v>3117123571</v>
          </cell>
          <cell r="O783" t="str">
            <v>x</v>
          </cell>
          <cell r="S783" t="e">
            <v>#N/A</v>
          </cell>
          <cell r="T783" t="e">
            <v>#N/A</v>
          </cell>
        </row>
        <row r="784">
          <cell r="A784">
            <v>70435551</v>
          </cell>
          <cell r="B784" t="str">
            <v>ruben dario osorio david</v>
          </cell>
          <cell r="C784">
            <v>70435551</v>
          </cell>
          <cell r="D784" t="str">
            <v>el retiro</v>
          </cell>
          <cell r="E784">
            <v>3218810270</v>
          </cell>
          <cell r="L784" t="str">
            <v>x</v>
          </cell>
          <cell r="R784" t="str">
            <v>alcalde</v>
          </cell>
          <cell r="S784" t="e">
            <v>#N/A</v>
          </cell>
          <cell r="T784" t="e">
            <v>#N/A</v>
          </cell>
        </row>
        <row r="785">
          <cell r="A785">
            <v>1035303439</v>
          </cell>
          <cell r="B785" t="str">
            <v>Jorge Aldemar Higuita Durango</v>
          </cell>
          <cell r="C785">
            <v>1035303439</v>
          </cell>
          <cell r="D785" t="str">
            <v>La cusuti</v>
          </cell>
          <cell r="E785">
            <v>3148585874</v>
          </cell>
          <cell r="N785" t="str">
            <v>X</v>
          </cell>
          <cell r="S785" t="e">
            <v>#N/A</v>
          </cell>
          <cell r="T785" t="e">
            <v>#N/A</v>
          </cell>
        </row>
        <row r="786">
          <cell r="A786">
            <v>70435556</v>
          </cell>
          <cell r="B786" t="str">
            <v>edeison eliecer torres suerez</v>
          </cell>
          <cell r="C786">
            <v>70435556</v>
          </cell>
          <cell r="D786" t="str">
            <v xml:space="preserve">la balsa </v>
          </cell>
          <cell r="E786">
            <v>3136392353</v>
          </cell>
          <cell r="L786" t="str">
            <v>x</v>
          </cell>
          <cell r="S786" t="e">
            <v>#N/A</v>
          </cell>
          <cell r="T786" t="e">
            <v>#N/A</v>
          </cell>
        </row>
        <row r="787">
          <cell r="A787">
            <v>70435633</v>
          </cell>
          <cell r="B787" t="str">
            <v>Hilder Alfonso Lopez</v>
          </cell>
          <cell r="C787">
            <v>70435633</v>
          </cell>
          <cell r="D787" t="str">
            <v>Insor</v>
          </cell>
          <cell r="E787">
            <v>3145021481</v>
          </cell>
          <cell r="K787" t="str">
            <v>x</v>
          </cell>
          <cell r="S787" t="e">
            <v>#N/A</v>
          </cell>
          <cell r="T787" t="e">
            <v>#N/A</v>
          </cell>
        </row>
        <row r="788">
          <cell r="A788">
            <v>70435662</v>
          </cell>
          <cell r="B788" t="str">
            <v>Anibal de jesus Sanchez Hernandez</v>
          </cell>
          <cell r="C788">
            <v>70435662</v>
          </cell>
          <cell r="D788" t="str">
            <v>El madero</v>
          </cell>
          <cell r="G788" t="str">
            <v>x</v>
          </cell>
          <cell r="I788" t="str">
            <v>El y la mamá</v>
          </cell>
          <cell r="L788" t="str">
            <v>x</v>
          </cell>
          <cell r="P788" t="str">
            <v>Madero parte baja</v>
          </cell>
          <cell r="S788" t="e">
            <v>#N/A</v>
          </cell>
          <cell r="T788" t="e">
            <v>#N/A</v>
          </cell>
        </row>
        <row r="789">
          <cell r="A789">
            <v>70435703</v>
          </cell>
          <cell r="B789" t="str">
            <v>German Emilio  Escobar Garces</v>
          </cell>
          <cell r="C789">
            <v>70435703</v>
          </cell>
          <cell r="D789" t="str">
            <v>Santa Barbara</v>
          </cell>
          <cell r="E789">
            <v>3114246120</v>
          </cell>
          <cell r="G789" t="str">
            <v>x</v>
          </cell>
          <cell r="I789" t="str">
            <v>Esposa e hija</v>
          </cell>
          <cell r="K789" t="str">
            <v>x</v>
          </cell>
          <cell r="P789" t="str">
            <v xml:space="preserve">Arriba de la escuela </v>
          </cell>
          <cell r="Q789" t="str">
            <v>Visitar</v>
          </cell>
          <cell r="R789" t="str">
            <v>Prioridad Alcalde</v>
          </cell>
          <cell r="S789" t="e">
            <v>#N/A</v>
          </cell>
          <cell r="T789" t="e">
            <v>#N/A</v>
          </cell>
        </row>
        <row r="790">
          <cell r="A790">
            <v>1035303515</v>
          </cell>
          <cell r="B790" t="str">
            <v>Luz Marleny Monroy Campo</v>
          </cell>
          <cell r="C790">
            <v>1035303515</v>
          </cell>
          <cell r="D790" t="str">
            <v>San Luis de Juntas</v>
          </cell>
          <cell r="E790">
            <v>3206616920</v>
          </cell>
          <cell r="O790" t="str">
            <v>x</v>
          </cell>
          <cell r="S790" t="e">
            <v>#N/A</v>
          </cell>
          <cell r="T790" t="e">
            <v>#N/A</v>
          </cell>
        </row>
        <row r="791">
          <cell r="A791">
            <v>1035303515</v>
          </cell>
          <cell r="B791" t="str">
            <v>Luz Marleny Monroy Campo</v>
          </cell>
          <cell r="C791">
            <v>1035303515</v>
          </cell>
          <cell r="D791" t="str">
            <v>San Luis de Juntas</v>
          </cell>
          <cell r="E791">
            <v>3206616920</v>
          </cell>
          <cell r="O791" t="str">
            <v>x</v>
          </cell>
          <cell r="S791" t="e">
            <v>#N/A</v>
          </cell>
          <cell r="T791" t="e">
            <v>#N/A</v>
          </cell>
        </row>
        <row r="792">
          <cell r="A792">
            <v>1035303703</v>
          </cell>
          <cell r="B792" t="str">
            <v>Oscar  Pineda Gomez</v>
          </cell>
          <cell r="C792">
            <v>1035303703</v>
          </cell>
          <cell r="D792" t="str">
            <v>Insor</v>
          </cell>
          <cell r="E792">
            <v>3113532582</v>
          </cell>
          <cell r="K792" t="str">
            <v>x</v>
          </cell>
          <cell r="S792" t="str">
            <v>banco agrario</v>
          </cell>
          <cell r="T792" t="e">
            <v>#N/A</v>
          </cell>
        </row>
        <row r="793">
          <cell r="A793">
            <v>70435722</v>
          </cell>
          <cell r="B793" t="str">
            <v>luis alberto graciano</v>
          </cell>
          <cell r="C793">
            <v>70435722</v>
          </cell>
          <cell r="D793" t="str">
            <v>chupadero</v>
          </cell>
          <cell r="L793" t="str">
            <v>x</v>
          </cell>
          <cell r="S793" t="e">
            <v>#N/A</v>
          </cell>
          <cell r="T793" t="e">
            <v>#N/A</v>
          </cell>
        </row>
        <row r="794">
          <cell r="A794">
            <v>1035303807</v>
          </cell>
          <cell r="B794" t="str">
            <v>RUBEN DARIO GONZALES HIGUITA</v>
          </cell>
          <cell r="C794">
            <v>1035303807</v>
          </cell>
          <cell r="D794" t="str">
            <v>Alto del roble</v>
          </cell>
          <cell r="E794">
            <v>3173161126</v>
          </cell>
          <cell r="N794" t="str">
            <v>x</v>
          </cell>
          <cell r="S794" t="e">
            <v>#N/A</v>
          </cell>
          <cell r="T794" t="e">
            <v>#N/A</v>
          </cell>
        </row>
        <row r="795">
          <cell r="A795">
            <v>1035303813</v>
          </cell>
          <cell r="B795" t="str">
            <v>Jenny Norfilia Manco David</v>
          </cell>
          <cell r="C795">
            <v>1035303813</v>
          </cell>
          <cell r="D795" t="str">
            <v>Ciriguan</v>
          </cell>
          <cell r="E795">
            <v>3103828867</v>
          </cell>
          <cell r="O795" t="str">
            <v>X</v>
          </cell>
          <cell r="S795" t="e">
            <v>#N/A</v>
          </cell>
          <cell r="T795" t="e">
            <v>#N/A</v>
          </cell>
        </row>
        <row r="796">
          <cell r="A796">
            <v>1035303825</v>
          </cell>
          <cell r="B796" t="str">
            <v>Maria Leticia Higuita</v>
          </cell>
          <cell r="C796">
            <v>1035303825</v>
          </cell>
          <cell r="D796" t="str">
            <v>Bellavista</v>
          </cell>
          <cell r="E796">
            <v>3182104544</v>
          </cell>
          <cell r="O796" t="str">
            <v>x</v>
          </cell>
          <cell r="S796" t="e">
            <v>#N/A</v>
          </cell>
          <cell r="T796" t="e">
            <v>#N/A</v>
          </cell>
        </row>
        <row r="797">
          <cell r="A797">
            <v>1035303825</v>
          </cell>
          <cell r="B797" t="str">
            <v>Maria Leticia Higuita</v>
          </cell>
          <cell r="C797">
            <v>1035303825</v>
          </cell>
          <cell r="D797" t="str">
            <v>Bellavista</v>
          </cell>
          <cell r="E797">
            <v>3182104544</v>
          </cell>
          <cell r="O797" t="str">
            <v>x</v>
          </cell>
          <cell r="S797" t="e">
            <v>#N/A</v>
          </cell>
          <cell r="T797" t="e">
            <v>#N/A</v>
          </cell>
        </row>
        <row r="798">
          <cell r="A798">
            <v>70435822</v>
          </cell>
          <cell r="B798" t="str">
            <v>DANIEL ALCIDES BEDOYA BEDOYA</v>
          </cell>
          <cell r="C798">
            <v>70435822</v>
          </cell>
          <cell r="D798" t="str">
            <v>Alto del roble</v>
          </cell>
          <cell r="Q798" t="str">
            <v>Visitar</v>
          </cell>
          <cell r="R798" t="str">
            <v>Julieta</v>
          </cell>
          <cell r="S798" t="e">
            <v>#N/A</v>
          </cell>
          <cell r="T798" t="e">
            <v>#N/A</v>
          </cell>
        </row>
        <row r="799">
          <cell r="A799">
            <v>1035303957</v>
          </cell>
          <cell r="B799" t="str">
            <v>Jose Alcides Goez Bedoya</v>
          </cell>
          <cell r="C799">
            <v>1035303957</v>
          </cell>
          <cell r="D799" t="str">
            <v>El Canelo</v>
          </cell>
          <cell r="N799" t="str">
            <v>x</v>
          </cell>
          <cell r="S799" t="e">
            <v>#N/A</v>
          </cell>
          <cell r="T799" t="e">
            <v>#N/A</v>
          </cell>
        </row>
        <row r="800">
          <cell r="A800">
            <v>1035303957</v>
          </cell>
          <cell r="B800" t="str">
            <v>Jorge Mauricio Vasquez Goez</v>
          </cell>
          <cell r="C800">
            <v>1035303957</v>
          </cell>
          <cell r="D800" t="str">
            <v>El canelo</v>
          </cell>
          <cell r="E800">
            <v>3507067546</v>
          </cell>
          <cell r="O800" t="str">
            <v>X</v>
          </cell>
          <cell r="S800" t="e">
            <v>#N/A</v>
          </cell>
          <cell r="T800" t="e">
            <v>#N/A</v>
          </cell>
        </row>
        <row r="801">
          <cell r="A801">
            <v>70435837</v>
          </cell>
          <cell r="B801" t="str">
            <v>Jose Eusebio Campo Higuita</v>
          </cell>
          <cell r="C801">
            <v>70435837</v>
          </cell>
          <cell r="D801" t="str">
            <v>La estrella</v>
          </cell>
          <cell r="E801">
            <v>3233664442</v>
          </cell>
          <cell r="L801" t="str">
            <v>x</v>
          </cell>
          <cell r="S801" t="e">
            <v>#N/A</v>
          </cell>
          <cell r="T801" t="e">
            <v>#N/A</v>
          </cell>
        </row>
        <row r="802">
          <cell r="A802">
            <v>70435887</v>
          </cell>
          <cell r="B802" t="str">
            <v>Aicardo de Jesús Alcaraz londoño</v>
          </cell>
          <cell r="C802">
            <v>70435887</v>
          </cell>
          <cell r="D802" t="str">
            <v>Apucarco</v>
          </cell>
          <cell r="E802" t="str">
            <v>311 605 3247</v>
          </cell>
          <cell r="K802" t="str">
            <v>x</v>
          </cell>
          <cell r="S802" t="e">
            <v>#N/A</v>
          </cell>
          <cell r="T802" t="e">
            <v>#N/A</v>
          </cell>
        </row>
        <row r="803">
          <cell r="A803">
            <v>1035304018</v>
          </cell>
          <cell r="B803" t="str">
            <v xml:space="preserve">Suleny Usuga </v>
          </cell>
          <cell r="C803">
            <v>1035304018</v>
          </cell>
          <cell r="D803" t="str">
            <v xml:space="preserve">Alto del roble </v>
          </cell>
          <cell r="E803">
            <v>3147787070</v>
          </cell>
          <cell r="K803" t="str">
            <v>X</v>
          </cell>
          <cell r="S803" t="str">
            <v>fondo nacional de vivienda</v>
          </cell>
          <cell r="T803" t="e">
            <v>#N/A</v>
          </cell>
        </row>
        <row r="804">
          <cell r="A804">
            <v>1035304217</v>
          </cell>
          <cell r="B804" t="str">
            <v>Maria Pineda</v>
          </cell>
          <cell r="C804">
            <v>1035304217</v>
          </cell>
          <cell r="D804" t="str">
            <v>San Miguelito</v>
          </cell>
          <cell r="O804" t="str">
            <v>X</v>
          </cell>
          <cell r="S804" t="e">
            <v>#N/A</v>
          </cell>
          <cell r="T804" t="e">
            <v>#N/A</v>
          </cell>
        </row>
        <row r="805">
          <cell r="A805">
            <v>70435893</v>
          </cell>
          <cell r="B805" t="str">
            <v>John Alexander Usuga Aguirre</v>
          </cell>
          <cell r="C805">
            <v>70435893</v>
          </cell>
          <cell r="D805" t="str">
            <v>La Soledad</v>
          </cell>
          <cell r="E805">
            <v>3108482956</v>
          </cell>
          <cell r="H805" t="str">
            <v>x</v>
          </cell>
          <cell r="K805" t="str">
            <v>x</v>
          </cell>
          <cell r="S805" t="e">
            <v>#N/A</v>
          </cell>
          <cell r="T805" t="e">
            <v>#N/A</v>
          </cell>
        </row>
        <row r="806">
          <cell r="A806">
            <v>70435893</v>
          </cell>
          <cell r="B806" t="str">
            <v>John Alexander Usuga Aguirre</v>
          </cell>
          <cell r="C806">
            <v>70435893</v>
          </cell>
          <cell r="D806" t="str">
            <v>La Soledad</v>
          </cell>
          <cell r="E806">
            <v>3108482956</v>
          </cell>
          <cell r="H806" t="str">
            <v>x</v>
          </cell>
          <cell r="K806" t="str">
            <v>x</v>
          </cell>
          <cell r="S806" t="e">
            <v>#N/A</v>
          </cell>
          <cell r="T806" t="e">
            <v>#N/A</v>
          </cell>
        </row>
        <row r="807">
          <cell r="A807">
            <v>70435962</v>
          </cell>
          <cell r="B807" t="str">
            <v>Carlos Alirio Escobar Giraldo</v>
          </cell>
          <cell r="C807">
            <v>70435962</v>
          </cell>
          <cell r="D807" t="str">
            <v>La Quiebra</v>
          </cell>
          <cell r="L807" t="str">
            <v>x</v>
          </cell>
          <cell r="S807" t="e">
            <v>#N/A</v>
          </cell>
          <cell r="T807" t="e">
            <v>#N/A</v>
          </cell>
        </row>
        <row r="808">
          <cell r="A808">
            <v>1035304312</v>
          </cell>
          <cell r="B808" t="str">
            <v>Angelica Monroy</v>
          </cell>
          <cell r="C808">
            <v>1035304312</v>
          </cell>
          <cell r="D808" t="str">
            <v>San Miguelito</v>
          </cell>
          <cell r="O808" t="str">
            <v>X</v>
          </cell>
          <cell r="S808" t="e">
            <v>#N/A</v>
          </cell>
          <cell r="T808" t="e">
            <v>#N/A</v>
          </cell>
        </row>
        <row r="809">
          <cell r="A809">
            <v>1035304329</v>
          </cell>
          <cell r="B809" t="str">
            <v>francy dulied soilva zapata</v>
          </cell>
          <cell r="C809">
            <v>1035304329</v>
          </cell>
          <cell r="D809" t="str">
            <v>La Cusuti</v>
          </cell>
          <cell r="E809">
            <v>3194954968</v>
          </cell>
          <cell r="G809" t="str">
            <v>x</v>
          </cell>
          <cell r="N809" t="str">
            <v>x</v>
          </cell>
          <cell r="P809" t="str">
            <v>La cusuti</v>
          </cell>
          <cell r="S809" t="e">
            <v>#N/A</v>
          </cell>
          <cell r="T809" t="e">
            <v>#N/A</v>
          </cell>
        </row>
        <row r="810">
          <cell r="A810">
            <v>70435973</v>
          </cell>
          <cell r="B810" t="str">
            <v>GERARDO HIGUITA BERRIO</v>
          </cell>
          <cell r="C810">
            <v>70435973</v>
          </cell>
          <cell r="D810" t="str">
            <v>SAN MIGUEL</v>
          </cell>
          <cell r="S810" t="e">
            <v>#N/A</v>
          </cell>
          <cell r="T810" t="e">
            <v>#N/A</v>
          </cell>
        </row>
        <row r="811">
          <cell r="A811">
            <v>70435988</v>
          </cell>
          <cell r="B811" t="str">
            <v>Felipe manco</v>
          </cell>
          <cell r="C811">
            <v>70435988</v>
          </cell>
          <cell r="D811" t="str">
            <v>San Luis del Cafe</v>
          </cell>
          <cell r="E811" t="str">
            <v>312 754 6597</v>
          </cell>
          <cell r="L811" t="str">
            <v>x</v>
          </cell>
          <cell r="S811" t="e">
            <v>#N/A</v>
          </cell>
          <cell r="T811" t="e">
            <v>#N/A</v>
          </cell>
        </row>
        <row r="812">
          <cell r="A812">
            <v>70436055</v>
          </cell>
          <cell r="B812" t="str">
            <v>anibal de jesus correa alcaraz</v>
          </cell>
          <cell r="C812">
            <v>70436055</v>
          </cell>
          <cell r="D812" t="str">
            <v>la cusuti</v>
          </cell>
          <cell r="E812">
            <v>3194954968</v>
          </cell>
          <cell r="L812" t="str">
            <v>x</v>
          </cell>
          <cell r="S812" t="e">
            <v>#N/A</v>
          </cell>
          <cell r="T812" t="e">
            <v>#N/A</v>
          </cell>
        </row>
        <row r="813">
          <cell r="A813">
            <v>1035304702</v>
          </cell>
          <cell r="B813" t="str">
            <v>YANET MARCELA USUGA GIRALDO</v>
          </cell>
          <cell r="C813">
            <v>1035304702</v>
          </cell>
          <cell r="D813" t="str">
            <v>SANTO CRISTO</v>
          </cell>
          <cell r="S813" t="str">
            <v>banco agrario</v>
          </cell>
          <cell r="T813" t="e">
            <v>#N/A</v>
          </cell>
        </row>
        <row r="814">
          <cell r="A814">
            <v>70431374</v>
          </cell>
          <cell r="B814" t="str">
            <v>Omar de Jesus Larrea Holguin</v>
          </cell>
          <cell r="C814">
            <v>70431374</v>
          </cell>
          <cell r="D814" t="str">
            <v>Paso Arriba</v>
          </cell>
          <cell r="N814" t="str">
            <v>x</v>
          </cell>
          <cell r="P814" t="str">
            <v>PARTE BAJA</v>
          </cell>
          <cell r="Q814" t="str">
            <v>SI</v>
          </cell>
          <cell r="R814" t="str">
            <v>PRESIDENTE</v>
          </cell>
          <cell r="S814" t="e">
            <v>#N/A</v>
          </cell>
          <cell r="T814" t="e">
            <v>#N/A</v>
          </cell>
        </row>
        <row r="815">
          <cell r="A815">
            <v>70436124</v>
          </cell>
          <cell r="B815" t="str">
            <v>Moisés Hurtado</v>
          </cell>
          <cell r="C815">
            <v>70436124</v>
          </cell>
          <cell r="D815" t="str">
            <v>San Luis del Cafe</v>
          </cell>
          <cell r="E815" t="str">
            <v>315 578 6112</v>
          </cell>
          <cell r="L815" t="str">
            <v>x</v>
          </cell>
          <cell r="S815" t="e">
            <v>#N/A</v>
          </cell>
          <cell r="T815" t="e">
            <v>#N/A</v>
          </cell>
        </row>
        <row r="816">
          <cell r="A816">
            <v>70436141</v>
          </cell>
          <cell r="B816" t="str">
            <v>DANNY HUMBERTO HURTADO SOLIS</v>
          </cell>
          <cell r="C816">
            <v>70436141</v>
          </cell>
          <cell r="D816" t="str">
            <v>El Retiro</v>
          </cell>
          <cell r="Q816" t="str">
            <v>Visitar</v>
          </cell>
          <cell r="R816" t="str">
            <v>Julieta</v>
          </cell>
          <cell r="S816" t="e">
            <v>#N/A</v>
          </cell>
          <cell r="T816" t="e">
            <v>#N/A</v>
          </cell>
        </row>
        <row r="817">
          <cell r="A817">
            <v>71020952</v>
          </cell>
          <cell r="B817" t="str">
            <v>Arcangel de Jesus Garcia Ruiz</v>
          </cell>
          <cell r="C817">
            <v>71020952</v>
          </cell>
          <cell r="D817" t="str">
            <v>Juntas de Uramita</v>
          </cell>
          <cell r="E817">
            <v>3207010418</v>
          </cell>
          <cell r="P817" t="str">
            <v>Juntas de Uramita</v>
          </cell>
          <cell r="S817" t="e">
            <v>#N/A</v>
          </cell>
          <cell r="T817" t="e">
            <v>#N/A</v>
          </cell>
        </row>
        <row r="818">
          <cell r="A818">
            <v>71022113</v>
          </cell>
          <cell r="B818" t="str">
            <v>Omar Antonio Cardona Durango</v>
          </cell>
          <cell r="C818">
            <v>71022113</v>
          </cell>
          <cell r="D818" t="str">
            <v>Vededa la Esperanza</v>
          </cell>
          <cell r="E818">
            <v>3126974740</v>
          </cell>
          <cell r="L818" t="str">
            <v>x</v>
          </cell>
          <cell r="P818" t="str">
            <v>Vededa la Esperanza</v>
          </cell>
          <cell r="S818" t="e">
            <v>#N/A</v>
          </cell>
          <cell r="T818" t="e">
            <v>#N/A</v>
          </cell>
        </row>
        <row r="819">
          <cell r="A819">
            <v>71023274</v>
          </cell>
          <cell r="B819" t="str">
            <v>WILLIAM ALONSO GUERRA VELASQUEZ</v>
          </cell>
          <cell r="C819">
            <v>71023274</v>
          </cell>
          <cell r="D819" t="str">
            <v>CESTILLAL</v>
          </cell>
          <cell r="S819" t="e">
            <v>#N/A</v>
          </cell>
          <cell r="T819" t="e">
            <v>#N/A</v>
          </cell>
        </row>
        <row r="820">
          <cell r="A820">
            <v>71266622</v>
          </cell>
          <cell r="B820" t="str">
            <v>JHON FREDY BERRIO VELASQUEZ</v>
          </cell>
          <cell r="C820">
            <v>71266622</v>
          </cell>
          <cell r="D820" t="str">
            <v>CESTILLAL</v>
          </cell>
          <cell r="S820" t="e">
            <v>#N/A</v>
          </cell>
          <cell r="T820" t="e">
            <v>#N/A</v>
          </cell>
        </row>
        <row r="821">
          <cell r="A821">
            <v>71310036</v>
          </cell>
          <cell r="B821" t="str">
            <v>Carlos Andres Restrepo Henao</v>
          </cell>
          <cell r="C821">
            <v>71310036</v>
          </cell>
          <cell r="D821" t="str">
            <v>Urbano</v>
          </cell>
          <cell r="E821">
            <v>3136213992</v>
          </cell>
          <cell r="H821" t="str">
            <v>x</v>
          </cell>
          <cell r="I821" t="str">
            <v>Jefe de hogar e hijo</v>
          </cell>
          <cell r="L821" t="str">
            <v>x</v>
          </cell>
          <cell r="P821" t="str">
            <v>Vereda mediacuesta</v>
          </cell>
          <cell r="S821" t="e">
            <v>#N/A</v>
          </cell>
          <cell r="T821" t="e">
            <v>#N/A</v>
          </cell>
        </row>
        <row r="822">
          <cell r="A822">
            <v>71373042</v>
          </cell>
          <cell r="B822" t="str">
            <v>Rafael Antonio David Higuita</v>
          </cell>
          <cell r="C822">
            <v>71373042</v>
          </cell>
          <cell r="D822" t="str">
            <v>Juntas de Uramita</v>
          </cell>
          <cell r="E822">
            <v>3122730455</v>
          </cell>
          <cell r="P822" t="str">
            <v>Juntas de Uramita</v>
          </cell>
          <cell r="S822" t="e">
            <v>#N/A</v>
          </cell>
          <cell r="T822" t="e">
            <v>#N/A</v>
          </cell>
        </row>
        <row r="823">
          <cell r="A823">
            <v>71568305</v>
          </cell>
          <cell r="B823" t="str">
            <v>DIOMEDEZ  DURANGO</v>
          </cell>
          <cell r="C823">
            <v>71568305</v>
          </cell>
          <cell r="D823" t="str">
            <v>CESTILLAL</v>
          </cell>
          <cell r="S823" t="e">
            <v>#N/A</v>
          </cell>
          <cell r="T823" t="e">
            <v>#N/A</v>
          </cell>
        </row>
        <row r="824">
          <cell r="A824">
            <v>71934974</v>
          </cell>
          <cell r="B824" t="str">
            <v>Leonel Tabares</v>
          </cell>
          <cell r="C824">
            <v>71934974</v>
          </cell>
          <cell r="E824">
            <v>3122170908</v>
          </cell>
          <cell r="S824" t="e">
            <v>#N/A</v>
          </cell>
          <cell r="T824">
            <v>0</v>
          </cell>
        </row>
        <row r="825">
          <cell r="A825">
            <v>1038332211</v>
          </cell>
          <cell r="B825" t="str">
            <v>Diana Patrica Borja</v>
          </cell>
          <cell r="C825">
            <v>1038332211</v>
          </cell>
          <cell r="D825" t="str">
            <v>Moroto</v>
          </cell>
          <cell r="E825">
            <v>3186542760</v>
          </cell>
          <cell r="O825" t="str">
            <v>X</v>
          </cell>
          <cell r="S825" t="e">
            <v>#N/A</v>
          </cell>
          <cell r="T825" t="e">
            <v>#N/A</v>
          </cell>
        </row>
        <row r="826">
          <cell r="A826">
            <v>1038332387</v>
          </cell>
          <cell r="B826" t="str">
            <v>ANDRES FELIPE  GARCIA RUIZ</v>
          </cell>
          <cell r="C826">
            <v>1038332387</v>
          </cell>
          <cell r="D826" t="str">
            <v>Macanal</v>
          </cell>
          <cell r="E826">
            <v>3205974401</v>
          </cell>
          <cell r="K826" t="str">
            <v>X</v>
          </cell>
          <cell r="Q826" t="str">
            <v>Visitar</v>
          </cell>
          <cell r="S826" t="str">
            <v>banco agrario</v>
          </cell>
          <cell r="T826" t="e">
            <v>#N/A</v>
          </cell>
        </row>
        <row r="827">
          <cell r="A827">
            <v>71973736</v>
          </cell>
          <cell r="B827" t="str">
            <v xml:space="preserve">adrian de jesus durango carmona </v>
          </cell>
          <cell r="C827">
            <v>71973736</v>
          </cell>
          <cell r="D827" t="str">
            <v>naranjal</v>
          </cell>
          <cell r="E827">
            <v>3122109392</v>
          </cell>
          <cell r="K827" t="str">
            <v>x</v>
          </cell>
          <cell r="S827" t="e">
            <v>#N/A</v>
          </cell>
          <cell r="T827" t="e">
            <v>#N/A</v>
          </cell>
        </row>
        <row r="828">
          <cell r="A828">
            <v>1038333330</v>
          </cell>
          <cell r="B828" t="str">
            <v>Sandra Milena Alzate Cardona</v>
          </cell>
          <cell r="C828">
            <v>1038333330</v>
          </cell>
          <cell r="D828" t="str">
            <v>Vereda la esperanza</v>
          </cell>
          <cell r="E828">
            <v>3187674805</v>
          </cell>
          <cell r="N828" t="str">
            <v>x</v>
          </cell>
          <cell r="P828" t="str">
            <v>Vereda la esperanza</v>
          </cell>
          <cell r="S828" t="e">
            <v>#N/A</v>
          </cell>
          <cell r="T828">
            <v>1</v>
          </cell>
        </row>
        <row r="829">
          <cell r="A829">
            <v>1038333330</v>
          </cell>
          <cell r="B829" t="str">
            <v>Sandra Milena Alzate Cardona</v>
          </cell>
          <cell r="C829">
            <v>1038333330</v>
          </cell>
          <cell r="D829" t="str">
            <v>Vereda la esperanza</v>
          </cell>
          <cell r="E829">
            <v>3187674805</v>
          </cell>
          <cell r="N829" t="str">
            <v>x</v>
          </cell>
          <cell r="P829" t="str">
            <v>Vereda la esperanza</v>
          </cell>
          <cell r="S829" t="e">
            <v>#N/A</v>
          </cell>
          <cell r="T829">
            <v>1</v>
          </cell>
        </row>
        <row r="830">
          <cell r="A830">
            <v>1038335088</v>
          </cell>
          <cell r="B830" t="str">
            <v>Leidy Johana Correa Arias</v>
          </cell>
          <cell r="C830">
            <v>1038335088</v>
          </cell>
          <cell r="D830" t="str">
            <v>Vereda la Esperanza</v>
          </cell>
          <cell r="O830" t="str">
            <v>x</v>
          </cell>
          <cell r="P830" t="str">
            <v>Vereda la Esperanza</v>
          </cell>
          <cell r="S830" t="e">
            <v>#N/A</v>
          </cell>
          <cell r="T830">
            <v>0</v>
          </cell>
        </row>
        <row r="831">
          <cell r="A831">
            <v>1038335088</v>
          </cell>
          <cell r="B831" t="str">
            <v>Leidy Johana Correa Arias</v>
          </cell>
          <cell r="C831">
            <v>1038335088</v>
          </cell>
          <cell r="D831" t="str">
            <v>Vereda la Esperanza</v>
          </cell>
          <cell r="O831" t="str">
            <v>x</v>
          </cell>
          <cell r="P831" t="str">
            <v>Vereda la Esperanza</v>
          </cell>
          <cell r="S831" t="e">
            <v>#N/A</v>
          </cell>
          <cell r="T831">
            <v>0</v>
          </cell>
        </row>
        <row r="832">
          <cell r="A832">
            <v>1038337600</v>
          </cell>
          <cell r="B832" t="str">
            <v>Sebastian Cardona Durango</v>
          </cell>
          <cell r="C832">
            <v>1038337600</v>
          </cell>
          <cell r="D832" t="str">
            <v>Vereda la esperanza</v>
          </cell>
          <cell r="E832">
            <v>3218826548</v>
          </cell>
          <cell r="N832" t="str">
            <v>x</v>
          </cell>
          <cell r="P832" t="str">
            <v>Vereda la esperanza</v>
          </cell>
          <cell r="S832" t="e">
            <v>#N/A</v>
          </cell>
          <cell r="T832" t="e">
            <v>#N/A</v>
          </cell>
        </row>
        <row r="833">
          <cell r="A833">
            <v>1038337600</v>
          </cell>
          <cell r="B833" t="str">
            <v>Sebastian Cardona Durango</v>
          </cell>
          <cell r="C833">
            <v>1038337600</v>
          </cell>
          <cell r="D833" t="str">
            <v>Vereda la esperanza</v>
          </cell>
          <cell r="E833">
            <v>3218826548</v>
          </cell>
          <cell r="N833" t="str">
            <v>x</v>
          </cell>
          <cell r="P833" t="str">
            <v>Vereda la esperanza</v>
          </cell>
          <cell r="S833" t="e">
            <v>#N/A</v>
          </cell>
          <cell r="T833" t="e">
            <v>#N/A</v>
          </cell>
        </row>
        <row r="834">
          <cell r="A834">
            <v>71993451</v>
          </cell>
          <cell r="B834" t="str">
            <v>Luis Enrique Hidalgo</v>
          </cell>
          <cell r="C834">
            <v>71993451</v>
          </cell>
          <cell r="D834" t="str">
            <v>La Escalera</v>
          </cell>
          <cell r="L834" t="str">
            <v>x</v>
          </cell>
          <cell r="S834" t="e">
            <v>#N/A</v>
          </cell>
          <cell r="T834" t="e">
            <v>#N/A</v>
          </cell>
        </row>
        <row r="835">
          <cell r="A835">
            <v>98459644</v>
          </cell>
          <cell r="B835" t="str">
            <v>Horacio Higuita</v>
          </cell>
          <cell r="C835">
            <v>98459644</v>
          </cell>
          <cell r="D835" t="str">
            <v>Juntas de Uramita</v>
          </cell>
          <cell r="E835">
            <v>3147634257</v>
          </cell>
          <cell r="P835" t="str">
            <v>Juntas de Uramita</v>
          </cell>
          <cell r="S835" t="e">
            <v>#N/A</v>
          </cell>
          <cell r="T835" t="e">
            <v>#N/A</v>
          </cell>
        </row>
        <row r="836">
          <cell r="A836">
            <v>98460488</v>
          </cell>
          <cell r="B836" t="str">
            <v>ROBERT ALFONSO TUBERQUIA MONROY</v>
          </cell>
          <cell r="C836">
            <v>98460488</v>
          </cell>
          <cell r="D836" t="str">
            <v>CESTILLAL</v>
          </cell>
          <cell r="S836" t="e">
            <v>#N/A</v>
          </cell>
          <cell r="T836" t="e">
            <v>#N/A</v>
          </cell>
        </row>
        <row r="837">
          <cell r="A837">
            <v>98588141</v>
          </cell>
          <cell r="B837" t="str">
            <v>Javier Medina</v>
          </cell>
          <cell r="C837">
            <v>98588141</v>
          </cell>
          <cell r="D837" t="str">
            <v>Urbano</v>
          </cell>
          <cell r="E837">
            <v>3126830295</v>
          </cell>
          <cell r="L837" t="str">
            <v>x</v>
          </cell>
          <cell r="P837" t="str">
            <v>Barrio los balsos</v>
          </cell>
          <cell r="S837" t="e">
            <v>#N/A</v>
          </cell>
          <cell r="T837" t="e">
            <v>#N/A</v>
          </cell>
        </row>
        <row r="838">
          <cell r="A838">
            <v>1046952085</v>
          </cell>
          <cell r="B838" t="str">
            <v>Luis Carlos  Moreno</v>
          </cell>
          <cell r="C838">
            <v>1046952085</v>
          </cell>
          <cell r="D838" t="str">
            <v>Buena vista</v>
          </cell>
          <cell r="E838">
            <v>3217046886</v>
          </cell>
          <cell r="I838" t="str">
            <v>Hijo y padre</v>
          </cell>
          <cell r="L838" t="str">
            <v>x</v>
          </cell>
          <cell r="P838" t="str">
            <v>Parte baja por los morenos</v>
          </cell>
          <cell r="Q838" t="str">
            <v>Visitar</v>
          </cell>
          <cell r="S838" t="str">
            <v>banco agrario</v>
          </cell>
          <cell r="T838">
            <v>1</v>
          </cell>
        </row>
        <row r="839">
          <cell r="A839">
            <v>1046952462</v>
          </cell>
          <cell r="B839" t="str">
            <v>Milton Torres Durango</v>
          </cell>
          <cell r="C839">
            <v>1046952462</v>
          </cell>
          <cell r="D839" t="str">
            <v>Vereda los Antioqueños</v>
          </cell>
          <cell r="N839" t="str">
            <v>X</v>
          </cell>
          <cell r="S839" t="e">
            <v>#N/A</v>
          </cell>
          <cell r="T839" t="e">
            <v>#N/A</v>
          </cell>
        </row>
        <row r="840">
          <cell r="A840">
            <v>98613810</v>
          </cell>
          <cell r="B840" t="str">
            <v>Ivan Dario Gracioano Pino</v>
          </cell>
          <cell r="C840">
            <v>98613810</v>
          </cell>
          <cell r="D840" t="str">
            <v>Buena Vista</v>
          </cell>
          <cell r="E840">
            <v>3234534141</v>
          </cell>
          <cell r="L840" t="str">
            <v>x</v>
          </cell>
          <cell r="S840" t="e">
            <v>#N/A</v>
          </cell>
          <cell r="T840" t="e">
            <v>#N/A</v>
          </cell>
        </row>
        <row r="841">
          <cell r="A841">
            <v>98613810</v>
          </cell>
          <cell r="B841" t="str">
            <v xml:space="preserve">Luis Eduardo Usuga Giraldo </v>
          </cell>
          <cell r="C841">
            <v>98613810</v>
          </cell>
          <cell r="D841" t="str">
            <v>San Luis de Juntas</v>
          </cell>
          <cell r="E841">
            <v>3218453123</v>
          </cell>
          <cell r="L841" t="str">
            <v>x</v>
          </cell>
          <cell r="S841" t="e">
            <v>#N/A</v>
          </cell>
          <cell r="T841" t="e">
            <v>#N/A</v>
          </cell>
        </row>
        <row r="842">
          <cell r="A842">
            <v>98613810</v>
          </cell>
          <cell r="B842" t="str">
            <v>Ivan Dario Gracioano Pino</v>
          </cell>
          <cell r="C842">
            <v>98613810</v>
          </cell>
          <cell r="D842" t="str">
            <v>Buena Vista</v>
          </cell>
          <cell r="E842">
            <v>3234534141</v>
          </cell>
          <cell r="L842" t="str">
            <v>x</v>
          </cell>
          <cell r="S842" t="e">
            <v>#N/A</v>
          </cell>
          <cell r="T842" t="e">
            <v>#N/A</v>
          </cell>
        </row>
        <row r="843">
          <cell r="A843">
            <v>98613810</v>
          </cell>
          <cell r="B843" t="str">
            <v xml:space="preserve">Luis Eduardo Usuga Giraldo </v>
          </cell>
          <cell r="C843">
            <v>98613810</v>
          </cell>
          <cell r="D843" t="str">
            <v>San Luis de Juntas</v>
          </cell>
          <cell r="E843">
            <v>3218453123</v>
          </cell>
          <cell r="L843" t="str">
            <v>x</v>
          </cell>
          <cell r="S843" t="e">
            <v>#N/A</v>
          </cell>
          <cell r="T843" t="e">
            <v>#N/A</v>
          </cell>
        </row>
        <row r="844">
          <cell r="A844">
            <v>98613817</v>
          </cell>
          <cell r="B844" t="str">
            <v>Juan Eugenio Rodríguez</v>
          </cell>
          <cell r="C844">
            <v>98613817</v>
          </cell>
          <cell r="D844" t="str">
            <v>San Julián</v>
          </cell>
          <cell r="E844" t="str">
            <v>320 659 0216</v>
          </cell>
          <cell r="G844" t="str">
            <v>x</v>
          </cell>
          <cell r="L844" t="str">
            <v>x</v>
          </cell>
          <cell r="S844" t="e">
            <v>#N/A</v>
          </cell>
          <cell r="T844">
            <v>1</v>
          </cell>
        </row>
        <row r="845">
          <cell r="A845">
            <v>98613986</v>
          </cell>
          <cell r="B845" t="str">
            <v>Ruben Dario Valderrama</v>
          </cell>
          <cell r="C845">
            <v>98613986</v>
          </cell>
          <cell r="D845" t="str">
            <v>Vereda Chupadero</v>
          </cell>
          <cell r="P845" t="str">
            <v>Vereda Chupadero</v>
          </cell>
          <cell r="S845" t="e">
            <v>#N/A</v>
          </cell>
          <cell r="T845">
            <v>1</v>
          </cell>
        </row>
        <row r="846">
          <cell r="A846">
            <v>98613986</v>
          </cell>
          <cell r="B846" t="str">
            <v>Ruben Dario Valderrama Graciano</v>
          </cell>
          <cell r="C846">
            <v>98613986</v>
          </cell>
          <cell r="E846" t="str">
            <v>3104921425 - 3137242514</v>
          </cell>
          <cell r="I846" t="str">
            <v>Esposa y dos hijos de 3 años y 4 meses</v>
          </cell>
          <cell r="L846" t="str">
            <v>x</v>
          </cell>
          <cell r="P846" t="str">
            <v xml:space="preserve">Parte alta, hacia la escuela </v>
          </cell>
          <cell r="Q846" t="str">
            <v>Visitar</v>
          </cell>
          <cell r="R846" t="str">
            <v>damnificado por techo</v>
          </cell>
          <cell r="S846" t="e">
            <v>#N/A</v>
          </cell>
          <cell r="T846">
            <v>1</v>
          </cell>
        </row>
        <row r="847">
          <cell r="A847">
            <v>1152204497</v>
          </cell>
          <cell r="B847" t="str">
            <v>Doris Herminia Higuita Manco</v>
          </cell>
          <cell r="C847">
            <v>1152204497</v>
          </cell>
          <cell r="D847" t="str">
            <v>La Soledad</v>
          </cell>
          <cell r="N847" t="str">
            <v>x</v>
          </cell>
          <cell r="S847" t="e">
            <v>#N/A</v>
          </cell>
          <cell r="T847" t="e">
            <v>#N/A</v>
          </cell>
        </row>
        <row r="848">
          <cell r="A848">
            <v>1152687593</v>
          </cell>
          <cell r="B848" t="str">
            <v xml:space="preserve">Liseth Beronica Campo Guisao </v>
          </cell>
          <cell r="C848">
            <v>1152687593</v>
          </cell>
          <cell r="D848" t="str">
            <v>Apucarco</v>
          </cell>
          <cell r="E848">
            <v>3232942968</v>
          </cell>
          <cell r="O848" t="str">
            <v>X</v>
          </cell>
          <cell r="S848" t="e">
            <v>#N/A</v>
          </cell>
          <cell r="T848" t="e">
            <v>#N/A</v>
          </cell>
        </row>
        <row r="849">
          <cell r="A849">
            <v>98613986</v>
          </cell>
          <cell r="B849" t="str">
            <v>ruben dario valderrama</v>
          </cell>
          <cell r="C849">
            <v>98613986</v>
          </cell>
          <cell r="D849" t="str">
            <v>chupadero</v>
          </cell>
          <cell r="L849" t="str">
            <v>x</v>
          </cell>
          <cell r="S849" t="e">
            <v>#N/A</v>
          </cell>
          <cell r="T849">
            <v>1</v>
          </cell>
        </row>
        <row r="850">
          <cell r="A850">
            <v>1192765813</v>
          </cell>
          <cell r="B850" t="str">
            <v>Luis Carlos Rodrigues David</v>
          </cell>
          <cell r="C850">
            <v>1192765813</v>
          </cell>
          <cell r="D850" t="str">
            <v>La Curva</v>
          </cell>
          <cell r="E850">
            <v>3113956557</v>
          </cell>
          <cell r="N850" t="str">
            <v>X</v>
          </cell>
          <cell r="S850" t="e">
            <v>#N/A</v>
          </cell>
          <cell r="T850" t="e">
            <v>#N/A</v>
          </cell>
        </row>
        <row r="851">
          <cell r="A851">
            <v>98614340</v>
          </cell>
          <cell r="B851" t="str">
            <v xml:space="preserve">Omar de Jesús Alcaraz David </v>
          </cell>
          <cell r="C851">
            <v>98614340</v>
          </cell>
          <cell r="D851" t="str">
            <v>San Julian</v>
          </cell>
          <cell r="E851">
            <v>3222706912</v>
          </cell>
          <cell r="G851" t="str">
            <v>x</v>
          </cell>
          <cell r="L851" t="str">
            <v>x</v>
          </cell>
          <cell r="S851" t="e">
            <v>#N/A</v>
          </cell>
          <cell r="T851" t="e">
            <v>#N/A</v>
          </cell>
        </row>
        <row r="852">
          <cell r="A852">
            <v>98614340</v>
          </cell>
          <cell r="B852" t="str">
            <v xml:space="preserve">Omar de Jesús Alcaraz David </v>
          </cell>
          <cell r="C852">
            <v>98614340</v>
          </cell>
          <cell r="D852" t="str">
            <v>San Julian</v>
          </cell>
          <cell r="E852">
            <v>3222706912</v>
          </cell>
          <cell r="G852" t="str">
            <v>x</v>
          </cell>
          <cell r="L852" t="str">
            <v>x</v>
          </cell>
          <cell r="S852" t="e">
            <v>#N/A</v>
          </cell>
          <cell r="T852" t="e">
            <v>#N/A</v>
          </cell>
        </row>
        <row r="853">
          <cell r="A853">
            <v>98694509</v>
          </cell>
          <cell r="B853" t="str">
            <v>Ricaute Urrego Lopez</v>
          </cell>
          <cell r="C853">
            <v>98694509</v>
          </cell>
          <cell r="D853" t="str">
            <v>Urbano</v>
          </cell>
          <cell r="E853">
            <v>3207546040</v>
          </cell>
          <cell r="P853" t="str">
            <v>Versalles y el eden</v>
          </cell>
          <cell r="S853" t="e">
            <v>#N/A</v>
          </cell>
          <cell r="T853">
            <v>1</v>
          </cell>
        </row>
        <row r="854">
          <cell r="A854">
            <v>98698061</v>
          </cell>
          <cell r="B854" t="str">
            <v>david alexis alvarez castrillon</v>
          </cell>
          <cell r="C854">
            <v>98698061</v>
          </cell>
          <cell r="D854" t="str">
            <v>cordoncillal</v>
          </cell>
          <cell r="E854">
            <v>3214777900</v>
          </cell>
          <cell r="L854" t="str">
            <v>x</v>
          </cell>
          <cell r="S854" t="e">
            <v>#N/A</v>
          </cell>
          <cell r="T854" t="e">
            <v>#N/A</v>
          </cell>
        </row>
        <row r="855">
          <cell r="A855">
            <v>98706623</v>
          </cell>
          <cell r="B855" t="str">
            <v xml:space="preserve">Leónidas de Jesús Correa </v>
          </cell>
          <cell r="C855">
            <v>98706623</v>
          </cell>
          <cell r="D855" t="str">
            <v>La Soledad</v>
          </cell>
          <cell r="E855">
            <v>3145658633</v>
          </cell>
          <cell r="F855" t="str">
            <v>x</v>
          </cell>
          <cell r="L855" t="str">
            <v>x</v>
          </cell>
          <cell r="S855" t="e">
            <v>#N/A</v>
          </cell>
          <cell r="T855">
            <v>1</v>
          </cell>
        </row>
        <row r="856">
          <cell r="A856">
            <v>3216289567</v>
          </cell>
          <cell r="B856" t="str">
            <v>Eriberto Florez</v>
          </cell>
          <cell r="C856">
            <v>3216289567</v>
          </cell>
          <cell r="D856" t="str">
            <v>Santo Domingo</v>
          </cell>
          <cell r="E856">
            <v>3206063239</v>
          </cell>
          <cell r="N856" t="str">
            <v>x</v>
          </cell>
          <cell r="S856" t="e">
            <v>#N/A</v>
          </cell>
          <cell r="T856" t="e">
            <v>#N/A</v>
          </cell>
        </row>
        <row r="857">
          <cell r="A857">
            <v>3216289567</v>
          </cell>
          <cell r="B857" t="str">
            <v>Eriberto Florez</v>
          </cell>
          <cell r="C857">
            <v>3216289567</v>
          </cell>
          <cell r="D857" t="str">
            <v>Santo Domingo</v>
          </cell>
          <cell r="E857">
            <v>3206063239</v>
          </cell>
          <cell r="N857" t="str">
            <v>x</v>
          </cell>
          <cell r="S857" t="e">
            <v>#N/A</v>
          </cell>
          <cell r="T857" t="e">
            <v>#N/A</v>
          </cell>
        </row>
        <row r="858">
          <cell r="A858">
            <v>98706623</v>
          </cell>
          <cell r="B858" t="str">
            <v xml:space="preserve">Leónidas de Jesús Correa </v>
          </cell>
          <cell r="C858">
            <v>98706623</v>
          </cell>
          <cell r="D858" t="str">
            <v>La Soledad</v>
          </cell>
          <cell r="E858">
            <v>3145658633</v>
          </cell>
          <cell r="F858" t="str">
            <v>x</v>
          </cell>
          <cell r="L858" t="str">
            <v>x</v>
          </cell>
          <cell r="S858" t="e">
            <v>#N/A</v>
          </cell>
          <cell r="T858">
            <v>1</v>
          </cell>
        </row>
        <row r="859">
          <cell r="A859">
            <v>98715856</v>
          </cell>
          <cell r="B859" t="str">
            <v>VICTOR GOMEZ OQUENDO</v>
          </cell>
          <cell r="C859">
            <v>98715856</v>
          </cell>
          <cell r="D859" t="str">
            <v>CESTILLAL</v>
          </cell>
          <cell r="S859" t="e">
            <v>#N/A</v>
          </cell>
          <cell r="T859" t="e">
            <v>#N/A</v>
          </cell>
        </row>
        <row r="860">
          <cell r="B860" t="str">
            <v>Roberto Bedoya</v>
          </cell>
          <cell r="D860" t="str">
            <v>San Luis de Juntas</v>
          </cell>
          <cell r="E860">
            <v>3113691692</v>
          </cell>
          <cell r="N860" t="str">
            <v>x</v>
          </cell>
          <cell r="S860" t="e">
            <v>#N/A</v>
          </cell>
          <cell r="T860" t="e">
            <v>#N/A</v>
          </cell>
        </row>
        <row r="861">
          <cell r="B861" t="str">
            <v>Roberto Bedoya</v>
          </cell>
          <cell r="D861" t="str">
            <v>San Luis de Juntas</v>
          </cell>
          <cell r="E861">
            <v>3113691692</v>
          </cell>
          <cell r="N861" t="str">
            <v>x</v>
          </cell>
          <cell r="S861" t="e">
            <v>#N/A</v>
          </cell>
          <cell r="T861" t="e">
            <v>#N/A</v>
          </cell>
        </row>
        <row r="862">
          <cell r="A862">
            <v>473781884</v>
          </cell>
          <cell r="B862" t="str">
            <v>Blanca Luz Hidalgo</v>
          </cell>
          <cell r="C862">
            <v>473781884</v>
          </cell>
          <cell r="D862" t="str">
            <v>Urbano</v>
          </cell>
          <cell r="E862">
            <v>3167241815</v>
          </cell>
          <cell r="L862" t="str">
            <v>x</v>
          </cell>
          <cell r="P862" t="str">
            <v>Barrio los balsos</v>
          </cell>
          <cell r="S862" t="e">
            <v>#N/A</v>
          </cell>
          <cell r="T862" t="e">
            <v>#N/A</v>
          </cell>
        </row>
        <row r="863">
          <cell r="B863" t="str">
            <v>Jaime  Durango</v>
          </cell>
          <cell r="D863" t="str">
            <v>La loma</v>
          </cell>
          <cell r="N863" t="str">
            <v>x</v>
          </cell>
          <cell r="R863" t="str">
            <v>Martica</v>
          </cell>
          <cell r="S863" t="e">
            <v>#N/A</v>
          </cell>
          <cell r="T863" t="e">
            <v>#N/A</v>
          </cell>
        </row>
        <row r="864">
          <cell r="B864" t="str">
            <v>Estefani  Usuga</v>
          </cell>
          <cell r="D864" t="str">
            <v>La loma</v>
          </cell>
          <cell r="N864" t="str">
            <v>x</v>
          </cell>
          <cell r="R864" t="str">
            <v>Martica</v>
          </cell>
          <cell r="S864" t="e">
            <v>#N/A</v>
          </cell>
          <cell r="T864" t="e">
            <v>#N/A</v>
          </cell>
        </row>
        <row r="865">
          <cell r="B865" t="str">
            <v>Egidio Gaviria</v>
          </cell>
          <cell r="D865" t="str">
            <v>La Balsita</v>
          </cell>
          <cell r="N865" t="str">
            <v>x</v>
          </cell>
          <cell r="R865" t="str">
            <v>Martica</v>
          </cell>
          <cell r="S865" t="e">
            <v>#N/A</v>
          </cell>
          <cell r="T865" t="e">
            <v>#N/A</v>
          </cell>
        </row>
        <row r="866">
          <cell r="B866" t="str">
            <v>Euclides Aguirre</v>
          </cell>
          <cell r="D866" t="str">
            <v>La Balsita</v>
          </cell>
          <cell r="N866" t="str">
            <v>x</v>
          </cell>
          <cell r="R866" t="str">
            <v>Martica</v>
          </cell>
          <cell r="S866" t="e">
            <v>#N/A</v>
          </cell>
          <cell r="T866" t="e">
            <v>#N/A</v>
          </cell>
        </row>
        <row r="867">
          <cell r="B867" t="str">
            <v>Jhon Fernando Durango</v>
          </cell>
          <cell r="D867" t="str">
            <v>Juan Gomez</v>
          </cell>
          <cell r="N867" t="str">
            <v>x</v>
          </cell>
          <cell r="R867" t="str">
            <v>Martica</v>
          </cell>
          <cell r="S867" t="e">
            <v>#N/A</v>
          </cell>
          <cell r="T867" t="e">
            <v>#N/A</v>
          </cell>
        </row>
        <row r="868">
          <cell r="B868" t="str">
            <v>Gildardo  Monrroy Duarte</v>
          </cell>
          <cell r="D868" t="str">
            <v>San Jose</v>
          </cell>
          <cell r="N868" t="str">
            <v>x</v>
          </cell>
          <cell r="S868" t="e">
            <v>#N/A</v>
          </cell>
          <cell r="T868" t="e">
            <v>#N/A</v>
          </cell>
        </row>
        <row r="869">
          <cell r="B869" t="str">
            <v>JAVIER GOMEZ AGUIRRE</v>
          </cell>
          <cell r="D869" t="str">
            <v>MACANAL</v>
          </cell>
          <cell r="E869">
            <v>3127171156</v>
          </cell>
          <cell r="N869" t="str">
            <v>x</v>
          </cell>
          <cell r="R869" t="str">
            <v>PRESIDENTE PRIORIZADO</v>
          </cell>
          <cell r="S869" t="e">
            <v>#N/A</v>
          </cell>
          <cell r="T869" t="e">
            <v>#N/A</v>
          </cell>
        </row>
        <row r="870">
          <cell r="B870" t="str">
            <v>Alvaro Carrillo</v>
          </cell>
          <cell r="D870" t="str">
            <v>Aguada</v>
          </cell>
          <cell r="O870" t="str">
            <v>X</v>
          </cell>
          <cell r="R870" t="str">
            <v>PRIORIDAD ALCALDE</v>
          </cell>
          <cell r="S870" t="e">
            <v>#N/A</v>
          </cell>
          <cell r="T870" t="e">
            <v>#N/A</v>
          </cell>
        </row>
        <row r="871">
          <cell r="B871" t="str">
            <v>Morelia Goez Berrio</v>
          </cell>
          <cell r="D871" t="str">
            <v>Cestillal</v>
          </cell>
          <cell r="O871" t="str">
            <v>X</v>
          </cell>
          <cell r="R871" t="str">
            <v>PRIORIDAD ALCALDE</v>
          </cell>
          <cell r="S871" t="e">
            <v>#N/A</v>
          </cell>
          <cell r="T871" t="e">
            <v>#N/A</v>
          </cell>
        </row>
        <row r="872">
          <cell r="B872" t="str">
            <v>Adriana  Usuga</v>
          </cell>
          <cell r="D872" t="str">
            <v>La loma</v>
          </cell>
          <cell r="O872" t="str">
            <v>X</v>
          </cell>
          <cell r="R872" t="str">
            <v>Martica</v>
          </cell>
          <cell r="S872" t="e">
            <v>#N/A</v>
          </cell>
          <cell r="T872" t="e">
            <v>#N/A</v>
          </cell>
        </row>
        <row r="873">
          <cell r="B873" t="str">
            <v>Alejadrino  Giraldo</v>
          </cell>
          <cell r="D873" t="str">
            <v>La loma</v>
          </cell>
          <cell r="O873" t="str">
            <v>X</v>
          </cell>
          <cell r="R873" t="str">
            <v>Martica</v>
          </cell>
          <cell r="S873" t="e">
            <v>#N/A</v>
          </cell>
          <cell r="T873" t="e">
            <v>#N/A</v>
          </cell>
        </row>
        <row r="874">
          <cell r="B874" t="str">
            <v>susana Penagos</v>
          </cell>
          <cell r="D874" t="str">
            <v>La balsita</v>
          </cell>
          <cell r="O874" t="str">
            <v>X</v>
          </cell>
          <cell r="R874" t="str">
            <v>Martica</v>
          </cell>
          <cell r="S874" t="e">
            <v>#N/A</v>
          </cell>
          <cell r="T874" t="e">
            <v>#N/A</v>
          </cell>
        </row>
        <row r="875">
          <cell r="B875" t="str">
            <v>Arnulfo Serna</v>
          </cell>
          <cell r="D875" t="str">
            <v>La balsita</v>
          </cell>
          <cell r="O875" t="str">
            <v>X</v>
          </cell>
          <cell r="R875" t="str">
            <v>Martica</v>
          </cell>
          <cell r="S875" t="e">
            <v>#N/A</v>
          </cell>
          <cell r="T875" t="e">
            <v>#N/A</v>
          </cell>
        </row>
        <row r="876">
          <cell r="B876" t="str">
            <v>Marta Luz Florez</v>
          </cell>
          <cell r="D876" t="str">
            <v>La balsita</v>
          </cell>
          <cell r="O876" t="str">
            <v>X</v>
          </cell>
          <cell r="R876" t="str">
            <v>Martica</v>
          </cell>
          <cell r="S876" t="e">
            <v>#N/A</v>
          </cell>
          <cell r="T876" t="e">
            <v>#N/A</v>
          </cell>
        </row>
        <row r="877">
          <cell r="B877" t="str">
            <v>Fabian Manco Marin</v>
          </cell>
          <cell r="D877" t="str">
            <v>Juan Gomez</v>
          </cell>
          <cell r="E877">
            <v>3135888947</v>
          </cell>
          <cell r="O877" t="str">
            <v>X</v>
          </cell>
          <cell r="R877" t="str">
            <v>Martica</v>
          </cell>
          <cell r="S877" t="e">
            <v>#N/A</v>
          </cell>
          <cell r="T877" t="e">
            <v>#N/A</v>
          </cell>
        </row>
        <row r="878">
          <cell r="B878" t="str">
            <v>Reyna David</v>
          </cell>
          <cell r="D878" t="str">
            <v>Juan Gomez</v>
          </cell>
          <cell r="E878">
            <v>3502149407</v>
          </cell>
          <cell r="O878" t="str">
            <v>X</v>
          </cell>
          <cell r="R878" t="str">
            <v>Martica</v>
          </cell>
          <cell r="S878" t="e">
            <v>#N/A</v>
          </cell>
          <cell r="T878" t="e">
            <v>#N/A</v>
          </cell>
        </row>
        <row r="879">
          <cell r="B879" t="str">
            <v>Hugo hechavarria</v>
          </cell>
          <cell r="D879" t="str">
            <v>Juan Gomez</v>
          </cell>
          <cell r="O879" t="str">
            <v>X</v>
          </cell>
          <cell r="R879" t="str">
            <v>Martica</v>
          </cell>
          <cell r="S879" t="e">
            <v>#N/A</v>
          </cell>
          <cell r="T879" t="e">
            <v>#N/A</v>
          </cell>
        </row>
        <row r="880">
          <cell r="B880" t="str">
            <v>Jorge Higuita</v>
          </cell>
          <cell r="D880" t="str">
            <v>Juan Gomez</v>
          </cell>
          <cell r="E880">
            <v>3145923979</v>
          </cell>
          <cell r="O880" t="str">
            <v>X</v>
          </cell>
          <cell r="R880" t="str">
            <v>Martica</v>
          </cell>
          <cell r="S880" t="e">
            <v>#N/A</v>
          </cell>
          <cell r="T880" t="e">
            <v>#N/A</v>
          </cell>
        </row>
        <row r="881">
          <cell r="B881" t="str">
            <v>Jhon Fernando Durango</v>
          </cell>
          <cell r="D881" t="str">
            <v>Juan Gomez</v>
          </cell>
          <cell r="E881">
            <v>3104370169</v>
          </cell>
          <cell r="O881" t="str">
            <v>X</v>
          </cell>
          <cell r="R881" t="str">
            <v>Martica</v>
          </cell>
          <cell r="S881" t="e">
            <v>#N/A</v>
          </cell>
          <cell r="T881" t="e">
            <v>#N/A</v>
          </cell>
        </row>
        <row r="882">
          <cell r="B882" t="str">
            <v>Marina Hurtado</v>
          </cell>
          <cell r="D882" t="str">
            <v>Juan Gomez</v>
          </cell>
          <cell r="E882">
            <v>3217798547</v>
          </cell>
          <cell r="O882" t="str">
            <v>X</v>
          </cell>
          <cell r="R882" t="str">
            <v>Martica</v>
          </cell>
          <cell r="S882" t="e">
            <v>#N/A</v>
          </cell>
          <cell r="T882" t="e">
            <v>#N/A</v>
          </cell>
        </row>
        <row r="883">
          <cell r="B883" t="str">
            <v>Hector Usuga Lopez</v>
          </cell>
          <cell r="D883" t="str">
            <v>Juan Gomez</v>
          </cell>
          <cell r="O883" t="str">
            <v>X</v>
          </cell>
          <cell r="R883" t="str">
            <v>Martica</v>
          </cell>
          <cell r="S883" t="e">
            <v>#N/A</v>
          </cell>
          <cell r="T883" t="e">
            <v>#N/A</v>
          </cell>
        </row>
        <row r="884">
          <cell r="B884" t="str">
            <v>Nelly  Usuga</v>
          </cell>
          <cell r="D884" t="str">
            <v>Juan Gomez</v>
          </cell>
          <cell r="O884" t="str">
            <v>X</v>
          </cell>
          <cell r="R884" t="str">
            <v>Martica</v>
          </cell>
          <cell r="S884" t="e">
            <v>#N/A</v>
          </cell>
          <cell r="T884" t="e">
            <v>#N/A</v>
          </cell>
        </row>
        <row r="885">
          <cell r="B885" t="str">
            <v>susana Penagos</v>
          </cell>
          <cell r="D885" t="str">
            <v>La balsita</v>
          </cell>
          <cell r="O885" t="str">
            <v>X</v>
          </cell>
          <cell r="S885" t="e">
            <v>#N/A</v>
          </cell>
          <cell r="T885" t="e">
            <v>#N/A</v>
          </cell>
        </row>
        <row r="886">
          <cell r="B886" t="str">
            <v>Arnulfo Serna</v>
          </cell>
          <cell r="D886" t="str">
            <v>La balsita</v>
          </cell>
          <cell r="O886" t="str">
            <v>X</v>
          </cell>
          <cell r="S886" t="e">
            <v>#N/A</v>
          </cell>
          <cell r="T886" t="e">
            <v>#N/A</v>
          </cell>
        </row>
        <row r="887">
          <cell r="B887" t="str">
            <v>Marta Luz Florez</v>
          </cell>
          <cell r="D887" t="str">
            <v>La balsita</v>
          </cell>
          <cell r="O887" t="str">
            <v>X</v>
          </cell>
          <cell r="S887" t="e">
            <v>#N/A</v>
          </cell>
          <cell r="T887" t="e">
            <v>#N/A</v>
          </cell>
        </row>
        <row r="888">
          <cell r="B888" t="str">
            <v>Edilson  Puerta</v>
          </cell>
          <cell r="D888" t="str">
            <v>San Jose</v>
          </cell>
          <cell r="O888" t="str">
            <v>X</v>
          </cell>
          <cell r="S888" t="e">
            <v>#N/A</v>
          </cell>
          <cell r="T888" t="e">
            <v>#N/A</v>
          </cell>
        </row>
        <row r="889">
          <cell r="B889" t="str">
            <v>Ana Londoño</v>
          </cell>
          <cell r="D889" t="str">
            <v>San jose</v>
          </cell>
          <cell r="O889" t="str">
            <v>X</v>
          </cell>
          <cell r="S889" t="e">
            <v>#N/A</v>
          </cell>
          <cell r="T889" t="e">
            <v>#N/A</v>
          </cell>
        </row>
        <row r="890">
          <cell r="B890" t="str">
            <v>Carlos  Usuga</v>
          </cell>
          <cell r="D890" t="str">
            <v>San jose</v>
          </cell>
          <cell r="O890" t="str">
            <v>X</v>
          </cell>
          <cell r="S890" t="e">
            <v>#N/A</v>
          </cell>
          <cell r="T890" t="e">
            <v>#N/A</v>
          </cell>
        </row>
        <row r="891">
          <cell r="B891" t="str">
            <v>LUIS ALFREDO USUGA DAVID</v>
          </cell>
          <cell r="D891" t="str">
            <v>MACANAL</v>
          </cell>
          <cell r="E891">
            <v>3233489031</v>
          </cell>
          <cell r="O891" t="str">
            <v>X</v>
          </cell>
          <cell r="R891" t="str">
            <v>PRESIDENTE PRIORIZADO</v>
          </cell>
          <cell r="S891" t="e">
            <v>#N/A</v>
          </cell>
          <cell r="T891" t="e">
            <v>#N/A</v>
          </cell>
        </row>
        <row r="892">
          <cell r="B892" t="str">
            <v>Jaime Durango</v>
          </cell>
          <cell r="D892" t="str">
            <v>La Loma</v>
          </cell>
          <cell r="N892" t="str">
            <v>x</v>
          </cell>
          <cell r="S892" t="e">
            <v>#N/A</v>
          </cell>
          <cell r="T892" t="e">
            <v>#N/A</v>
          </cell>
        </row>
        <row r="893">
          <cell r="A893">
            <v>1000106294</v>
          </cell>
          <cell r="B893" t="str">
            <v xml:space="preserve">Hilda Cristina </v>
          </cell>
          <cell r="C893">
            <v>1000106294</v>
          </cell>
          <cell r="D893" t="str">
            <v>San Miguelito</v>
          </cell>
          <cell r="E893">
            <v>3108296218</v>
          </cell>
          <cell r="K893" t="str">
            <v>x</v>
          </cell>
          <cell r="S893" t="e">
            <v>#N/A</v>
          </cell>
          <cell r="T893" t="e">
            <v>#N/A</v>
          </cell>
        </row>
        <row r="894">
          <cell r="A894">
            <v>1000112224</v>
          </cell>
          <cell r="B894" t="str">
            <v>Ricaute Higuita Salas</v>
          </cell>
          <cell r="C894">
            <v>1000112224</v>
          </cell>
          <cell r="D894" t="str">
            <v>San Luis de Juntas</v>
          </cell>
          <cell r="E894">
            <v>3218453123</v>
          </cell>
          <cell r="L894" t="str">
            <v>x</v>
          </cell>
          <cell r="S894" t="e">
            <v>#N/A</v>
          </cell>
          <cell r="T894" t="e">
            <v>#N/A</v>
          </cell>
        </row>
        <row r="895">
          <cell r="B895" t="str">
            <v>Jaime Durango</v>
          </cell>
          <cell r="D895" t="str">
            <v>La Loma</v>
          </cell>
          <cell r="N895" t="str">
            <v>x</v>
          </cell>
          <cell r="S895" t="e">
            <v>#N/A</v>
          </cell>
          <cell r="T895" t="e">
            <v>#N/A</v>
          </cell>
        </row>
        <row r="896">
          <cell r="B896" t="str">
            <v>Ruben Dario Durango</v>
          </cell>
          <cell r="D896" t="str">
            <v>Vereda los Antioqueños</v>
          </cell>
          <cell r="N896" t="str">
            <v>X</v>
          </cell>
          <cell r="S896" t="e">
            <v>#N/A</v>
          </cell>
          <cell r="T896" t="e">
            <v>#N/A</v>
          </cell>
        </row>
        <row r="897">
          <cell r="B897" t="str">
            <v>Isabel Garcia</v>
          </cell>
          <cell r="D897" t="str">
            <v>Moroto</v>
          </cell>
          <cell r="E897">
            <v>3128118464</v>
          </cell>
          <cell r="O897" t="str">
            <v>X</v>
          </cell>
          <cell r="S897" t="e">
            <v>#N/A</v>
          </cell>
          <cell r="T897" t="e">
            <v>#N/A</v>
          </cell>
        </row>
        <row r="898">
          <cell r="A898">
            <v>1000112224</v>
          </cell>
          <cell r="B898" t="str">
            <v>Ricaute Higuita Salas</v>
          </cell>
          <cell r="C898">
            <v>1000112224</v>
          </cell>
          <cell r="D898" t="str">
            <v>San Luis de Juntas</v>
          </cell>
          <cell r="E898">
            <v>3218453123</v>
          </cell>
          <cell r="L898" t="str">
            <v>x</v>
          </cell>
          <cell r="S898" t="e">
            <v>#N/A</v>
          </cell>
          <cell r="T898" t="e">
            <v>#N/A</v>
          </cell>
        </row>
        <row r="899">
          <cell r="A899">
            <v>1000546852</v>
          </cell>
          <cell r="B899" t="str">
            <v>melisa arboleda cano</v>
          </cell>
          <cell r="C899">
            <v>1000546852</v>
          </cell>
          <cell r="D899" t="str">
            <v>Los Naranjos</v>
          </cell>
          <cell r="E899">
            <v>3117406302</v>
          </cell>
          <cell r="K899" t="str">
            <v>x</v>
          </cell>
          <cell r="S899" t="e">
            <v>#N/A</v>
          </cell>
          <cell r="T899" t="e">
            <v>#N/A</v>
          </cell>
        </row>
        <row r="900">
          <cell r="A900">
            <v>1000896494</v>
          </cell>
          <cell r="B900" t="str">
            <v>Laura vanesa Sanches</v>
          </cell>
          <cell r="C900">
            <v>1000896494</v>
          </cell>
          <cell r="D900" t="str">
            <v>La Balsita</v>
          </cell>
          <cell r="E900">
            <v>3113976423</v>
          </cell>
          <cell r="K900" t="str">
            <v>x</v>
          </cell>
          <cell r="Q900" t="str">
            <v>NO VIVE EN SU PREDIO, ES UNO PRESTADO</v>
          </cell>
          <cell r="S900" t="e">
            <v>#N/A</v>
          </cell>
          <cell r="T900" t="e">
            <v>#N/A</v>
          </cell>
        </row>
        <row r="901">
          <cell r="A901">
            <v>1001385986</v>
          </cell>
          <cell r="B901" t="str">
            <v>Camilo Alexander Toro David</v>
          </cell>
          <cell r="C901">
            <v>1001385986</v>
          </cell>
          <cell r="D901" t="str">
            <v>Vereda Chupadero</v>
          </cell>
          <cell r="P901" t="str">
            <v>Vereda Chupadero</v>
          </cell>
          <cell r="S901" t="e">
            <v>#N/A</v>
          </cell>
          <cell r="T901" t="e">
            <v>#N/A</v>
          </cell>
        </row>
        <row r="902">
          <cell r="A902">
            <v>1001385986</v>
          </cell>
          <cell r="B902" t="str">
            <v>camilo alexander toro</v>
          </cell>
          <cell r="C902">
            <v>1001385986</v>
          </cell>
          <cell r="D902" t="str">
            <v>chupadero</v>
          </cell>
          <cell r="L902" t="str">
            <v>x</v>
          </cell>
          <cell r="S902" t="e">
            <v>#N/A</v>
          </cell>
          <cell r="T902" t="e">
            <v>#N/A</v>
          </cell>
        </row>
        <row r="903">
          <cell r="A903">
            <v>1001386115</v>
          </cell>
          <cell r="B903" t="str">
            <v>Ramiro Carrillo</v>
          </cell>
          <cell r="C903">
            <v>1001386115</v>
          </cell>
          <cell r="D903" t="str">
            <v>Juntas de Uramita</v>
          </cell>
          <cell r="E903">
            <v>3209436520</v>
          </cell>
          <cell r="P903" t="str">
            <v>Juntas de Uramita</v>
          </cell>
          <cell r="S903" t="e">
            <v>#N/A</v>
          </cell>
          <cell r="T903" t="e">
            <v>#N/A</v>
          </cell>
        </row>
        <row r="904">
          <cell r="A904">
            <v>1001386207</v>
          </cell>
          <cell r="B904" t="str">
            <v>yurani David Hurtado</v>
          </cell>
          <cell r="C904">
            <v>1001386207</v>
          </cell>
          <cell r="D904" t="str">
            <v>El Retiro</v>
          </cell>
          <cell r="E904" t="str">
            <v>317 889 2754</v>
          </cell>
          <cell r="K904" t="str">
            <v>x</v>
          </cell>
          <cell r="S904" t="e">
            <v>#N/A</v>
          </cell>
          <cell r="T904" t="e">
            <v>#N/A</v>
          </cell>
        </row>
        <row r="905">
          <cell r="A905">
            <v>1001386228</v>
          </cell>
          <cell r="B905" t="str">
            <v>Yesica Alejandra Manco David</v>
          </cell>
          <cell r="C905">
            <v>1001386228</v>
          </cell>
          <cell r="D905" t="str">
            <v>Ciriguan</v>
          </cell>
          <cell r="E905">
            <v>3217712451</v>
          </cell>
          <cell r="L905" t="str">
            <v>x</v>
          </cell>
          <cell r="S905" t="e">
            <v>#N/A</v>
          </cell>
          <cell r="T905" t="e">
            <v>#N/A</v>
          </cell>
        </row>
        <row r="906">
          <cell r="A906">
            <v>1001386258</v>
          </cell>
          <cell r="B906" t="str">
            <v>Gloria Emilse Quiroz</v>
          </cell>
          <cell r="C906">
            <v>1001386258</v>
          </cell>
          <cell r="D906" t="str">
            <v>San Miguelito</v>
          </cell>
          <cell r="E906">
            <v>3116392827</v>
          </cell>
          <cell r="L906" t="str">
            <v>x</v>
          </cell>
          <cell r="S906" t="e">
            <v>#N/A</v>
          </cell>
          <cell r="T906" t="e">
            <v>#N/A</v>
          </cell>
        </row>
        <row r="907">
          <cell r="A907">
            <v>104952172</v>
          </cell>
          <cell r="B907" t="str">
            <v>Noelia Aguirre guisado</v>
          </cell>
          <cell r="C907">
            <v>104952172</v>
          </cell>
          <cell r="D907" t="str">
            <v>San Julián</v>
          </cell>
          <cell r="E907" t="str">
            <v>310 465 3770</v>
          </cell>
          <cell r="G907" t="str">
            <v>x</v>
          </cell>
          <cell r="O907" t="str">
            <v>x</v>
          </cell>
          <cell r="S907" t="e">
            <v>#N/A</v>
          </cell>
          <cell r="T907" t="e">
            <v>#N/A</v>
          </cell>
        </row>
        <row r="908">
          <cell r="A908">
            <v>70432981</v>
          </cell>
          <cell r="B908" t="str">
            <v>novaro Antonio guisao Alcaraz</v>
          </cell>
          <cell r="C908">
            <v>70432981</v>
          </cell>
          <cell r="D908" t="str">
            <v>San Julián</v>
          </cell>
          <cell r="E908">
            <v>3113473222</v>
          </cell>
          <cell r="L908" t="str">
            <v>x</v>
          </cell>
          <cell r="S908" t="str">
            <v>banco agrario</v>
          </cell>
          <cell r="T908">
            <v>0</v>
          </cell>
        </row>
        <row r="909">
          <cell r="A909">
            <v>1046952074</v>
          </cell>
          <cell r="B909" t="str">
            <v>Rodilson Torres Florez</v>
          </cell>
          <cell r="C909">
            <v>1046952074</v>
          </cell>
          <cell r="D909" t="str">
            <v>Paso arriba</v>
          </cell>
          <cell r="L909" t="str">
            <v>x</v>
          </cell>
          <cell r="Q909" t="str">
            <v>SI</v>
          </cell>
          <cell r="R909" t="str">
            <v>PRESIDENTE</v>
          </cell>
          <cell r="S909" t="e">
            <v>#N/A</v>
          </cell>
          <cell r="T909" t="e">
            <v>#N/A</v>
          </cell>
        </row>
        <row r="910">
          <cell r="A910">
            <v>98710843</v>
          </cell>
          <cell r="B910" t="str">
            <v>Juan Guillermo Restrepo Roldán</v>
          </cell>
          <cell r="C910">
            <v>98710843</v>
          </cell>
          <cell r="D910" t="str">
            <v>Apucarco</v>
          </cell>
          <cell r="E910" t="str">
            <v>313521 0151</v>
          </cell>
          <cell r="N910" t="str">
            <v>x</v>
          </cell>
          <cell r="S910" t="e">
            <v>#N/A</v>
          </cell>
          <cell r="T910" t="e">
            <v>#N/A</v>
          </cell>
        </row>
        <row r="911">
          <cell r="A911">
            <v>1001403839</v>
          </cell>
          <cell r="B911" t="str">
            <v>Maricely  Usuga Carrillo</v>
          </cell>
          <cell r="C911">
            <v>1001403839</v>
          </cell>
          <cell r="D911" t="str">
            <v>Juntas de Uramita</v>
          </cell>
          <cell r="E911">
            <v>3126783105</v>
          </cell>
          <cell r="P911" t="str">
            <v>Juntas de Uramita</v>
          </cell>
          <cell r="S911" t="e">
            <v>#N/A</v>
          </cell>
          <cell r="T911" t="e">
            <v>#N/A</v>
          </cell>
        </row>
        <row r="912">
          <cell r="A912">
            <v>1001404124</v>
          </cell>
          <cell r="B912" t="str">
            <v>jorge albeiro rodriguez</v>
          </cell>
          <cell r="C912">
            <v>1001404124</v>
          </cell>
          <cell r="D912" t="str">
            <v>La Soledad</v>
          </cell>
          <cell r="E912">
            <v>3136390740</v>
          </cell>
          <cell r="L912" t="str">
            <v>x</v>
          </cell>
          <cell r="S912" t="e">
            <v>#N/A</v>
          </cell>
          <cell r="T912" t="e">
            <v>#N/A</v>
          </cell>
        </row>
        <row r="913">
          <cell r="A913">
            <v>1001404299</v>
          </cell>
          <cell r="B913" t="str">
            <v>liseth veronica usuga</v>
          </cell>
          <cell r="C913">
            <v>1001404299</v>
          </cell>
          <cell r="D913" t="str">
            <v>pernilla</v>
          </cell>
          <cell r="E913">
            <v>3218741161</v>
          </cell>
          <cell r="L913" t="str">
            <v>x</v>
          </cell>
          <cell r="S913" t="e">
            <v>#N/A</v>
          </cell>
          <cell r="T913" t="e">
            <v>#N/A</v>
          </cell>
        </row>
        <row r="914">
          <cell r="A914">
            <v>1035302543</v>
          </cell>
          <cell r="B914" t="str">
            <v>Gloria esther Uribe Carvajal</v>
          </cell>
          <cell r="C914">
            <v>1035302543</v>
          </cell>
          <cell r="D914" t="str">
            <v>Apucarco</v>
          </cell>
          <cell r="E914" t="str">
            <v>314762 5252</v>
          </cell>
          <cell r="K914" t="str">
            <v>x</v>
          </cell>
          <cell r="S914" t="str">
            <v>fondo nacional de vivienda</v>
          </cell>
          <cell r="T914">
            <v>1</v>
          </cell>
        </row>
        <row r="915">
          <cell r="A915">
            <v>21610363</v>
          </cell>
          <cell r="B915" t="str">
            <v>Gladys María Restrepo caro</v>
          </cell>
          <cell r="C915">
            <v>21610363</v>
          </cell>
          <cell r="D915" t="str">
            <v>Apucarco</v>
          </cell>
          <cell r="E915" t="str">
            <v>313 769 1771</v>
          </cell>
          <cell r="L915" t="str">
            <v>x</v>
          </cell>
          <cell r="N915" t="str">
            <v>x</v>
          </cell>
          <cell r="S915" t="e">
            <v>#N/A</v>
          </cell>
          <cell r="T915">
            <v>1</v>
          </cell>
        </row>
        <row r="916">
          <cell r="A916">
            <v>1001404525</v>
          </cell>
          <cell r="B916" t="str">
            <v xml:space="preserve">luis fernando arteaga </v>
          </cell>
          <cell r="C916">
            <v>1001404525</v>
          </cell>
          <cell r="D916" t="str">
            <v xml:space="preserve">la manga </v>
          </cell>
          <cell r="E916">
            <v>3137831583</v>
          </cell>
          <cell r="K916" t="str">
            <v>x</v>
          </cell>
          <cell r="S916" t="e">
            <v>#N/A</v>
          </cell>
          <cell r="T916" t="e">
            <v>#N/A</v>
          </cell>
        </row>
        <row r="917">
          <cell r="A917">
            <v>1002206897</v>
          </cell>
          <cell r="B917" t="str">
            <v>Yuliana Andrea Garcia Hernandez</v>
          </cell>
          <cell r="C917">
            <v>1002206897</v>
          </cell>
          <cell r="D917" t="str">
            <v>Juntas de Uramita</v>
          </cell>
          <cell r="E917">
            <v>3207010418</v>
          </cell>
          <cell r="P917" t="str">
            <v>Juntas de Uramita</v>
          </cell>
          <cell r="S917" t="e">
            <v>#N/A</v>
          </cell>
          <cell r="T917" t="e">
            <v>#N/A</v>
          </cell>
        </row>
        <row r="918">
          <cell r="A918">
            <v>1003000593</v>
          </cell>
          <cell r="B918" t="str">
            <v>DANIELA RIVERO ESCOBAR</v>
          </cell>
          <cell r="C918">
            <v>1003000593</v>
          </cell>
          <cell r="D918" t="str">
            <v>CESTILLAL</v>
          </cell>
          <cell r="S918" t="e">
            <v>#N/A</v>
          </cell>
          <cell r="T918" t="e">
            <v>#N/A</v>
          </cell>
        </row>
        <row r="919">
          <cell r="A919">
            <v>1004302084</v>
          </cell>
          <cell r="B919" t="str">
            <v>angie paola betancourt rojas</v>
          </cell>
          <cell r="C919">
            <v>1004302084</v>
          </cell>
          <cell r="D919" t="str">
            <v>san julian</v>
          </cell>
          <cell r="E919">
            <v>3206590216</v>
          </cell>
          <cell r="L919" t="str">
            <v>x</v>
          </cell>
          <cell r="S919" t="e">
            <v>#N/A</v>
          </cell>
          <cell r="T919" t="e">
            <v>#N/A</v>
          </cell>
        </row>
        <row r="920">
          <cell r="A920">
            <v>1005302208</v>
          </cell>
          <cell r="B920" t="str">
            <v>Berta Oliva Alcaraz</v>
          </cell>
          <cell r="C920">
            <v>1005302208</v>
          </cell>
          <cell r="D920" t="str">
            <v>Vereda san Julian</v>
          </cell>
          <cell r="E920">
            <v>3136412417</v>
          </cell>
          <cell r="S920" t="e">
            <v>#N/A</v>
          </cell>
          <cell r="T920" t="e">
            <v>#N/A</v>
          </cell>
        </row>
        <row r="921">
          <cell r="A921">
            <v>1007331305</v>
          </cell>
          <cell r="B921" t="str">
            <v>DANILO DE LOS SANTOS CARRILLO CIFUENTES</v>
          </cell>
          <cell r="C921">
            <v>1007331305</v>
          </cell>
          <cell r="D921" t="str">
            <v>SANTO CRISTO</v>
          </cell>
          <cell r="S921" t="e">
            <v>#N/A</v>
          </cell>
          <cell r="T921" t="e">
            <v>#N/A</v>
          </cell>
        </row>
        <row r="922">
          <cell r="A922">
            <v>1007331358</v>
          </cell>
          <cell r="B922" t="str">
            <v>Yina edis Valencia arboleda</v>
          </cell>
          <cell r="C922">
            <v>1007331358</v>
          </cell>
          <cell r="D922" t="str">
            <v>La Escalera</v>
          </cell>
          <cell r="K922" t="str">
            <v>x</v>
          </cell>
          <cell r="S922" t="e">
            <v>#N/A</v>
          </cell>
          <cell r="T922" t="e">
            <v>#N/A</v>
          </cell>
        </row>
        <row r="923">
          <cell r="A923">
            <v>1007331435</v>
          </cell>
          <cell r="B923" t="str">
            <v>YONI EMILIO RODRIGUEZ HIGUITA</v>
          </cell>
          <cell r="C923">
            <v>1007331435</v>
          </cell>
          <cell r="D923" t="str">
            <v>CESTILLAL</v>
          </cell>
          <cell r="S923" t="e">
            <v>#N/A</v>
          </cell>
          <cell r="T923" t="e">
            <v>#N/A</v>
          </cell>
        </row>
        <row r="924">
          <cell r="A924">
            <v>1007331459</v>
          </cell>
          <cell r="B924" t="str">
            <v>Daniela  Manco David</v>
          </cell>
          <cell r="C924">
            <v>1007331459</v>
          </cell>
          <cell r="D924" t="str">
            <v>Ciriguan</v>
          </cell>
          <cell r="E924">
            <v>3127980046</v>
          </cell>
          <cell r="L924" t="str">
            <v>x</v>
          </cell>
          <cell r="S924" t="e">
            <v>#N/A</v>
          </cell>
          <cell r="T924" t="e">
            <v>#N/A</v>
          </cell>
        </row>
        <row r="925">
          <cell r="A925">
            <v>1007430154</v>
          </cell>
          <cell r="B925" t="str">
            <v>Nancy Belsey Castaño</v>
          </cell>
          <cell r="C925">
            <v>1007430154</v>
          </cell>
          <cell r="D925" t="str">
            <v>Juntas de Uramita</v>
          </cell>
          <cell r="E925">
            <v>3206792158</v>
          </cell>
          <cell r="P925" t="str">
            <v>Juntas de Uramita</v>
          </cell>
          <cell r="S925" t="e">
            <v>#N/A</v>
          </cell>
          <cell r="T925" t="e">
            <v>#N/A</v>
          </cell>
        </row>
        <row r="926">
          <cell r="A926">
            <v>1010161903</v>
          </cell>
          <cell r="B926" t="str">
            <v xml:space="preserve">MARGOTH TUBERQUIA </v>
          </cell>
          <cell r="C926">
            <v>1010161903</v>
          </cell>
          <cell r="D926" t="str">
            <v>CUMBARRA</v>
          </cell>
          <cell r="S926" t="e">
            <v>#N/A</v>
          </cell>
          <cell r="T926" t="e">
            <v>#N/A</v>
          </cell>
        </row>
        <row r="927">
          <cell r="A927">
            <v>1037603543</v>
          </cell>
          <cell r="B927" t="str">
            <v>Diana Patricia David</v>
          </cell>
          <cell r="C927">
            <v>1037603543</v>
          </cell>
          <cell r="D927" t="str">
            <v>El Retiro</v>
          </cell>
          <cell r="E927" t="str">
            <v>320 697 9695</v>
          </cell>
          <cell r="O927" t="str">
            <v>x</v>
          </cell>
          <cell r="S927" t="e">
            <v>#N/A</v>
          </cell>
          <cell r="T927" t="e">
            <v>#N/A</v>
          </cell>
        </row>
        <row r="928">
          <cell r="A928">
            <v>43780428</v>
          </cell>
          <cell r="B928" t="str">
            <v>Ana Teresa David higuita</v>
          </cell>
          <cell r="C928">
            <v>43780428</v>
          </cell>
          <cell r="D928" t="str">
            <v>El Retiro</v>
          </cell>
          <cell r="E928" t="str">
            <v>312 748 2185</v>
          </cell>
          <cell r="O928" t="str">
            <v>x</v>
          </cell>
          <cell r="S928" t="e">
            <v>#N/A</v>
          </cell>
          <cell r="T928" t="e">
            <v>#N/A</v>
          </cell>
        </row>
        <row r="929">
          <cell r="A929">
            <v>70431573</v>
          </cell>
          <cell r="B929" t="str">
            <v>Mario de Jesús rueda</v>
          </cell>
          <cell r="C929">
            <v>70431573</v>
          </cell>
          <cell r="D929" t="str">
            <v>El Retiro</v>
          </cell>
          <cell r="E929" t="str">
            <v>323 369 5360</v>
          </cell>
          <cell r="O929" t="str">
            <v>x</v>
          </cell>
          <cell r="S929" t="e">
            <v>#N/A</v>
          </cell>
          <cell r="T929" t="e">
            <v>#N/A</v>
          </cell>
        </row>
        <row r="930">
          <cell r="A930">
            <v>3430908</v>
          </cell>
          <cell r="B930" t="str">
            <v>Hernán Antonio Osorio</v>
          </cell>
          <cell r="C930">
            <v>3430908</v>
          </cell>
          <cell r="D930" t="str">
            <v>El Retiro</v>
          </cell>
          <cell r="E930" t="str">
            <v>321 473 4278</v>
          </cell>
          <cell r="O930" t="str">
            <v>x</v>
          </cell>
          <cell r="S930" t="e">
            <v>#N/A</v>
          </cell>
          <cell r="T930">
            <v>0</v>
          </cell>
        </row>
        <row r="931">
          <cell r="A931">
            <v>21611498</v>
          </cell>
          <cell r="B931" t="str">
            <v>María del socorro David</v>
          </cell>
          <cell r="C931">
            <v>21611498</v>
          </cell>
          <cell r="D931" t="str">
            <v>El Retiro</v>
          </cell>
          <cell r="E931" t="str">
            <v>321 317 0943</v>
          </cell>
          <cell r="N931" t="str">
            <v>x</v>
          </cell>
          <cell r="S931" t="e">
            <v>#N/A</v>
          </cell>
          <cell r="T931">
            <v>1</v>
          </cell>
        </row>
        <row r="932">
          <cell r="A932">
            <v>1017200556</v>
          </cell>
          <cell r="B932" t="str">
            <v>Paula Rivera Cano</v>
          </cell>
          <cell r="C932">
            <v>1017200556</v>
          </cell>
          <cell r="D932" t="str">
            <v>Juntas de Uramita</v>
          </cell>
          <cell r="E932">
            <v>3137308707</v>
          </cell>
          <cell r="P932" t="str">
            <v>Juntas de Uramita</v>
          </cell>
          <cell r="S932" t="e">
            <v>#N/A</v>
          </cell>
          <cell r="T932" t="e">
            <v>#N/A</v>
          </cell>
        </row>
        <row r="933">
          <cell r="A933">
            <v>1027884358</v>
          </cell>
          <cell r="B933" t="str">
            <v xml:space="preserve">Javier pino </v>
          </cell>
          <cell r="C933">
            <v>1027884358</v>
          </cell>
          <cell r="D933" t="str">
            <v>Santo Domingo</v>
          </cell>
          <cell r="L933" t="str">
            <v>x</v>
          </cell>
          <cell r="S933" t="e">
            <v>#N/A</v>
          </cell>
          <cell r="T933" t="e">
            <v>#N/A</v>
          </cell>
        </row>
        <row r="934">
          <cell r="A934">
            <v>1027884358</v>
          </cell>
          <cell r="B934" t="str">
            <v xml:space="preserve">Javier pino </v>
          </cell>
          <cell r="C934">
            <v>1027884358</v>
          </cell>
          <cell r="D934" t="str">
            <v>Santo Domingo</v>
          </cell>
          <cell r="L934" t="str">
            <v>x</v>
          </cell>
          <cell r="S934" t="e">
            <v>#N/A</v>
          </cell>
          <cell r="T934" t="e">
            <v>#N/A</v>
          </cell>
        </row>
        <row r="935">
          <cell r="A935">
            <v>32275130</v>
          </cell>
          <cell r="B935" t="str">
            <v>María del socorro Sepúlveda campo</v>
          </cell>
          <cell r="C935">
            <v>32275130</v>
          </cell>
          <cell r="D935" t="str">
            <v>Chontaduro</v>
          </cell>
          <cell r="E935" t="str">
            <v>321 875 6450</v>
          </cell>
          <cell r="O935" t="str">
            <v>x</v>
          </cell>
          <cell r="S935" t="e">
            <v>#N/A</v>
          </cell>
          <cell r="T935">
            <v>1</v>
          </cell>
        </row>
        <row r="936">
          <cell r="A936">
            <v>43780865</v>
          </cell>
          <cell r="B936" t="str">
            <v>marina del Carmen Sierra Hidalgo</v>
          </cell>
          <cell r="C936">
            <v>43780865</v>
          </cell>
          <cell r="D936" t="str">
            <v>Chontaduro</v>
          </cell>
          <cell r="E936" t="str">
            <v>321 603 2076</v>
          </cell>
          <cell r="O936" t="str">
            <v>x</v>
          </cell>
          <cell r="S936" t="e">
            <v>#N/A</v>
          </cell>
          <cell r="T936" t="e">
            <v>#N/A</v>
          </cell>
        </row>
        <row r="937">
          <cell r="A937">
            <v>43781058</v>
          </cell>
          <cell r="B937" t="str">
            <v>blanca Nubia Duarte guita</v>
          </cell>
          <cell r="C937">
            <v>43781058</v>
          </cell>
          <cell r="D937" t="str">
            <v>Chontaduro</v>
          </cell>
          <cell r="E937" t="str">
            <v>317 409 6751 - 313 697 6992</v>
          </cell>
          <cell r="O937" t="str">
            <v>x</v>
          </cell>
          <cell r="S937" t="e">
            <v>#N/A</v>
          </cell>
          <cell r="T937" t="e">
            <v>#N/A</v>
          </cell>
        </row>
        <row r="938">
          <cell r="A938">
            <v>1035035120</v>
          </cell>
          <cell r="B938" t="str">
            <v>Aleida  Vargas Cardona</v>
          </cell>
          <cell r="C938">
            <v>1035035120</v>
          </cell>
          <cell r="D938" t="str">
            <v>Guadual</v>
          </cell>
          <cell r="E938">
            <v>3106228802</v>
          </cell>
          <cell r="K938" t="str">
            <v>x</v>
          </cell>
          <cell r="S938" t="e">
            <v>#N/A</v>
          </cell>
          <cell r="T938" t="e">
            <v>#N/A</v>
          </cell>
        </row>
        <row r="939">
          <cell r="A939">
            <v>70431375</v>
          </cell>
          <cell r="B939" t="str">
            <v>José de Jesús espinal Pérez</v>
          </cell>
          <cell r="C939">
            <v>70431375</v>
          </cell>
          <cell r="D939" t="str">
            <v>Chontaduro</v>
          </cell>
          <cell r="E939" t="str">
            <v>321 750 8746</v>
          </cell>
          <cell r="N939" t="str">
            <v>x</v>
          </cell>
          <cell r="S939" t="e">
            <v>#N/A</v>
          </cell>
          <cell r="T939" t="e">
            <v>#N/A</v>
          </cell>
        </row>
        <row r="940">
          <cell r="A940">
            <v>1035205649</v>
          </cell>
          <cell r="B940" t="str">
            <v>Elkin Ignacio Rueda</v>
          </cell>
          <cell r="C940">
            <v>1035205649</v>
          </cell>
          <cell r="D940" t="str">
            <v>San Miguelito</v>
          </cell>
          <cell r="S940" t="e">
            <v>#N/A</v>
          </cell>
          <cell r="T940" t="e">
            <v>#N/A</v>
          </cell>
        </row>
        <row r="941">
          <cell r="A941">
            <v>21610283</v>
          </cell>
          <cell r="B941" t="str">
            <v>Marta manco</v>
          </cell>
          <cell r="C941">
            <v>21610283</v>
          </cell>
          <cell r="D941" t="str">
            <v>San Luis del Cafe</v>
          </cell>
          <cell r="E941" t="str">
            <v>323 414 7224</v>
          </cell>
          <cell r="O941" t="str">
            <v>x</v>
          </cell>
          <cell r="S941" t="e">
            <v>#N/A</v>
          </cell>
          <cell r="T941" t="e">
            <v>#N/A</v>
          </cell>
        </row>
        <row r="942">
          <cell r="A942">
            <v>21608795</v>
          </cell>
          <cell r="B942" t="str">
            <v>Fabiola mango</v>
          </cell>
          <cell r="C942">
            <v>21608795</v>
          </cell>
          <cell r="D942" t="str">
            <v>San Luis del Cafe</v>
          </cell>
          <cell r="E942" t="str">
            <v>313 702 4022</v>
          </cell>
          <cell r="O942" t="str">
            <v>x</v>
          </cell>
          <cell r="S942" t="e">
            <v>#N/A</v>
          </cell>
          <cell r="T942">
            <v>1</v>
          </cell>
        </row>
        <row r="943">
          <cell r="A943">
            <v>70435501</v>
          </cell>
          <cell r="B943" t="str">
            <v>Luis Alfredo berrío</v>
          </cell>
          <cell r="C943">
            <v>70435501</v>
          </cell>
          <cell r="D943" t="str">
            <v>San Luis del Cafe</v>
          </cell>
          <cell r="E943" t="str">
            <v>315 342 5510</v>
          </cell>
          <cell r="O943" t="str">
            <v>x</v>
          </cell>
          <cell r="S943" t="e">
            <v>#N/A</v>
          </cell>
          <cell r="T943" t="e">
            <v>#N/A</v>
          </cell>
        </row>
        <row r="944">
          <cell r="A944">
            <v>43780786</v>
          </cell>
          <cell r="B944" t="str">
            <v>rosemary berrío</v>
          </cell>
          <cell r="C944">
            <v>43780786</v>
          </cell>
          <cell r="D944" t="str">
            <v>San Luis del Cafe</v>
          </cell>
          <cell r="E944" t="str">
            <v>310 436 1365</v>
          </cell>
          <cell r="O944" t="str">
            <v>x</v>
          </cell>
          <cell r="S944" t="e">
            <v>#N/A</v>
          </cell>
          <cell r="T944" t="e">
            <v>#N/A</v>
          </cell>
        </row>
        <row r="945">
          <cell r="A945">
            <v>1035304117</v>
          </cell>
          <cell r="B945" t="str">
            <v>Claudia Arias</v>
          </cell>
          <cell r="C945">
            <v>1035304117</v>
          </cell>
          <cell r="D945" t="str">
            <v>San Luis del Cafe</v>
          </cell>
          <cell r="E945" t="str">
            <v>311 703 8120</v>
          </cell>
          <cell r="K945" t="str">
            <v>x</v>
          </cell>
          <cell r="O945" t="str">
            <v>x</v>
          </cell>
          <cell r="S945" t="e">
            <v>#N/A</v>
          </cell>
          <cell r="T945" t="e">
            <v>#N/A</v>
          </cell>
        </row>
        <row r="946">
          <cell r="A946">
            <v>1035234639</v>
          </cell>
          <cell r="B946" t="str">
            <v>Maria paula Arango Soto</v>
          </cell>
          <cell r="C946">
            <v>1035234639</v>
          </cell>
          <cell r="D946" t="str">
            <v>Media cuesta</v>
          </cell>
          <cell r="E946" t="str">
            <v>3012583423 - 3108230349</v>
          </cell>
          <cell r="F946" t="str">
            <v>x</v>
          </cell>
          <cell r="I946">
            <v>5</v>
          </cell>
          <cell r="L946" t="str">
            <v>x</v>
          </cell>
          <cell r="P946" t="str">
            <v>Cerca de la torre de tigo</v>
          </cell>
          <cell r="S946" t="e">
            <v>#N/A</v>
          </cell>
          <cell r="T946" t="e">
            <v>#N/A</v>
          </cell>
        </row>
        <row r="947">
          <cell r="A947">
            <v>7434795</v>
          </cell>
          <cell r="B947" t="str">
            <v>Gabriel Jaime Holguín</v>
          </cell>
          <cell r="C947">
            <v>7434795</v>
          </cell>
          <cell r="D947" t="str">
            <v>San Luis del Cafe</v>
          </cell>
          <cell r="E947" t="str">
            <v>312 893 3646</v>
          </cell>
          <cell r="N947" t="str">
            <v>x</v>
          </cell>
          <cell r="S947" t="e">
            <v>#N/A</v>
          </cell>
          <cell r="T947" t="e">
            <v>#N/A</v>
          </cell>
        </row>
        <row r="948">
          <cell r="A948">
            <v>1001404243</v>
          </cell>
          <cell r="B948" t="str">
            <v>Patricia pino</v>
          </cell>
          <cell r="C948">
            <v>1001404243</v>
          </cell>
          <cell r="D948" t="str">
            <v>San Luis del Cafe</v>
          </cell>
          <cell r="E948" t="str">
            <v>322 677 7872</v>
          </cell>
          <cell r="N948" t="str">
            <v>x</v>
          </cell>
          <cell r="S948" t="e">
            <v>#N/A</v>
          </cell>
          <cell r="T948" t="e">
            <v>#N/A</v>
          </cell>
        </row>
        <row r="949">
          <cell r="A949">
            <v>70431778</v>
          </cell>
          <cell r="B949" t="str">
            <v>José correa</v>
          </cell>
          <cell r="C949">
            <v>70431778</v>
          </cell>
          <cell r="D949" t="str">
            <v>San Luis del Cafe</v>
          </cell>
          <cell r="E949" t="str">
            <v>350 616 9704</v>
          </cell>
          <cell r="N949" t="str">
            <v>x</v>
          </cell>
          <cell r="S949" t="e">
            <v>#N/A</v>
          </cell>
          <cell r="T949" t="e">
            <v>#N/A</v>
          </cell>
        </row>
        <row r="950">
          <cell r="A950">
            <v>1035302023</v>
          </cell>
          <cell r="B950" t="str">
            <v>Jairo pulgarin</v>
          </cell>
          <cell r="C950">
            <v>1035302023</v>
          </cell>
          <cell r="D950" t="str">
            <v>El Retiro</v>
          </cell>
          <cell r="E950" t="str">
            <v>322 358 3775</v>
          </cell>
          <cell r="K950" t="str">
            <v>x</v>
          </cell>
          <cell r="S950" t="e">
            <v>#N/A</v>
          </cell>
          <cell r="T950">
            <v>1</v>
          </cell>
        </row>
        <row r="951">
          <cell r="A951">
            <v>1035302117</v>
          </cell>
          <cell r="B951" t="str">
            <v>Marisela  Durango Arboleda</v>
          </cell>
          <cell r="C951">
            <v>1035302117</v>
          </cell>
          <cell r="D951" t="str">
            <v>Ciriguan</v>
          </cell>
          <cell r="E951">
            <v>3106269496</v>
          </cell>
          <cell r="L951" t="str">
            <v>x</v>
          </cell>
          <cell r="S951" t="e">
            <v>#N/A</v>
          </cell>
          <cell r="T951" t="e">
            <v>#N/A</v>
          </cell>
        </row>
        <row r="952">
          <cell r="A952">
            <v>1035302125</v>
          </cell>
          <cell r="B952" t="str">
            <v>Carlos Andres Lopez Valle</v>
          </cell>
          <cell r="C952">
            <v>1035302125</v>
          </cell>
          <cell r="D952" t="str">
            <v>Urbano</v>
          </cell>
          <cell r="E952">
            <v>3122833173</v>
          </cell>
          <cell r="K952" t="str">
            <v>x</v>
          </cell>
          <cell r="P952" t="str">
            <v>Imantago</v>
          </cell>
          <cell r="S952" t="e">
            <v>#N/A</v>
          </cell>
          <cell r="T952">
            <v>1</v>
          </cell>
        </row>
        <row r="953">
          <cell r="A953">
            <v>1035302131</v>
          </cell>
          <cell r="B953" t="str">
            <v>HILDA NORA URIBE LONDOÑO</v>
          </cell>
          <cell r="C953">
            <v>1035302131</v>
          </cell>
          <cell r="D953" t="str">
            <v>Apucarco</v>
          </cell>
          <cell r="E953">
            <v>3215377408</v>
          </cell>
          <cell r="H953" t="str">
            <v>x</v>
          </cell>
          <cell r="I953" t="str">
            <v>Madre y 3 niño (Discapacitado)</v>
          </cell>
          <cell r="L953" t="str">
            <v>x</v>
          </cell>
          <cell r="P953" t="str">
            <v>Cerca de la escuela</v>
          </cell>
          <cell r="Q953" t="str">
            <v>visitar</v>
          </cell>
          <cell r="R953" t="str">
            <v>Prioridad Alcalde</v>
          </cell>
          <cell r="S953" t="e">
            <v>#N/A</v>
          </cell>
          <cell r="T953" t="e">
            <v>#N/A</v>
          </cell>
        </row>
        <row r="954">
          <cell r="A954">
            <v>1035302131</v>
          </cell>
          <cell r="B954" t="str">
            <v>Hilda Nora Uribe londoño</v>
          </cell>
          <cell r="C954">
            <v>1035302131</v>
          </cell>
          <cell r="D954" t="str">
            <v>Apucarco</v>
          </cell>
          <cell r="E954" t="str">
            <v>321 537 7408</v>
          </cell>
          <cell r="L954" t="str">
            <v>x</v>
          </cell>
          <cell r="S954" t="e">
            <v>#N/A</v>
          </cell>
          <cell r="T954" t="e">
            <v>#N/A</v>
          </cell>
        </row>
        <row r="955">
          <cell r="A955">
            <v>1035302187</v>
          </cell>
          <cell r="B955" t="str">
            <v>Luz Dely higuita Manco</v>
          </cell>
          <cell r="C955">
            <v>1035302187</v>
          </cell>
          <cell r="D955" t="str">
            <v>Guayabal</v>
          </cell>
          <cell r="S955" t="e">
            <v>#N/A</v>
          </cell>
          <cell r="T955" t="e">
            <v>#N/A</v>
          </cell>
        </row>
        <row r="956">
          <cell r="A956">
            <v>1035302196</v>
          </cell>
          <cell r="B956" t="str">
            <v>BEATRIZ HIGUITA</v>
          </cell>
          <cell r="C956">
            <v>1035302196</v>
          </cell>
          <cell r="D956" t="str">
            <v>SAN MIGUEL</v>
          </cell>
          <cell r="S956" t="e">
            <v>#N/A</v>
          </cell>
          <cell r="T956" t="e">
            <v>#N/A</v>
          </cell>
        </row>
        <row r="957">
          <cell r="A957">
            <v>1035302261</v>
          </cell>
          <cell r="B957" t="str">
            <v>LUIS ALBEIRO HURTADO CORREA</v>
          </cell>
          <cell r="C957">
            <v>1035302261</v>
          </cell>
          <cell r="D957" t="str">
            <v>El Cafe</v>
          </cell>
          <cell r="E957">
            <v>3117828862</v>
          </cell>
          <cell r="G957" t="str">
            <v>x</v>
          </cell>
          <cell r="I957" t="str">
            <v>Padres y dos hijos</v>
          </cell>
          <cell r="K957" t="str">
            <v>x</v>
          </cell>
          <cell r="P957" t="str">
            <v>parte baja</v>
          </cell>
          <cell r="Q957" t="str">
            <v>Visitar</v>
          </cell>
          <cell r="R957" t="str">
            <v>Julieta</v>
          </cell>
          <cell r="S957" t="e">
            <v>#N/A</v>
          </cell>
          <cell r="T957">
            <v>1</v>
          </cell>
        </row>
        <row r="958">
          <cell r="A958">
            <v>1035302355</v>
          </cell>
          <cell r="B958" t="str">
            <v>Diana Mileis Usuga Aguirre</v>
          </cell>
          <cell r="C958">
            <v>1035302355</v>
          </cell>
          <cell r="D958" t="str">
            <v>La Soledad</v>
          </cell>
          <cell r="E958">
            <v>3137488522</v>
          </cell>
          <cell r="G958" t="str">
            <v>x</v>
          </cell>
          <cell r="K958" t="str">
            <v>x</v>
          </cell>
          <cell r="S958" t="e">
            <v>#N/A</v>
          </cell>
          <cell r="T958" t="e">
            <v>#N/A</v>
          </cell>
        </row>
        <row r="959">
          <cell r="A959">
            <v>1035302355</v>
          </cell>
          <cell r="B959" t="str">
            <v>Diana Mileis Usuga Aguirre</v>
          </cell>
          <cell r="C959">
            <v>1035302355</v>
          </cell>
          <cell r="D959" t="str">
            <v>La Soledad</v>
          </cell>
          <cell r="E959">
            <v>3137488522</v>
          </cell>
          <cell r="G959" t="str">
            <v>x</v>
          </cell>
          <cell r="K959" t="str">
            <v>x</v>
          </cell>
          <cell r="S959" t="e">
            <v>#N/A</v>
          </cell>
          <cell r="T959" t="e">
            <v>#N/A</v>
          </cell>
        </row>
        <row r="960">
          <cell r="A960">
            <v>1035302497</v>
          </cell>
          <cell r="B960" t="str">
            <v>pastor usuga usuga</v>
          </cell>
          <cell r="C960">
            <v>1035302497</v>
          </cell>
          <cell r="D960" t="str">
            <v>La Aldea</v>
          </cell>
          <cell r="E960" t="str">
            <v>322 688 3765</v>
          </cell>
          <cell r="S960" t="e">
            <v>#N/A</v>
          </cell>
          <cell r="T960" t="e">
            <v>#N/A</v>
          </cell>
        </row>
        <row r="961">
          <cell r="A961">
            <v>1035302497</v>
          </cell>
          <cell r="B961" t="str">
            <v xml:space="preserve">pastor usuga usuga </v>
          </cell>
          <cell r="C961">
            <v>1035302497</v>
          </cell>
          <cell r="D961" t="str">
            <v xml:space="preserve">la aldea </v>
          </cell>
          <cell r="E961">
            <v>3226883765</v>
          </cell>
          <cell r="L961" t="str">
            <v>x</v>
          </cell>
          <cell r="S961" t="e">
            <v>#N/A</v>
          </cell>
          <cell r="T961" t="e">
            <v>#N/A</v>
          </cell>
        </row>
        <row r="962">
          <cell r="A962">
            <v>1035302516</v>
          </cell>
          <cell r="B962" t="str">
            <v>Diony Cecilia Valencia Uribe</v>
          </cell>
          <cell r="C962">
            <v>1035302516</v>
          </cell>
          <cell r="D962" t="str">
            <v>Apucarco</v>
          </cell>
          <cell r="E962" t="str">
            <v>300 284 0608</v>
          </cell>
          <cell r="K962" t="str">
            <v>x</v>
          </cell>
          <cell r="S962" t="e">
            <v>#N/A</v>
          </cell>
          <cell r="T962" t="e">
            <v>#N/A</v>
          </cell>
        </row>
        <row r="963">
          <cell r="A963">
            <v>1035302534</v>
          </cell>
          <cell r="B963" t="str">
            <v xml:space="preserve">dinacela durango giraldo </v>
          </cell>
          <cell r="C963">
            <v>1035302534</v>
          </cell>
          <cell r="D963" t="str">
            <v>san pascual</v>
          </cell>
          <cell r="E963">
            <v>3132718922</v>
          </cell>
          <cell r="L963" t="str">
            <v>x</v>
          </cell>
          <cell r="S963" t="e">
            <v>#N/A</v>
          </cell>
          <cell r="T963">
            <v>1</v>
          </cell>
        </row>
        <row r="964">
          <cell r="A964">
            <v>70430806</v>
          </cell>
          <cell r="B964" t="str">
            <v xml:space="preserve">jorge restrepo uribe </v>
          </cell>
          <cell r="C964">
            <v>70430806</v>
          </cell>
          <cell r="D964" t="str">
            <v>apucarco</v>
          </cell>
          <cell r="E964">
            <v>3116886448</v>
          </cell>
          <cell r="N964" t="str">
            <v>x</v>
          </cell>
          <cell r="S964" t="e">
            <v>#N/A</v>
          </cell>
          <cell r="T964" t="e">
            <v>#N/A</v>
          </cell>
        </row>
        <row r="965">
          <cell r="A965">
            <v>1035302622</v>
          </cell>
          <cell r="B965" t="str">
            <v>Andrea Regifo</v>
          </cell>
          <cell r="C965">
            <v>1035302622</v>
          </cell>
          <cell r="D965" t="str">
            <v>Insor</v>
          </cell>
          <cell r="E965">
            <v>3128807111</v>
          </cell>
          <cell r="L965" t="str">
            <v>x</v>
          </cell>
          <cell r="S965" t="e">
            <v>#N/A</v>
          </cell>
          <cell r="T965" t="e">
            <v>#N/A</v>
          </cell>
        </row>
        <row r="966">
          <cell r="A966">
            <v>1035302702</v>
          </cell>
          <cell r="B966" t="str">
            <v>Octavio Hernando Rodriguez Oquendo</v>
          </cell>
          <cell r="C966">
            <v>1035302702</v>
          </cell>
          <cell r="D966" t="str">
            <v>La Soledad</v>
          </cell>
          <cell r="E966">
            <v>3134625707</v>
          </cell>
          <cell r="H966" t="str">
            <v>x</v>
          </cell>
          <cell r="K966" t="str">
            <v>x</v>
          </cell>
          <cell r="S966" t="e">
            <v>#N/A</v>
          </cell>
          <cell r="T966" t="e">
            <v>#N/A</v>
          </cell>
        </row>
        <row r="967">
          <cell r="A967">
            <v>1035302702</v>
          </cell>
          <cell r="B967" t="str">
            <v>Octavio Hernando Rodriguez Oquendo</v>
          </cell>
          <cell r="C967">
            <v>1035302702</v>
          </cell>
          <cell r="D967" t="str">
            <v>La Soledad</v>
          </cell>
          <cell r="E967">
            <v>3134625707</v>
          </cell>
          <cell r="H967" t="str">
            <v>x</v>
          </cell>
          <cell r="K967" t="str">
            <v>x</v>
          </cell>
          <cell r="S967" t="e">
            <v>#N/A</v>
          </cell>
          <cell r="T967" t="e">
            <v>#N/A</v>
          </cell>
        </row>
        <row r="968">
          <cell r="A968">
            <v>1035302721</v>
          </cell>
          <cell r="B968" t="str">
            <v>jose yobany zapata castrillon</v>
          </cell>
          <cell r="C968">
            <v>1035302721</v>
          </cell>
          <cell r="D968" t="str">
            <v>bellavista san pascual</v>
          </cell>
          <cell r="E968">
            <v>3148901416</v>
          </cell>
          <cell r="L968" t="str">
            <v>x</v>
          </cell>
          <cell r="R968" t="str">
            <v>alcalde</v>
          </cell>
          <cell r="S968" t="e">
            <v>#N/A</v>
          </cell>
          <cell r="T968" t="e">
            <v>#N/A</v>
          </cell>
        </row>
        <row r="969">
          <cell r="A969">
            <v>1035302806</v>
          </cell>
          <cell r="B969" t="str">
            <v>blanca lucelly manco</v>
          </cell>
          <cell r="C969">
            <v>1035302806</v>
          </cell>
          <cell r="D969" t="str">
            <v>aldea</v>
          </cell>
          <cell r="E969">
            <v>3103901719</v>
          </cell>
          <cell r="L969" t="str">
            <v>x</v>
          </cell>
          <cell r="S969" t="e">
            <v>#N/A</v>
          </cell>
          <cell r="T969" t="e">
            <v>#N/A</v>
          </cell>
        </row>
        <row r="970">
          <cell r="A970">
            <v>1035302833</v>
          </cell>
          <cell r="B970" t="str">
            <v>Natalia Andrea Guisao</v>
          </cell>
          <cell r="C970">
            <v>1035302833</v>
          </cell>
          <cell r="D970" t="str">
            <v>Guadual</v>
          </cell>
          <cell r="E970">
            <v>3232963568</v>
          </cell>
          <cell r="L970" t="str">
            <v>x</v>
          </cell>
          <cell r="S970" t="e">
            <v>#N/A</v>
          </cell>
          <cell r="T970" t="e">
            <v>#N/A</v>
          </cell>
        </row>
        <row r="971">
          <cell r="A971">
            <v>1035303003</v>
          </cell>
          <cell r="B971" t="str">
            <v xml:space="preserve">José Luis alzáte Duarte </v>
          </cell>
          <cell r="C971">
            <v>1035303003</v>
          </cell>
          <cell r="D971" t="str">
            <v>Santo Domingo</v>
          </cell>
          <cell r="E971">
            <v>3136499930</v>
          </cell>
          <cell r="L971" t="str">
            <v>x</v>
          </cell>
          <cell r="S971" t="e">
            <v>#N/A</v>
          </cell>
          <cell r="T971" t="e">
            <v>#N/A</v>
          </cell>
        </row>
        <row r="972">
          <cell r="A972">
            <v>70430855</v>
          </cell>
          <cell r="B972" t="str">
            <v xml:space="preserve">benedito de jesus manco david </v>
          </cell>
          <cell r="C972">
            <v>70430855</v>
          </cell>
          <cell r="D972" t="str">
            <v xml:space="preserve">la manga </v>
          </cell>
          <cell r="E972">
            <v>3148595921</v>
          </cell>
          <cell r="N972" t="str">
            <v>x</v>
          </cell>
          <cell r="S972" t="e">
            <v>#N/A</v>
          </cell>
          <cell r="T972">
            <v>1</v>
          </cell>
        </row>
        <row r="973">
          <cell r="A973">
            <v>1035303003</v>
          </cell>
          <cell r="B973" t="str">
            <v xml:space="preserve">José Luis alzáte Duarte </v>
          </cell>
          <cell r="C973">
            <v>1035303003</v>
          </cell>
          <cell r="D973" t="str">
            <v>Santo Domingo</v>
          </cell>
          <cell r="E973">
            <v>3136499930</v>
          </cell>
          <cell r="L973" t="str">
            <v>x</v>
          </cell>
          <cell r="S973" t="e">
            <v>#N/A</v>
          </cell>
          <cell r="T973" t="e">
            <v>#N/A</v>
          </cell>
        </row>
        <row r="974">
          <cell r="A974">
            <v>43781990</v>
          </cell>
          <cell r="B974" t="str">
            <v xml:space="preserve">omaira patricia david rueda </v>
          </cell>
          <cell r="C974">
            <v>43781990</v>
          </cell>
          <cell r="D974" t="str">
            <v>el retiro</v>
          </cell>
          <cell r="E974">
            <v>3126411135</v>
          </cell>
          <cell r="N974" t="str">
            <v>x</v>
          </cell>
          <cell r="S974" t="e">
            <v>#N/A</v>
          </cell>
          <cell r="T974" t="e">
            <v>#N/A</v>
          </cell>
        </row>
        <row r="975">
          <cell r="A975">
            <v>70418948</v>
          </cell>
          <cell r="B975" t="str">
            <v xml:space="preserve">john jairo urrego correa </v>
          </cell>
          <cell r="C975">
            <v>70418948</v>
          </cell>
          <cell r="D975" t="str">
            <v xml:space="preserve">la balsita </v>
          </cell>
          <cell r="G975" t="str">
            <v>x</v>
          </cell>
          <cell r="N975" t="str">
            <v>x</v>
          </cell>
          <cell r="S975" t="e">
            <v>#N/A</v>
          </cell>
          <cell r="T975" t="e">
            <v>#N/A</v>
          </cell>
        </row>
        <row r="976">
          <cell r="A976">
            <v>1035303009</v>
          </cell>
          <cell r="B976" t="str">
            <v>Juan Gabriel Cardona</v>
          </cell>
          <cell r="C976">
            <v>1035303009</v>
          </cell>
          <cell r="D976" t="str">
            <v>Insor</v>
          </cell>
          <cell r="E976">
            <v>3234314849</v>
          </cell>
          <cell r="L976" t="str">
            <v>x</v>
          </cell>
          <cell r="S976" t="e">
            <v>#N/A</v>
          </cell>
          <cell r="T976" t="e">
            <v>#N/A</v>
          </cell>
        </row>
        <row r="977">
          <cell r="A977">
            <v>1035303068</v>
          </cell>
          <cell r="B977" t="str">
            <v>Lina María Carrillo giraldo</v>
          </cell>
          <cell r="C977">
            <v>1035303068</v>
          </cell>
          <cell r="D977" t="str">
            <v>La Aldea</v>
          </cell>
          <cell r="E977" t="str">
            <v>310 837 6356</v>
          </cell>
          <cell r="G977" t="str">
            <v>x</v>
          </cell>
          <cell r="L977" t="str">
            <v>x</v>
          </cell>
          <cell r="S977" t="e">
            <v>#N/A</v>
          </cell>
          <cell r="T977" t="e">
            <v>#N/A</v>
          </cell>
        </row>
        <row r="978">
          <cell r="A978">
            <v>1035303068</v>
          </cell>
          <cell r="B978" t="str">
            <v>lina maria carrillo giraldo</v>
          </cell>
          <cell r="C978">
            <v>1035303068</v>
          </cell>
          <cell r="D978" t="str">
            <v>naranjal</v>
          </cell>
          <cell r="E978">
            <v>3108376356</v>
          </cell>
          <cell r="L978" t="str">
            <v>x</v>
          </cell>
          <cell r="S978" t="e">
            <v>#N/A</v>
          </cell>
          <cell r="T978" t="e">
            <v>#N/A</v>
          </cell>
        </row>
        <row r="979">
          <cell r="A979">
            <v>1035303086</v>
          </cell>
          <cell r="B979" t="str">
            <v>maria claudia tuberquia</v>
          </cell>
          <cell r="C979">
            <v>1035303086</v>
          </cell>
          <cell r="D979" t="str">
            <v xml:space="preserve">el madero </v>
          </cell>
          <cell r="E979">
            <v>3505058986</v>
          </cell>
          <cell r="K979" t="str">
            <v>x</v>
          </cell>
          <cell r="S979" t="e">
            <v>#N/A</v>
          </cell>
          <cell r="T979" t="e">
            <v>#N/A</v>
          </cell>
        </row>
        <row r="980">
          <cell r="A980">
            <v>1035303116</v>
          </cell>
          <cell r="B980" t="str">
            <v>Liliana Patricia Higuita Goez</v>
          </cell>
          <cell r="C980">
            <v>1035303116</v>
          </cell>
          <cell r="D980" t="str">
            <v>La Quiebra</v>
          </cell>
          <cell r="L980" t="str">
            <v>x</v>
          </cell>
          <cell r="S980" t="e">
            <v>#N/A</v>
          </cell>
          <cell r="T980" t="e">
            <v>#N/A</v>
          </cell>
        </row>
        <row r="981">
          <cell r="A981">
            <v>1035303160</v>
          </cell>
          <cell r="B981" t="str">
            <v>Guillermo Holguín</v>
          </cell>
          <cell r="C981">
            <v>1035303160</v>
          </cell>
          <cell r="D981" t="str">
            <v>San Luis del Cafe</v>
          </cell>
          <cell r="E981" t="str">
            <v>321 784 4124</v>
          </cell>
          <cell r="L981" t="str">
            <v>x</v>
          </cell>
          <cell r="S981" t="e">
            <v>#N/A</v>
          </cell>
          <cell r="T981" t="e">
            <v>#N/A</v>
          </cell>
        </row>
        <row r="982">
          <cell r="A982">
            <v>1035303164</v>
          </cell>
          <cell r="B982" t="str">
            <v>Liliana Guisado</v>
          </cell>
          <cell r="C982">
            <v>1035303164</v>
          </cell>
          <cell r="D982" t="str">
            <v>San Miguelito</v>
          </cell>
          <cell r="E982">
            <v>3145172260</v>
          </cell>
          <cell r="L982" t="str">
            <v>x</v>
          </cell>
          <cell r="S982" t="e">
            <v>#N/A</v>
          </cell>
          <cell r="T982" t="e">
            <v>#N/A</v>
          </cell>
        </row>
        <row r="983">
          <cell r="A983">
            <v>65713580</v>
          </cell>
          <cell r="B983" t="str">
            <v xml:space="preserve">andrea zambrano </v>
          </cell>
          <cell r="C983">
            <v>65713580</v>
          </cell>
          <cell r="D983" t="str">
            <v xml:space="preserve">la aldea </v>
          </cell>
          <cell r="E983">
            <v>3124033414</v>
          </cell>
          <cell r="O983" t="str">
            <v>x</v>
          </cell>
          <cell r="S983" t="e">
            <v>#N/A</v>
          </cell>
          <cell r="T983">
            <v>1</v>
          </cell>
        </row>
        <row r="984">
          <cell r="A984">
            <v>21612464</v>
          </cell>
          <cell r="B984" t="str">
            <v xml:space="preserve">olga giraldo usuga </v>
          </cell>
          <cell r="C984">
            <v>21612464</v>
          </cell>
          <cell r="D984" t="str">
            <v xml:space="preserve">la aldea </v>
          </cell>
          <cell r="E984">
            <v>3205350840</v>
          </cell>
          <cell r="O984" t="str">
            <v>x</v>
          </cell>
          <cell r="S984" t="e">
            <v>#N/A</v>
          </cell>
          <cell r="T984">
            <v>0</v>
          </cell>
        </row>
        <row r="985">
          <cell r="A985">
            <v>43782321</v>
          </cell>
          <cell r="B985" t="str">
            <v>madeleny usuga</v>
          </cell>
          <cell r="C985">
            <v>43782321</v>
          </cell>
          <cell r="D985" t="str">
            <v xml:space="preserve">la aldea </v>
          </cell>
          <cell r="E985">
            <v>3207637269</v>
          </cell>
          <cell r="O985" t="str">
            <v>x</v>
          </cell>
          <cell r="S985" t="e">
            <v>#N/A</v>
          </cell>
          <cell r="T985" t="e">
            <v>#N/A</v>
          </cell>
        </row>
        <row r="986">
          <cell r="A986">
            <v>8411476</v>
          </cell>
          <cell r="B986" t="str">
            <v xml:space="preserve">hernando puerta manco </v>
          </cell>
          <cell r="C986">
            <v>8411476</v>
          </cell>
          <cell r="D986" t="str">
            <v xml:space="preserve">la aldea </v>
          </cell>
          <cell r="E986">
            <v>3113963429</v>
          </cell>
          <cell r="O986" t="str">
            <v>x</v>
          </cell>
          <cell r="S986" t="e">
            <v>#N/A</v>
          </cell>
          <cell r="T986" t="e">
            <v>#N/A</v>
          </cell>
        </row>
        <row r="987">
          <cell r="A987">
            <v>3429093</v>
          </cell>
          <cell r="B987" t="str">
            <v xml:space="preserve">andres avelino pulgarin </v>
          </cell>
          <cell r="C987">
            <v>3429093</v>
          </cell>
          <cell r="D987" t="str">
            <v xml:space="preserve">la aldea </v>
          </cell>
          <cell r="E987">
            <v>3103580910</v>
          </cell>
          <cell r="N987" t="str">
            <v>x</v>
          </cell>
          <cell r="S987" t="e">
            <v>#N/A</v>
          </cell>
          <cell r="T987">
            <v>1</v>
          </cell>
        </row>
        <row r="988">
          <cell r="A988">
            <v>21609367</v>
          </cell>
          <cell r="B988" t="str">
            <v>marina arias</v>
          </cell>
          <cell r="C988">
            <v>21609367</v>
          </cell>
          <cell r="D988" t="str">
            <v xml:space="preserve">la aldea </v>
          </cell>
          <cell r="E988">
            <v>3124416097</v>
          </cell>
          <cell r="N988" t="str">
            <v>x</v>
          </cell>
          <cell r="S988" t="e">
            <v>#N/A</v>
          </cell>
          <cell r="T988" t="e">
            <v>#N/A</v>
          </cell>
        </row>
        <row r="989">
          <cell r="A989">
            <v>1035303419</v>
          </cell>
          <cell r="B989" t="str">
            <v>Viviana Andrea Vargas</v>
          </cell>
          <cell r="C989">
            <v>1035303419</v>
          </cell>
          <cell r="D989" t="str">
            <v>El canelito</v>
          </cell>
          <cell r="E989">
            <v>3103633111</v>
          </cell>
          <cell r="L989" t="str">
            <v>x</v>
          </cell>
          <cell r="S989" t="e">
            <v>#N/A</v>
          </cell>
          <cell r="T989" t="e">
            <v>#N/A</v>
          </cell>
        </row>
        <row r="990">
          <cell r="A990">
            <v>1035303478</v>
          </cell>
          <cell r="B990" t="str">
            <v>Mauricio Gonzales Higuita</v>
          </cell>
          <cell r="C990">
            <v>1035303478</v>
          </cell>
          <cell r="D990" t="str">
            <v xml:space="preserve">Alto del roble </v>
          </cell>
          <cell r="E990">
            <v>3214679043</v>
          </cell>
          <cell r="K990" t="str">
            <v>X</v>
          </cell>
          <cell r="S990" t="e">
            <v>#N/A</v>
          </cell>
          <cell r="T990" t="e">
            <v>#N/A</v>
          </cell>
        </row>
        <row r="991">
          <cell r="A991">
            <v>1035303478</v>
          </cell>
          <cell r="B991" t="str">
            <v xml:space="preserve">Maria Monica Carmona </v>
          </cell>
          <cell r="C991">
            <v>1035303478</v>
          </cell>
          <cell r="D991" t="str">
            <v xml:space="preserve">Alto del roble </v>
          </cell>
          <cell r="K991" t="str">
            <v>X</v>
          </cell>
          <cell r="S991" t="e">
            <v>#N/A</v>
          </cell>
          <cell r="T991" t="e">
            <v>#N/A</v>
          </cell>
        </row>
        <row r="992">
          <cell r="A992">
            <v>1035303483</v>
          </cell>
          <cell r="B992" t="str">
            <v xml:space="preserve">Francés Antonio Correa manco </v>
          </cell>
          <cell r="C992">
            <v>1035303483</v>
          </cell>
          <cell r="D992" t="str">
            <v>La Soledad</v>
          </cell>
          <cell r="E992">
            <v>3104660045</v>
          </cell>
          <cell r="G992" t="str">
            <v>x</v>
          </cell>
          <cell r="L992" t="str">
            <v>x</v>
          </cell>
          <cell r="S992" t="e">
            <v>#N/A</v>
          </cell>
          <cell r="T992">
            <v>1</v>
          </cell>
        </row>
        <row r="993">
          <cell r="A993">
            <v>1035303483</v>
          </cell>
          <cell r="B993" t="str">
            <v xml:space="preserve">Francés Antonio Correa manco </v>
          </cell>
          <cell r="C993">
            <v>1035303483</v>
          </cell>
          <cell r="D993" t="str">
            <v>La Soledad</v>
          </cell>
          <cell r="E993">
            <v>3104660045</v>
          </cell>
          <cell r="G993" t="str">
            <v>x</v>
          </cell>
          <cell r="L993" t="str">
            <v>x</v>
          </cell>
          <cell r="S993" t="e">
            <v>#N/A</v>
          </cell>
          <cell r="T993">
            <v>1</v>
          </cell>
        </row>
        <row r="994">
          <cell r="A994">
            <v>1035303732</v>
          </cell>
          <cell r="B994" t="str">
            <v>Osban Asdrubal Benitez Benitez</v>
          </cell>
          <cell r="C994">
            <v>1035303732</v>
          </cell>
          <cell r="D994" t="str">
            <v>La estrella</v>
          </cell>
          <cell r="E994">
            <v>3225451684</v>
          </cell>
          <cell r="K994" t="str">
            <v>x</v>
          </cell>
          <cell r="S994" t="e">
            <v>#N/A</v>
          </cell>
          <cell r="T994" t="e">
            <v>#N/A</v>
          </cell>
        </row>
        <row r="995">
          <cell r="A995">
            <v>1035303753</v>
          </cell>
          <cell r="B995" t="str">
            <v xml:space="preserve">carolina montoya usuga </v>
          </cell>
          <cell r="C995">
            <v>1035303753</v>
          </cell>
          <cell r="D995" t="str">
            <v>pernilla</v>
          </cell>
          <cell r="E995">
            <v>3218741161</v>
          </cell>
          <cell r="L995" t="str">
            <v>x</v>
          </cell>
          <cell r="S995" t="e">
            <v>#N/A</v>
          </cell>
          <cell r="T995" t="e">
            <v>#N/A</v>
          </cell>
        </row>
        <row r="996">
          <cell r="A996">
            <v>1035303812</v>
          </cell>
          <cell r="B996" t="str">
            <v>Leidy Jhoana Tangarife</v>
          </cell>
          <cell r="C996">
            <v>1035303812</v>
          </cell>
          <cell r="D996" t="str">
            <v>Ciriguan</v>
          </cell>
          <cell r="E996">
            <v>3233813029</v>
          </cell>
          <cell r="L996" t="str">
            <v>x</v>
          </cell>
          <cell r="S996" t="e">
            <v>#N/A</v>
          </cell>
          <cell r="T996" t="e">
            <v>#N/A</v>
          </cell>
        </row>
        <row r="997">
          <cell r="A997">
            <v>1035303897</v>
          </cell>
          <cell r="B997" t="str">
            <v>Norbey Yobany Restrepo Torres</v>
          </cell>
          <cell r="C997">
            <v>1035303897</v>
          </cell>
          <cell r="D997" t="str">
            <v>La Escalera</v>
          </cell>
          <cell r="K997" t="str">
            <v>x</v>
          </cell>
          <cell r="S997" t="e">
            <v>#N/A</v>
          </cell>
          <cell r="T997" t="e">
            <v>#N/A</v>
          </cell>
        </row>
        <row r="998">
          <cell r="A998">
            <v>1035303916</v>
          </cell>
          <cell r="B998" t="str">
            <v>ESNEIDER  CANO MARIN</v>
          </cell>
          <cell r="C998">
            <v>1035303916</v>
          </cell>
          <cell r="D998" t="str">
            <v>Buenos Aires</v>
          </cell>
          <cell r="E998" t="str">
            <v>3226884121 (whastappp)</v>
          </cell>
          <cell r="G998" t="str">
            <v>X</v>
          </cell>
          <cell r="I998" t="str">
            <v>Pareja</v>
          </cell>
          <cell r="L998" t="str">
            <v>x</v>
          </cell>
          <cell r="P998" t="str">
            <v>Parte baja</v>
          </cell>
          <cell r="Q998" t="str">
            <v>visitar</v>
          </cell>
          <cell r="S998" t="e">
            <v>#N/A</v>
          </cell>
          <cell r="T998" t="e">
            <v>#N/A</v>
          </cell>
        </row>
        <row r="999">
          <cell r="A999">
            <v>1035303980</v>
          </cell>
          <cell r="B999" t="str">
            <v>Diana Sirley Lopez Zapata</v>
          </cell>
          <cell r="C999">
            <v>1035303980</v>
          </cell>
          <cell r="D999" t="str">
            <v>Bellavista</v>
          </cell>
          <cell r="E999">
            <v>3132937985</v>
          </cell>
          <cell r="G999" t="str">
            <v>x</v>
          </cell>
          <cell r="I999" t="str">
            <v>madre, padre, (2) hermanas, hijo</v>
          </cell>
          <cell r="K999" t="str">
            <v>x</v>
          </cell>
          <cell r="P999" t="str">
            <v xml:space="preserve">Bellavista </v>
          </cell>
          <cell r="Q999" t="str">
            <v>Visitar</v>
          </cell>
          <cell r="R999" t="str">
            <v>visitar</v>
          </cell>
          <cell r="S999" t="e">
            <v>#N/A</v>
          </cell>
          <cell r="T999" t="e">
            <v>#N/A</v>
          </cell>
        </row>
        <row r="1000">
          <cell r="A1000">
            <v>1035303981</v>
          </cell>
          <cell r="B1000" t="str">
            <v>Silvia Viviana Higuita Cifuentes</v>
          </cell>
          <cell r="C1000">
            <v>1035303981</v>
          </cell>
          <cell r="D1000" t="str">
            <v>Juntas de Uramita</v>
          </cell>
          <cell r="E1000">
            <v>3214968655</v>
          </cell>
          <cell r="P1000" t="str">
            <v>Juntas de Uramita</v>
          </cell>
          <cell r="S1000" t="e">
            <v>#N/A</v>
          </cell>
          <cell r="T1000" t="e">
            <v>#N/A</v>
          </cell>
        </row>
        <row r="1001">
          <cell r="A1001">
            <v>1035304301</v>
          </cell>
          <cell r="B1001" t="str">
            <v>Daniel Eduardo Medina</v>
          </cell>
          <cell r="C1001">
            <v>1035304301</v>
          </cell>
          <cell r="D1001" t="str">
            <v>El canelito</v>
          </cell>
          <cell r="E1001">
            <v>3103650231</v>
          </cell>
          <cell r="K1001" t="str">
            <v>x</v>
          </cell>
          <cell r="S1001" t="e">
            <v>#N/A</v>
          </cell>
          <cell r="T1001" t="e">
            <v>#N/A</v>
          </cell>
        </row>
        <row r="1002">
          <cell r="A1002">
            <v>1035304310</v>
          </cell>
          <cell r="B1002" t="str">
            <v>Yeison Alonso Castaño Usuga</v>
          </cell>
          <cell r="C1002">
            <v>1035304310</v>
          </cell>
          <cell r="D1002" t="str">
            <v>San Luis de Juntas</v>
          </cell>
          <cell r="E1002">
            <v>3122188846</v>
          </cell>
          <cell r="L1002" t="str">
            <v>x</v>
          </cell>
          <cell r="S1002" t="e">
            <v>#N/A</v>
          </cell>
          <cell r="T1002" t="e">
            <v>#N/A</v>
          </cell>
        </row>
        <row r="1003">
          <cell r="A1003">
            <v>1035305363</v>
          </cell>
          <cell r="B1003" t="str">
            <v>diana marcela urrego londoño</v>
          </cell>
          <cell r="C1003">
            <v>1035305363</v>
          </cell>
          <cell r="D1003" t="str">
            <v xml:space="preserve">la balsita </v>
          </cell>
          <cell r="E1003">
            <v>3212062061</v>
          </cell>
          <cell r="N1003" t="str">
            <v>x</v>
          </cell>
          <cell r="S1003" t="e">
            <v>#N/A</v>
          </cell>
          <cell r="T1003" t="e">
            <v>#N/A</v>
          </cell>
        </row>
        <row r="1004">
          <cell r="A1004">
            <v>1035304310</v>
          </cell>
          <cell r="B1004" t="str">
            <v>Yeison Alonso Castaño Usuga</v>
          </cell>
          <cell r="C1004">
            <v>1035304310</v>
          </cell>
          <cell r="D1004" t="str">
            <v>San Luis de Juntas</v>
          </cell>
          <cell r="E1004">
            <v>3122188846</v>
          </cell>
          <cell r="L1004" t="str">
            <v>x</v>
          </cell>
          <cell r="S1004" t="e">
            <v>#N/A</v>
          </cell>
          <cell r="T1004" t="e">
            <v>#N/A</v>
          </cell>
        </row>
        <row r="1005">
          <cell r="A1005">
            <v>1035304464</v>
          </cell>
          <cell r="B1005" t="str">
            <v>Eliana Alejandra Durango Durango</v>
          </cell>
          <cell r="C1005">
            <v>1035304464</v>
          </cell>
          <cell r="D1005" t="str">
            <v>Ciriguan</v>
          </cell>
          <cell r="E1005">
            <v>3217535683</v>
          </cell>
          <cell r="L1005" t="str">
            <v>x</v>
          </cell>
          <cell r="S1005" t="e">
            <v>#N/A</v>
          </cell>
          <cell r="T1005" t="e">
            <v>#N/A</v>
          </cell>
        </row>
        <row r="1006">
          <cell r="A1006">
            <v>1035304490</v>
          </cell>
          <cell r="B1006" t="str">
            <v>Olga Lucia Usuga Puerta</v>
          </cell>
          <cell r="C1006">
            <v>1035304490</v>
          </cell>
          <cell r="D1006" t="str">
            <v>San Luis de Juntas</v>
          </cell>
          <cell r="E1006">
            <v>3233701592</v>
          </cell>
          <cell r="L1006" t="str">
            <v>x</v>
          </cell>
          <cell r="S1006" t="e">
            <v>#N/A</v>
          </cell>
          <cell r="T1006" t="e">
            <v>#N/A</v>
          </cell>
        </row>
        <row r="1007">
          <cell r="A1007">
            <v>1035304490</v>
          </cell>
          <cell r="B1007" t="str">
            <v>Olga Lucia Usuga Puerta</v>
          </cell>
          <cell r="C1007">
            <v>1035304490</v>
          </cell>
          <cell r="D1007" t="str">
            <v>San Luis de Juntas</v>
          </cell>
          <cell r="E1007">
            <v>3233701592</v>
          </cell>
          <cell r="L1007" t="str">
            <v>x</v>
          </cell>
          <cell r="S1007" t="e">
            <v>#N/A</v>
          </cell>
          <cell r="T1007" t="e">
            <v>#N/A</v>
          </cell>
        </row>
        <row r="1008">
          <cell r="A1008">
            <v>1035304755</v>
          </cell>
          <cell r="B1008" t="str">
            <v>jhoan estevan campo usuga</v>
          </cell>
          <cell r="C1008">
            <v>1035304755</v>
          </cell>
          <cell r="D1008" t="str">
            <v>mediacuesta</v>
          </cell>
          <cell r="E1008">
            <v>3233035311</v>
          </cell>
          <cell r="L1008" t="str">
            <v>x</v>
          </cell>
          <cell r="S1008" t="e">
            <v>#N/A</v>
          </cell>
          <cell r="T1008" t="e">
            <v>#N/A</v>
          </cell>
        </row>
        <row r="1009">
          <cell r="A1009">
            <v>3430999</v>
          </cell>
          <cell r="B1009" t="str">
            <v>lucio higuita carmona</v>
          </cell>
          <cell r="C1009">
            <v>3430999</v>
          </cell>
          <cell r="D1009" t="str">
            <v xml:space="preserve">el roble </v>
          </cell>
          <cell r="N1009" t="str">
            <v>x</v>
          </cell>
          <cell r="S1009" t="e">
            <v>#N/A</v>
          </cell>
          <cell r="T1009">
            <v>1</v>
          </cell>
        </row>
        <row r="1010">
          <cell r="A1010">
            <v>15401245</v>
          </cell>
          <cell r="B1010" t="str">
            <v>nevardo de jesus silva moreno</v>
          </cell>
          <cell r="C1010">
            <v>15401245</v>
          </cell>
          <cell r="D1010" t="str">
            <v>la cusuti</v>
          </cell>
          <cell r="E1010">
            <v>3507266257</v>
          </cell>
          <cell r="L1010" t="str">
            <v>x</v>
          </cell>
          <cell r="S1010" t="str">
            <v xml:space="preserve">inurbe </v>
          </cell>
          <cell r="T1010" t="e">
            <v>#N/A</v>
          </cell>
        </row>
        <row r="1011">
          <cell r="A1011">
            <v>1035304873</v>
          </cell>
          <cell r="B1011" t="str">
            <v>Nicolás Restrepo</v>
          </cell>
          <cell r="C1011">
            <v>1035304873</v>
          </cell>
          <cell r="D1011" t="str">
            <v>San Luis del Cafe</v>
          </cell>
          <cell r="E1011" t="str">
            <v>312 275 6605</v>
          </cell>
          <cell r="L1011" t="str">
            <v>x</v>
          </cell>
          <cell r="S1011" t="e">
            <v>#N/A</v>
          </cell>
          <cell r="T1011" t="e">
            <v>#N/A</v>
          </cell>
        </row>
        <row r="1012">
          <cell r="A1012">
            <v>1035304992</v>
          </cell>
          <cell r="B1012" t="str">
            <v>Daviany  Urrego</v>
          </cell>
          <cell r="C1012">
            <v>1035304992</v>
          </cell>
          <cell r="D1012" t="str">
            <v>Urbano</v>
          </cell>
          <cell r="E1012">
            <v>3508321712</v>
          </cell>
          <cell r="K1012" t="str">
            <v>x</v>
          </cell>
          <cell r="P1012" t="str">
            <v>Barrio los balsos</v>
          </cell>
          <cell r="S1012" t="e">
            <v>#N/A</v>
          </cell>
          <cell r="T1012" t="e">
            <v>#N/A</v>
          </cell>
        </row>
        <row r="1013">
          <cell r="A1013">
            <v>1035302526</v>
          </cell>
          <cell r="B1013" t="str">
            <v>diana maria santa aguirre</v>
          </cell>
          <cell r="C1013">
            <v>1035302526</v>
          </cell>
          <cell r="D1013" t="str">
            <v>botija abajo</v>
          </cell>
          <cell r="E1013">
            <v>3146206448</v>
          </cell>
          <cell r="N1013" t="str">
            <v>x</v>
          </cell>
          <cell r="S1013" t="e">
            <v>#N/A</v>
          </cell>
          <cell r="T1013" t="e">
            <v>#N/A</v>
          </cell>
        </row>
        <row r="1014">
          <cell r="A1014">
            <v>1035305042</v>
          </cell>
          <cell r="B1014" t="str">
            <v>Maria Elana Arias Zapata</v>
          </cell>
          <cell r="C1014">
            <v>1035305042</v>
          </cell>
          <cell r="D1014" t="str">
            <v>Buenos Aires</v>
          </cell>
          <cell r="E1014">
            <v>3147077273</v>
          </cell>
          <cell r="G1014" t="str">
            <v>x</v>
          </cell>
          <cell r="I1014">
            <v>7</v>
          </cell>
          <cell r="L1014" t="str">
            <v>x</v>
          </cell>
          <cell r="P1014" t="str">
            <v>el silencio</v>
          </cell>
          <cell r="S1014" t="e">
            <v>#N/A</v>
          </cell>
          <cell r="T1014" t="e">
            <v>#N/A</v>
          </cell>
        </row>
        <row r="1015">
          <cell r="A1015">
            <v>15286592</v>
          </cell>
          <cell r="B1015" t="str">
            <v>camilo antonio varela david</v>
          </cell>
          <cell r="C1015">
            <v>15286592</v>
          </cell>
          <cell r="D1015" t="str">
            <v>san julian</v>
          </cell>
          <cell r="E1015">
            <v>3117057719</v>
          </cell>
          <cell r="N1015" t="str">
            <v>x</v>
          </cell>
          <cell r="S1015" t="e">
            <v>#N/A</v>
          </cell>
          <cell r="T1015" t="e">
            <v>#N/A</v>
          </cell>
        </row>
        <row r="1016">
          <cell r="A1016">
            <v>70432665</v>
          </cell>
          <cell r="B1016" t="str">
            <v xml:space="preserve">angel emilio alcaraz david </v>
          </cell>
          <cell r="C1016">
            <v>70432665</v>
          </cell>
          <cell r="D1016" t="str">
            <v xml:space="preserve">san julian </v>
          </cell>
          <cell r="E1016">
            <v>3147669088</v>
          </cell>
          <cell r="O1016" t="str">
            <v>x</v>
          </cell>
          <cell r="S1016" t="e">
            <v>#N/A</v>
          </cell>
          <cell r="T1016">
            <v>1</v>
          </cell>
        </row>
        <row r="1017">
          <cell r="A1017">
            <v>1035305195</v>
          </cell>
          <cell r="B1017" t="str">
            <v xml:space="preserve">deisy andrea rueda tangarife </v>
          </cell>
          <cell r="C1017">
            <v>1035305195</v>
          </cell>
          <cell r="D1017" t="str">
            <v xml:space="preserve">la manga </v>
          </cell>
          <cell r="E1017">
            <v>3164231684</v>
          </cell>
          <cell r="L1017" t="str">
            <v>x</v>
          </cell>
          <cell r="S1017" t="e">
            <v>#N/A</v>
          </cell>
          <cell r="T1017" t="e">
            <v>#N/A</v>
          </cell>
        </row>
        <row r="1018">
          <cell r="A1018">
            <v>613374</v>
          </cell>
          <cell r="B1018" t="str">
            <v>luis carlos lopez vargas</v>
          </cell>
          <cell r="C1018">
            <v>613374</v>
          </cell>
          <cell r="D1018" t="str">
            <v>san julian</v>
          </cell>
          <cell r="E1018">
            <v>3113925213</v>
          </cell>
          <cell r="N1018" t="str">
            <v>x</v>
          </cell>
          <cell r="S1018" t="e">
            <v>#N/A</v>
          </cell>
          <cell r="T1018">
            <v>1</v>
          </cell>
        </row>
        <row r="1019">
          <cell r="A1019">
            <v>1035305195</v>
          </cell>
          <cell r="B1019" t="str">
            <v xml:space="preserve">deisy andrea rueda tangarife </v>
          </cell>
          <cell r="C1019">
            <v>1035305195</v>
          </cell>
          <cell r="D1019" t="str">
            <v xml:space="preserve">la manga </v>
          </cell>
          <cell r="E1019">
            <v>3164231684</v>
          </cell>
          <cell r="L1019" t="str">
            <v>x</v>
          </cell>
          <cell r="S1019" t="e">
            <v>#N/A</v>
          </cell>
          <cell r="T1019" t="e">
            <v>#N/A</v>
          </cell>
        </row>
        <row r="1020">
          <cell r="A1020">
            <v>98613718</v>
          </cell>
          <cell r="B1020" t="str">
            <v>vicente pereira usuga</v>
          </cell>
          <cell r="C1020">
            <v>98613718</v>
          </cell>
          <cell r="D1020" t="str">
            <v>san julian</v>
          </cell>
          <cell r="E1020">
            <v>3136412417</v>
          </cell>
          <cell r="O1020" t="str">
            <v>x</v>
          </cell>
          <cell r="S1020" t="e">
            <v>#N/A</v>
          </cell>
          <cell r="T1020" t="e">
            <v>#N/A</v>
          </cell>
        </row>
        <row r="1021">
          <cell r="A1021">
            <v>1035305208</v>
          </cell>
          <cell r="B1021" t="str">
            <v>Santiago Oquendo</v>
          </cell>
          <cell r="C1021">
            <v>1035305208</v>
          </cell>
          <cell r="D1021" t="str">
            <v>Insor</v>
          </cell>
          <cell r="E1021">
            <v>3112166016</v>
          </cell>
          <cell r="L1021" t="str">
            <v>x</v>
          </cell>
          <cell r="S1021" t="e">
            <v>#N/A</v>
          </cell>
          <cell r="T1021" t="e">
            <v>#N/A</v>
          </cell>
        </row>
        <row r="1022">
          <cell r="A1022">
            <v>1035305222</v>
          </cell>
          <cell r="B1022" t="str">
            <v>Sindy Yurany Manco</v>
          </cell>
          <cell r="C1022">
            <v>1035305222</v>
          </cell>
          <cell r="D1022" t="str">
            <v>Ciriguan</v>
          </cell>
          <cell r="E1022">
            <v>3148262619</v>
          </cell>
          <cell r="L1022" t="str">
            <v>x</v>
          </cell>
          <cell r="S1022" t="e">
            <v>#N/A</v>
          </cell>
          <cell r="T1022" t="e">
            <v>#N/A</v>
          </cell>
        </row>
        <row r="1023">
          <cell r="A1023">
            <v>39307590</v>
          </cell>
          <cell r="B1023" t="str">
            <v>sidney del carmen ochoa higuita</v>
          </cell>
          <cell r="C1023">
            <v>39307590</v>
          </cell>
          <cell r="D1023" t="str">
            <v>cordoncillal</v>
          </cell>
          <cell r="E1023">
            <v>3105147145</v>
          </cell>
          <cell r="O1023" t="str">
            <v>x</v>
          </cell>
          <cell r="S1023" t="e">
            <v>#N/A</v>
          </cell>
          <cell r="T1023">
            <v>1</v>
          </cell>
        </row>
        <row r="1024">
          <cell r="A1024">
            <v>21612290</v>
          </cell>
          <cell r="B1024" t="str">
            <v>rubiela monroy de tuberquia</v>
          </cell>
          <cell r="C1024">
            <v>21612290</v>
          </cell>
          <cell r="D1024" t="str">
            <v>naranjal</v>
          </cell>
          <cell r="E1024">
            <v>3128939384</v>
          </cell>
          <cell r="N1024" t="str">
            <v>x</v>
          </cell>
          <cell r="S1024" t="e">
            <v>#N/A</v>
          </cell>
          <cell r="T1024" t="e">
            <v>#N/A</v>
          </cell>
        </row>
        <row r="1025">
          <cell r="A1025">
            <v>1035305490</v>
          </cell>
          <cell r="B1025" t="str">
            <v>carlos mario loaiza serna</v>
          </cell>
          <cell r="C1025">
            <v>1035305490</v>
          </cell>
          <cell r="D1025" t="str">
            <v xml:space="preserve">el madero </v>
          </cell>
          <cell r="E1025">
            <v>3148269278</v>
          </cell>
          <cell r="L1025" t="str">
            <v>x</v>
          </cell>
          <cell r="S1025" t="e">
            <v>#N/A</v>
          </cell>
          <cell r="T1025" t="e">
            <v>#N/A</v>
          </cell>
        </row>
        <row r="1026">
          <cell r="A1026">
            <v>70435088</v>
          </cell>
          <cell r="B1026" t="str">
            <v>omar de jesus graciano valderrama</v>
          </cell>
          <cell r="C1026">
            <v>70435088</v>
          </cell>
          <cell r="D1026" t="str">
            <v>chupadero</v>
          </cell>
          <cell r="E1026">
            <v>3226594094</v>
          </cell>
          <cell r="K1026" t="str">
            <v>x</v>
          </cell>
          <cell r="S1026" t="str">
            <v>banco agrario</v>
          </cell>
          <cell r="T1026" t="e">
            <v>#N/A</v>
          </cell>
        </row>
        <row r="1027">
          <cell r="A1027">
            <v>21614441</v>
          </cell>
          <cell r="B1027" t="str">
            <v>ana de jesus valderrama valderrama</v>
          </cell>
          <cell r="C1027">
            <v>21614441</v>
          </cell>
          <cell r="D1027" t="str">
            <v>chupadero</v>
          </cell>
          <cell r="E1027">
            <v>3226594094</v>
          </cell>
          <cell r="N1027" t="str">
            <v>x</v>
          </cell>
          <cell r="S1027" t="e">
            <v>#N/A</v>
          </cell>
          <cell r="T1027" t="e">
            <v>#N/A</v>
          </cell>
        </row>
        <row r="1028">
          <cell r="A1028">
            <v>43780309</v>
          </cell>
          <cell r="B1028" t="str">
            <v>socorro redriguez graciano</v>
          </cell>
          <cell r="C1028">
            <v>43780309</v>
          </cell>
          <cell r="D1028" t="str">
            <v>chupadero</v>
          </cell>
          <cell r="E1028">
            <v>3202792879</v>
          </cell>
          <cell r="O1028" t="str">
            <v>x</v>
          </cell>
          <cell r="S1028" t="e">
            <v>#N/A</v>
          </cell>
          <cell r="T1028" t="e">
            <v>#N/A</v>
          </cell>
        </row>
        <row r="1029">
          <cell r="A1029">
            <v>32395766</v>
          </cell>
          <cell r="B1029" t="str">
            <v>maria dioselina david</v>
          </cell>
          <cell r="C1029">
            <v>32395766</v>
          </cell>
          <cell r="D1029" t="str">
            <v>la estrella</v>
          </cell>
          <cell r="E1029">
            <v>3146666880</v>
          </cell>
          <cell r="N1029" t="str">
            <v>x</v>
          </cell>
          <cell r="S1029" t="e">
            <v>#N/A</v>
          </cell>
          <cell r="T1029" t="e">
            <v>#N/A</v>
          </cell>
        </row>
        <row r="1030">
          <cell r="A1030">
            <v>3430634</v>
          </cell>
          <cell r="B1030" t="str">
            <v>bernardo de jesus david castañeda</v>
          </cell>
          <cell r="C1030">
            <v>3430634</v>
          </cell>
          <cell r="D1030" t="str">
            <v>la curva</v>
          </cell>
          <cell r="E1030">
            <v>3234709187</v>
          </cell>
          <cell r="M1030" t="str">
            <v>x</v>
          </cell>
          <cell r="S1030" t="e">
            <v>#N/A</v>
          </cell>
          <cell r="T1030" t="e">
            <v>#N/A</v>
          </cell>
        </row>
        <row r="1031">
          <cell r="A1031">
            <v>1035305562</v>
          </cell>
          <cell r="B1031" t="str">
            <v>Lucia Ortiz Ruiz</v>
          </cell>
          <cell r="C1031">
            <v>1035305562</v>
          </cell>
          <cell r="D1031" t="str">
            <v>Insor</v>
          </cell>
          <cell r="E1031">
            <v>3116854202</v>
          </cell>
          <cell r="L1031" t="str">
            <v>x</v>
          </cell>
          <cell r="S1031" t="e">
            <v>#N/A</v>
          </cell>
          <cell r="T1031" t="e">
            <v>#N/A</v>
          </cell>
        </row>
        <row r="1032">
          <cell r="A1032">
            <v>1035305861</v>
          </cell>
          <cell r="B1032" t="str">
            <v>Juan Pablo Borja Garcia</v>
          </cell>
          <cell r="C1032">
            <v>1035305861</v>
          </cell>
          <cell r="D1032" t="str">
            <v>Guadual</v>
          </cell>
          <cell r="E1032">
            <v>3104376617</v>
          </cell>
          <cell r="L1032" t="str">
            <v>x</v>
          </cell>
          <cell r="S1032" t="e">
            <v>#N/A</v>
          </cell>
          <cell r="T1032" t="e">
            <v>#N/A</v>
          </cell>
        </row>
        <row r="1033">
          <cell r="A1033">
            <v>3431679</v>
          </cell>
          <cell r="B1033" t="str">
            <v>amando antonio correa rueda</v>
          </cell>
          <cell r="C1033">
            <v>3431679</v>
          </cell>
          <cell r="D1033" t="str">
            <v>la soledad</v>
          </cell>
          <cell r="E1033">
            <v>3213960448</v>
          </cell>
          <cell r="O1033" t="str">
            <v>x</v>
          </cell>
          <cell r="S1033" t="e">
            <v>#N/A</v>
          </cell>
          <cell r="T1033">
            <v>1</v>
          </cell>
        </row>
        <row r="1034">
          <cell r="A1034">
            <v>1035700083</v>
          </cell>
          <cell r="B1034" t="str">
            <v xml:space="preserve">Blanca Rocio Campo Usuga </v>
          </cell>
          <cell r="C1034">
            <v>1035700083</v>
          </cell>
          <cell r="D1034" t="str">
            <v>La Soledad</v>
          </cell>
          <cell r="E1034">
            <v>3108482956</v>
          </cell>
          <cell r="G1034" t="str">
            <v>x</v>
          </cell>
          <cell r="K1034" t="str">
            <v>x</v>
          </cell>
          <cell r="S1034" t="e">
            <v>#N/A</v>
          </cell>
          <cell r="T1034" t="e">
            <v>#N/A</v>
          </cell>
        </row>
        <row r="1035">
          <cell r="A1035">
            <v>1035700083</v>
          </cell>
          <cell r="B1035" t="str">
            <v xml:space="preserve">Blanca Rocio Campo Usuga </v>
          </cell>
          <cell r="C1035">
            <v>1035700083</v>
          </cell>
          <cell r="D1035" t="str">
            <v>La Soledad</v>
          </cell>
          <cell r="E1035">
            <v>3108482956</v>
          </cell>
          <cell r="G1035" t="str">
            <v>x</v>
          </cell>
          <cell r="K1035" t="str">
            <v>x</v>
          </cell>
          <cell r="S1035" t="e">
            <v>#N/A</v>
          </cell>
          <cell r="T1035" t="e">
            <v>#N/A</v>
          </cell>
        </row>
        <row r="1036">
          <cell r="A1036">
            <v>1035700423</v>
          </cell>
          <cell r="B1036" t="str">
            <v>Leidy Yuliana Morales Gutierrez</v>
          </cell>
          <cell r="C1036">
            <v>1035700423</v>
          </cell>
          <cell r="D1036" t="str">
            <v>La lloroncita</v>
          </cell>
          <cell r="E1036">
            <v>3105313036</v>
          </cell>
          <cell r="F1036" t="str">
            <v>x</v>
          </cell>
          <cell r="I1036" t="str">
            <v>Ella y dos hijos</v>
          </cell>
          <cell r="L1036" t="str">
            <v>x</v>
          </cell>
          <cell r="S1036" t="e">
            <v>#N/A</v>
          </cell>
          <cell r="T1036" t="e">
            <v>#N/A</v>
          </cell>
        </row>
        <row r="1037">
          <cell r="A1037">
            <v>43782624</v>
          </cell>
          <cell r="B1037" t="str">
            <v>luz mila uribe osorio</v>
          </cell>
          <cell r="C1037">
            <v>43782624</v>
          </cell>
          <cell r="D1037" t="str">
            <v>mediacuesta</v>
          </cell>
          <cell r="E1037">
            <v>3147706760</v>
          </cell>
          <cell r="O1037" t="str">
            <v>x</v>
          </cell>
          <cell r="S1037" t="e">
            <v>#N/A</v>
          </cell>
          <cell r="T1037" t="e">
            <v>#N/A</v>
          </cell>
        </row>
        <row r="1038">
          <cell r="A1038">
            <v>1035851487</v>
          </cell>
          <cell r="B1038" t="str">
            <v>Deysi Viviana Usuga Higuita</v>
          </cell>
          <cell r="C1038">
            <v>1035851487</v>
          </cell>
          <cell r="D1038" t="str">
            <v>Rubicon</v>
          </cell>
          <cell r="L1038" t="str">
            <v>x</v>
          </cell>
          <cell r="S1038" t="e">
            <v>#N/A</v>
          </cell>
          <cell r="T1038" t="e">
            <v>#N/A</v>
          </cell>
        </row>
        <row r="1039">
          <cell r="A1039">
            <v>1037601414</v>
          </cell>
          <cell r="B1039" t="str">
            <v>JOAQUINA MURILLO</v>
          </cell>
          <cell r="C1039">
            <v>1037601414</v>
          </cell>
          <cell r="D1039" t="str">
            <v>LA AGUADA</v>
          </cell>
          <cell r="S1039" t="e">
            <v>#N/A</v>
          </cell>
          <cell r="T1039" t="e">
            <v>#N/A</v>
          </cell>
        </row>
        <row r="1040">
          <cell r="A1040">
            <v>1038322387</v>
          </cell>
          <cell r="B1040" t="str">
            <v>ANDRES FELIPE  GARCIA RUIZ</v>
          </cell>
          <cell r="C1040">
            <v>1038322387</v>
          </cell>
          <cell r="D1040" t="str">
            <v>MACANAL</v>
          </cell>
          <cell r="E1040">
            <v>3205974401</v>
          </cell>
          <cell r="I1040" t="str">
            <v xml:space="preserve">EL Y SEÑORA </v>
          </cell>
          <cell r="K1040" t="str">
            <v>X</v>
          </cell>
          <cell r="Q1040" t="str">
            <v>Visitar</v>
          </cell>
          <cell r="S1040" t="e">
            <v>#N/A</v>
          </cell>
          <cell r="T1040" t="e">
            <v>#N/A</v>
          </cell>
        </row>
        <row r="1041">
          <cell r="A1041">
            <v>1038333114</v>
          </cell>
          <cell r="B1041" t="str">
            <v>Yury Marcela Uribe Higuita</v>
          </cell>
          <cell r="C1041">
            <v>1038333114</v>
          </cell>
          <cell r="D1041" t="str">
            <v>Juntas de Uramita</v>
          </cell>
          <cell r="E1041">
            <v>3136286683</v>
          </cell>
          <cell r="P1041" t="str">
            <v>Juntas de Uramita</v>
          </cell>
          <cell r="S1041" t="e">
            <v>#N/A</v>
          </cell>
          <cell r="T1041" t="e">
            <v>#N/A</v>
          </cell>
        </row>
        <row r="1042">
          <cell r="A1042">
            <v>1038334160</v>
          </cell>
          <cell r="B1042" t="str">
            <v>beronica saldarriaga barrera</v>
          </cell>
          <cell r="C1042">
            <v>1038334160</v>
          </cell>
          <cell r="D1042" t="str">
            <v>mediacuesta</v>
          </cell>
          <cell r="E1042">
            <v>3136645185</v>
          </cell>
          <cell r="L1042" t="str">
            <v>x</v>
          </cell>
          <cell r="S1042" t="e">
            <v>#N/A</v>
          </cell>
          <cell r="T1042" t="e">
            <v>#N/A</v>
          </cell>
        </row>
        <row r="1043">
          <cell r="A1043">
            <v>1038337892</v>
          </cell>
          <cell r="B1043" t="str">
            <v>SEBASTIAN JARAMILLO GOMEZ</v>
          </cell>
          <cell r="C1043">
            <v>1038337892</v>
          </cell>
          <cell r="D1043" t="str">
            <v>CESTILLAL</v>
          </cell>
          <cell r="S1043" t="e">
            <v>#N/A</v>
          </cell>
          <cell r="T1043" t="e">
            <v>#N/A</v>
          </cell>
        </row>
        <row r="1044">
          <cell r="A1044">
            <v>1039688768</v>
          </cell>
          <cell r="B1044" t="str">
            <v>Wilson Cartagena</v>
          </cell>
          <cell r="C1044">
            <v>1039688768</v>
          </cell>
          <cell r="D1044" t="str">
            <v>Santo Domingo</v>
          </cell>
          <cell r="E1044">
            <v>3224663824</v>
          </cell>
          <cell r="L1044" t="str">
            <v>x</v>
          </cell>
          <cell r="S1044" t="e">
            <v>#N/A</v>
          </cell>
          <cell r="T1044" t="e">
            <v>#N/A</v>
          </cell>
        </row>
        <row r="1045">
          <cell r="A1045">
            <v>1039688768</v>
          </cell>
          <cell r="B1045" t="str">
            <v>Wilson Cartagena</v>
          </cell>
          <cell r="C1045">
            <v>1039688768</v>
          </cell>
          <cell r="D1045" t="str">
            <v>Santo Domingo</v>
          </cell>
          <cell r="E1045">
            <v>3224663824</v>
          </cell>
          <cell r="L1045" t="str">
            <v>x</v>
          </cell>
          <cell r="S1045" t="e">
            <v>#N/A</v>
          </cell>
          <cell r="T1045" t="e">
            <v>#N/A</v>
          </cell>
        </row>
        <row r="1046">
          <cell r="A1046">
            <v>1040350793</v>
          </cell>
          <cell r="B1046" t="str">
            <v>martha eugenia hidalgo durango</v>
          </cell>
          <cell r="C1046">
            <v>1040350793</v>
          </cell>
          <cell r="D1046" t="str">
            <v>mediacuesta</v>
          </cell>
          <cell r="E1046">
            <v>3135305220</v>
          </cell>
          <cell r="L1046" t="str">
            <v>x</v>
          </cell>
          <cell r="S1046" t="e">
            <v>#N/A</v>
          </cell>
          <cell r="T1046">
            <v>0</v>
          </cell>
        </row>
        <row r="1047">
          <cell r="A1047">
            <v>43782145</v>
          </cell>
          <cell r="B1047" t="str">
            <v>SANDRA MILENA CORREA CAMPO</v>
          </cell>
          <cell r="C1047">
            <v>43782145</v>
          </cell>
          <cell r="D1047" t="str">
            <v>Paso Arriba</v>
          </cell>
          <cell r="E1047">
            <v>3183028683</v>
          </cell>
          <cell r="N1047" t="str">
            <v>x</v>
          </cell>
          <cell r="Q1047" t="str">
            <v>NO PERTENECE A LA JUNTA</v>
          </cell>
          <cell r="S1047" t="e">
            <v>#N/A</v>
          </cell>
          <cell r="T1047" t="e">
            <v>#N/A</v>
          </cell>
        </row>
        <row r="1048">
          <cell r="A1048">
            <v>1035304420</v>
          </cell>
          <cell r="B1048" t="str">
            <v>paola cristina gallego puerta</v>
          </cell>
          <cell r="C1048">
            <v>1035304420</v>
          </cell>
          <cell r="D1048" t="str">
            <v>mediacuesta</v>
          </cell>
          <cell r="E1048">
            <v>3205777245</v>
          </cell>
          <cell r="K1048" t="str">
            <v>x</v>
          </cell>
          <cell r="S1048" t="str">
            <v>fondo nacional de vivienda</v>
          </cell>
          <cell r="T1048" t="e">
            <v>#N/A</v>
          </cell>
        </row>
        <row r="1049">
          <cell r="A1049">
            <v>1046904760</v>
          </cell>
          <cell r="B1049" t="str">
            <v>Nini Yojana Velasques Zurita</v>
          </cell>
          <cell r="C1049">
            <v>1046904760</v>
          </cell>
          <cell r="D1049" t="str">
            <v>La Escalera</v>
          </cell>
          <cell r="E1049">
            <v>3206081408</v>
          </cell>
          <cell r="G1049" t="str">
            <v>x</v>
          </cell>
          <cell r="L1049" t="str">
            <v>x</v>
          </cell>
          <cell r="S1049" t="e">
            <v>#N/A</v>
          </cell>
          <cell r="T1049" t="e">
            <v>#N/A</v>
          </cell>
        </row>
        <row r="1050">
          <cell r="A1050">
            <v>70430977</v>
          </cell>
          <cell r="B1050" t="str">
            <v xml:space="preserve">juan ramon oquendo ruiz </v>
          </cell>
          <cell r="C1050">
            <v>70430977</v>
          </cell>
          <cell r="D1050" t="str">
            <v>mediacuesta</v>
          </cell>
          <cell r="E1050">
            <v>3116935625</v>
          </cell>
          <cell r="O1050" t="str">
            <v>x</v>
          </cell>
          <cell r="S1050" t="e">
            <v>#N/A</v>
          </cell>
          <cell r="T1050" t="e">
            <v>#N/A</v>
          </cell>
        </row>
        <row r="1051">
          <cell r="A1051">
            <v>70435747</v>
          </cell>
          <cell r="B1051" t="str">
            <v>jaider alexander ramirez maldonado</v>
          </cell>
          <cell r="C1051">
            <v>70435747</v>
          </cell>
          <cell r="D1051" t="str">
            <v>mediacuesta</v>
          </cell>
          <cell r="E1051">
            <v>3206921297</v>
          </cell>
          <cell r="O1051" t="str">
            <v>x</v>
          </cell>
          <cell r="S1051" t="e">
            <v>#N/A</v>
          </cell>
          <cell r="T1051" t="e">
            <v>#N/A</v>
          </cell>
        </row>
        <row r="1052">
          <cell r="A1052">
            <v>21611394</v>
          </cell>
          <cell r="B1052" t="str">
            <v>maria del carmen david giraldo</v>
          </cell>
          <cell r="C1052">
            <v>21611394</v>
          </cell>
          <cell r="D1052" t="str">
            <v>mediacuesta</v>
          </cell>
          <cell r="E1052">
            <v>3207652845</v>
          </cell>
          <cell r="O1052" t="str">
            <v>x</v>
          </cell>
          <cell r="S1052" t="e">
            <v>#N/A</v>
          </cell>
          <cell r="T1052">
            <v>1</v>
          </cell>
        </row>
        <row r="1053">
          <cell r="A1053">
            <v>21609921</v>
          </cell>
          <cell r="B1053" t="str">
            <v>luz marina posada de uribe</v>
          </cell>
          <cell r="C1053">
            <v>21609921</v>
          </cell>
          <cell r="D1053" t="str">
            <v>mediacuesta</v>
          </cell>
          <cell r="E1053">
            <v>3127782608</v>
          </cell>
          <cell r="O1053" t="str">
            <v>x</v>
          </cell>
          <cell r="S1053" t="e">
            <v>#N/A</v>
          </cell>
          <cell r="T1053" t="e">
            <v>#N/A</v>
          </cell>
        </row>
        <row r="1054">
          <cell r="A1054">
            <v>43780799</v>
          </cell>
          <cell r="B1054" t="str">
            <v>fanny del socorro jimenez durango</v>
          </cell>
          <cell r="C1054">
            <v>43780799</v>
          </cell>
          <cell r="D1054" t="str">
            <v>mediacuesta</v>
          </cell>
          <cell r="E1054">
            <v>3148970570</v>
          </cell>
          <cell r="N1054" t="str">
            <v>x</v>
          </cell>
          <cell r="S1054" t="e">
            <v>#N/A</v>
          </cell>
          <cell r="T1054" t="e">
            <v>#N/A</v>
          </cell>
        </row>
        <row r="1055">
          <cell r="A1055">
            <v>21609485</v>
          </cell>
          <cell r="B1055" t="str">
            <v>ana oliva usuga</v>
          </cell>
          <cell r="C1055">
            <v>21609485</v>
          </cell>
          <cell r="D1055" t="str">
            <v>mediacuesta</v>
          </cell>
          <cell r="E1055">
            <v>3135649346</v>
          </cell>
          <cell r="N1055" t="str">
            <v>x</v>
          </cell>
          <cell r="S1055" t="e">
            <v>#N/A</v>
          </cell>
          <cell r="T1055" t="e">
            <v>#N/A</v>
          </cell>
        </row>
        <row r="1056">
          <cell r="A1056">
            <v>70431357</v>
          </cell>
          <cell r="B1056" t="str">
            <v>heriberto emilio osorio manco</v>
          </cell>
          <cell r="C1056">
            <v>70431357</v>
          </cell>
          <cell r="D1056" t="str">
            <v>mediacuesta</v>
          </cell>
          <cell r="E1056">
            <v>3122359650</v>
          </cell>
          <cell r="N1056" t="str">
            <v>x</v>
          </cell>
          <cell r="S1056" t="e">
            <v>#N/A</v>
          </cell>
          <cell r="T1056" t="e">
            <v>#N/A</v>
          </cell>
        </row>
        <row r="1057">
          <cell r="A1057">
            <v>70434277</v>
          </cell>
          <cell r="B1057" t="str">
            <v>alirio de jesus puerta guisao</v>
          </cell>
          <cell r="C1057">
            <v>70434277</v>
          </cell>
          <cell r="D1057" t="str">
            <v>mediacuesta</v>
          </cell>
          <cell r="E1057">
            <v>3117582199</v>
          </cell>
          <cell r="N1057" t="str">
            <v>x</v>
          </cell>
          <cell r="S1057" t="e">
            <v>#N/A</v>
          </cell>
          <cell r="T1057">
            <v>0</v>
          </cell>
        </row>
        <row r="1058">
          <cell r="A1058">
            <v>70430681</v>
          </cell>
          <cell r="B1058" t="str">
            <v>luis alberto puerta guisao</v>
          </cell>
          <cell r="C1058">
            <v>70430681</v>
          </cell>
          <cell r="D1058" t="str">
            <v>mediacuesta</v>
          </cell>
          <cell r="E1058">
            <v>3217545416</v>
          </cell>
          <cell r="N1058" t="str">
            <v>x</v>
          </cell>
          <cell r="S1058" t="e">
            <v>#N/A</v>
          </cell>
          <cell r="T1058">
            <v>1</v>
          </cell>
        </row>
        <row r="1059">
          <cell r="A1059">
            <v>1046905192</v>
          </cell>
          <cell r="B1059" t="str">
            <v>Rubis Velasquez Zurita</v>
          </cell>
          <cell r="C1059">
            <v>1046905192</v>
          </cell>
          <cell r="D1059" t="str">
            <v>La Escalera</v>
          </cell>
          <cell r="E1059">
            <v>3136548174</v>
          </cell>
          <cell r="G1059" t="str">
            <v>x</v>
          </cell>
          <cell r="L1059" t="str">
            <v>x</v>
          </cell>
          <cell r="S1059" t="e">
            <v>#N/A</v>
          </cell>
          <cell r="T1059" t="e">
            <v>#N/A</v>
          </cell>
        </row>
        <row r="1060">
          <cell r="A1060">
            <v>43491550</v>
          </cell>
          <cell r="B1060" t="str">
            <v>Sandra Yaneth Velez Angel</v>
          </cell>
          <cell r="C1060">
            <v>43491550</v>
          </cell>
          <cell r="D1060" t="str">
            <v>Paso Arriba</v>
          </cell>
          <cell r="E1060">
            <v>3136837715</v>
          </cell>
          <cell r="O1060" t="str">
            <v>X</v>
          </cell>
          <cell r="Q1060" t="str">
            <v>SI</v>
          </cell>
          <cell r="R1060" t="str">
            <v>PRESIDENTE</v>
          </cell>
          <cell r="S1060" t="e">
            <v>#N/A</v>
          </cell>
          <cell r="T1060" t="e">
            <v>#N/A</v>
          </cell>
        </row>
        <row r="1061">
          <cell r="A1061">
            <v>1046952172</v>
          </cell>
          <cell r="B1061" t="str">
            <v>Nohelia Aguirre Guisao</v>
          </cell>
          <cell r="C1061">
            <v>1046952172</v>
          </cell>
          <cell r="D1061" t="str">
            <v>Vereda san Julian</v>
          </cell>
          <cell r="E1061">
            <v>3104653770</v>
          </cell>
          <cell r="S1061" t="e">
            <v>#N/A</v>
          </cell>
          <cell r="T1061" t="e">
            <v>#N/A</v>
          </cell>
        </row>
        <row r="1062">
          <cell r="A1062">
            <v>1046952508</v>
          </cell>
          <cell r="B1062" t="str">
            <v>Astrid Morelia Saldarriaga</v>
          </cell>
          <cell r="C1062">
            <v>1046952508</v>
          </cell>
          <cell r="D1062" t="str">
            <v>Juntas de Uramita</v>
          </cell>
          <cell r="E1062">
            <v>3126362825</v>
          </cell>
          <cell r="P1062" t="str">
            <v>Juntas de Uramita</v>
          </cell>
          <cell r="S1062" t="e">
            <v>#N/A</v>
          </cell>
          <cell r="T1062" t="e">
            <v>#N/A</v>
          </cell>
        </row>
        <row r="1063">
          <cell r="A1063">
            <v>70430908</v>
          </cell>
          <cell r="B1063" t="str">
            <v>jose  luis higuita berrio</v>
          </cell>
          <cell r="C1063">
            <v>70430908</v>
          </cell>
          <cell r="D1063" t="str">
            <v>pernilla</v>
          </cell>
          <cell r="E1063">
            <v>3137094111</v>
          </cell>
          <cell r="O1063" t="str">
            <v>x</v>
          </cell>
          <cell r="S1063" t="e">
            <v>#N/A</v>
          </cell>
          <cell r="T1063">
            <v>1</v>
          </cell>
        </row>
        <row r="1064">
          <cell r="A1064">
            <v>43079030</v>
          </cell>
          <cell r="B1064" t="str">
            <v>luz elena higuita berrio</v>
          </cell>
          <cell r="C1064">
            <v>43079030</v>
          </cell>
          <cell r="D1064" t="str">
            <v>pernilla</v>
          </cell>
          <cell r="E1064">
            <v>3127381421</v>
          </cell>
          <cell r="O1064" t="str">
            <v>x</v>
          </cell>
          <cell r="S1064" t="e">
            <v>#N/A</v>
          </cell>
          <cell r="T1064" t="e">
            <v>#N/A</v>
          </cell>
        </row>
        <row r="1065">
          <cell r="A1065">
            <v>21610526</v>
          </cell>
          <cell r="B1065" t="str">
            <v>maria isabel david giraldo</v>
          </cell>
          <cell r="C1065">
            <v>21610526</v>
          </cell>
          <cell r="D1065" t="str">
            <v>pernilla</v>
          </cell>
          <cell r="E1065">
            <v>3218741161</v>
          </cell>
          <cell r="O1065" t="str">
            <v>x</v>
          </cell>
          <cell r="S1065" t="e">
            <v>#N/A</v>
          </cell>
          <cell r="T1065" t="e">
            <v>#N/A</v>
          </cell>
        </row>
        <row r="1066">
          <cell r="A1066">
            <v>21610063</v>
          </cell>
          <cell r="B1066" t="str">
            <v>cenobia de jesus espinalde vahos</v>
          </cell>
          <cell r="C1066">
            <v>21610063</v>
          </cell>
          <cell r="D1066" t="str">
            <v>pernilla</v>
          </cell>
          <cell r="E1066">
            <v>3196731758</v>
          </cell>
          <cell r="N1066" t="str">
            <v>x</v>
          </cell>
          <cell r="S1066" t="e">
            <v>#N/A</v>
          </cell>
          <cell r="T1066" t="e">
            <v>#N/A</v>
          </cell>
        </row>
        <row r="1067">
          <cell r="A1067">
            <v>70435001</v>
          </cell>
          <cell r="B1067" t="str">
            <v>francisco javier torres suarez</v>
          </cell>
          <cell r="C1067">
            <v>70435001</v>
          </cell>
          <cell r="D1067" t="str">
            <v>pernilla</v>
          </cell>
          <cell r="E1067">
            <v>3103756905</v>
          </cell>
          <cell r="N1067" t="str">
            <v>x</v>
          </cell>
          <cell r="S1067" t="e">
            <v>#N/A</v>
          </cell>
          <cell r="T1067">
            <v>1</v>
          </cell>
        </row>
        <row r="1068">
          <cell r="A1068">
            <v>1046953710</v>
          </cell>
          <cell r="B1068" t="str">
            <v>Zoraida Montoya Usuga</v>
          </cell>
          <cell r="C1068">
            <v>1046953710</v>
          </cell>
          <cell r="D1068" t="str">
            <v>Juntas de Uramita</v>
          </cell>
          <cell r="E1068">
            <v>3135523414</v>
          </cell>
          <cell r="P1068" t="str">
            <v>Juntas de Uramita</v>
          </cell>
          <cell r="S1068" t="e">
            <v>#N/A</v>
          </cell>
          <cell r="T1068" t="e">
            <v>#N/A</v>
          </cell>
        </row>
        <row r="1069">
          <cell r="A1069">
            <v>1046954092</v>
          </cell>
          <cell r="B1069" t="str">
            <v>Rudy Yeraldin  Avendaño Higuita</v>
          </cell>
          <cell r="C1069">
            <v>1046954092</v>
          </cell>
          <cell r="D1069" t="str">
            <v>Juntas de Uramita</v>
          </cell>
          <cell r="E1069">
            <v>3146963396</v>
          </cell>
          <cell r="P1069" t="str">
            <v>Juntas de Uramita</v>
          </cell>
          <cell r="S1069" t="e">
            <v>#N/A</v>
          </cell>
          <cell r="T1069" t="e">
            <v>#N/A</v>
          </cell>
        </row>
        <row r="1070">
          <cell r="A1070">
            <v>1046954379</v>
          </cell>
          <cell r="B1070" t="str">
            <v xml:space="preserve">duvan andres pino hurtado </v>
          </cell>
          <cell r="C1070">
            <v>1046954379</v>
          </cell>
          <cell r="D1070" t="str">
            <v>san julian</v>
          </cell>
          <cell r="E1070">
            <v>3218073221</v>
          </cell>
          <cell r="L1070" t="str">
            <v>x</v>
          </cell>
          <cell r="S1070" t="e">
            <v>#N/A</v>
          </cell>
          <cell r="T1070" t="e">
            <v>#N/A</v>
          </cell>
        </row>
        <row r="1071">
          <cell r="A1071">
            <v>70434496</v>
          </cell>
          <cell r="B1071" t="str">
            <v>francisco javier valderrama</v>
          </cell>
          <cell r="C1071">
            <v>70434496</v>
          </cell>
          <cell r="D1071" t="str">
            <v>chupadero</v>
          </cell>
          <cell r="L1071" t="str">
            <v>x</v>
          </cell>
          <cell r="S1071" t="str">
            <v>banco agrario</v>
          </cell>
          <cell r="T1071">
            <v>0</v>
          </cell>
        </row>
        <row r="1072">
          <cell r="A1072">
            <v>1063281511</v>
          </cell>
          <cell r="B1072" t="str">
            <v>ANA MILENA ARTEAGA ARTEAGA</v>
          </cell>
          <cell r="C1072">
            <v>1063281511</v>
          </cell>
          <cell r="D1072" t="str">
            <v>CESTILLAL</v>
          </cell>
          <cell r="S1072" t="e">
            <v>#N/A</v>
          </cell>
          <cell r="T1072">
            <v>1</v>
          </cell>
        </row>
        <row r="1073">
          <cell r="A1073">
            <v>43780309</v>
          </cell>
          <cell r="B1073" t="str">
            <v>socorro rodriguez</v>
          </cell>
          <cell r="C1073">
            <v>43780309</v>
          </cell>
          <cell r="D1073" t="str">
            <v>chupadero</v>
          </cell>
          <cell r="O1073" t="str">
            <v>x</v>
          </cell>
          <cell r="S1073" t="e">
            <v>#N/A</v>
          </cell>
          <cell r="T1073" t="e">
            <v>#N/A</v>
          </cell>
        </row>
        <row r="1074">
          <cell r="A1074">
            <v>21614370</v>
          </cell>
          <cell r="B1074" t="str">
            <v>magdalena varela gomez</v>
          </cell>
          <cell r="C1074">
            <v>21614370</v>
          </cell>
          <cell r="D1074" t="str">
            <v>chupadero</v>
          </cell>
          <cell r="O1074" t="str">
            <v>x</v>
          </cell>
        </row>
        <row r="1075">
          <cell r="A1075">
            <v>3432505</v>
          </cell>
          <cell r="B1075" t="str">
            <v>heriberto valderrama</v>
          </cell>
          <cell r="C1075">
            <v>3432505</v>
          </cell>
          <cell r="D1075" t="str">
            <v>chupadero</v>
          </cell>
          <cell r="N1075" t="str">
            <v>x</v>
          </cell>
        </row>
        <row r="1076">
          <cell r="A1076">
            <v>1082128954</v>
          </cell>
          <cell r="B1076" t="str">
            <v>Yenifer Calvache Marroquin</v>
          </cell>
          <cell r="C1076">
            <v>1082128954</v>
          </cell>
          <cell r="D1076" t="str">
            <v>Ciriguan</v>
          </cell>
          <cell r="E1076">
            <v>3156942431</v>
          </cell>
          <cell r="L1076" t="str">
            <v>x</v>
          </cell>
        </row>
        <row r="1077">
          <cell r="A1077">
            <v>1094941052</v>
          </cell>
          <cell r="B1077" t="str">
            <v>diego armando nupan osorio</v>
          </cell>
          <cell r="C1077">
            <v>1094941052</v>
          </cell>
          <cell r="D1077" t="str">
            <v>mediacuesta</v>
          </cell>
          <cell r="E1077">
            <v>3202003611</v>
          </cell>
          <cell r="L1077" t="str">
            <v>x</v>
          </cell>
        </row>
        <row r="1078">
          <cell r="A1078">
            <v>1099554135</v>
          </cell>
          <cell r="B1078" t="str">
            <v>Luis Albeiro Rodriguez Manco</v>
          </cell>
          <cell r="C1078">
            <v>1099554135</v>
          </cell>
          <cell r="D1078" t="str">
            <v>La Soledad</v>
          </cell>
          <cell r="E1078" t="str">
            <v>3108363011 - 3216073334</v>
          </cell>
          <cell r="H1078" t="str">
            <v>x</v>
          </cell>
          <cell r="K1078" t="str">
            <v>x</v>
          </cell>
        </row>
        <row r="1079">
          <cell r="A1079">
            <v>1099554135</v>
          </cell>
          <cell r="B1079" t="str">
            <v>Luis Albeiro Rodriguez Manco</v>
          </cell>
          <cell r="C1079">
            <v>1099554135</v>
          </cell>
          <cell r="D1079" t="str">
            <v>La Soledad</v>
          </cell>
          <cell r="E1079" t="str">
            <v>3108363011 - 3216073334</v>
          </cell>
          <cell r="H1079" t="str">
            <v>x</v>
          </cell>
          <cell r="K1079" t="str">
            <v>x</v>
          </cell>
        </row>
        <row r="1080">
          <cell r="A1080">
            <v>1146436008</v>
          </cell>
          <cell r="B1080" t="str">
            <v>Diego Alonso Usuga Giraldo</v>
          </cell>
          <cell r="C1080">
            <v>1146436008</v>
          </cell>
          <cell r="D1080" t="str">
            <v>San Luis de Juntas</v>
          </cell>
          <cell r="E1080">
            <v>3148786326</v>
          </cell>
          <cell r="L1080" t="str">
            <v>x</v>
          </cell>
        </row>
        <row r="1081">
          <cell r="A1081">
            <v>70433312</v>
          </cell>
          <cell r="B1081" t="str">
            <v>aicardo antonio lopez higuita</v>
          </cell>
          <cell r="C1081">
            <v>70433312</v>
          </cell>
          <cell r="D1081" t="str">
            <v>cordoncillal</v>
          </cell>
          <cell r="E1081">
            <v>3116079585</v>
          </cell>
          <cell r="O1081" t="str">
            <v>x</v>
          </cell>
        </row>
        <row r="1082">
          <cell r="A1082">
            <v>1146436008</v>
          </cell>
          <cell r="B1082" t="str">
            <v>Diego Alonso Usuga Giraldo</v>
          </cell>
          <cell r="C1082">
            <v>1146436008</v>
          </cell>
          <cell r="D1082" t="str">
            <v>San Luis de Juntas</v>
          </cell>
          <cell r="E1082">
            <v>3148786326</v>
          </cell>
          <cell r="L1082" t="str">
            <v>x</v>
          </cell>
        </row>
        <row r="1083">
          <cell r="A1083">
            <v>1152687593</v>
          </cell>
          <cell r="B1083" t="str">
            <v>Lizeth Verónica campo guisao</v>
          </cell>
          <cell r="C1083">
            <v>1152687593</v>
          </cell>
          <cell r="D1083" t="str">
            <v>Apucarco</v>
          </cell>
          <cell r="E1083" t="str">
            <v>323 294 2968</v>
          </cell>
          <cell r="K1083" t="str">
            <v>x</v>
          </cell>
        </row>
        <row r="1084">
          <cell r="A1084">
            <v>1152702918</v>
          </cell>
          <cell r="B1084" t="str">
            <v>tatiana marcela roldan restrepo</v>
          </cell>
          <cell r="C1084">
            <v>1152702918</v>
          </cell>
          <cell r="D1084" t="str">
            <v xml:space="preserve">el madero </v>
          </cell>
          <cell r="E1084">
            <v>3117533656</v>
          </cell>
          <cell r="L1084" t="str">
            <v>x</v>
          </cell>
        </row>
        <row r="1085">
          <cell r="A1085">
            <v>1156701839</v>
          </cell>
          <cell r="B1085" t="str">
            <v>Vanesa Muñoz</v>
          </cell>
          <cell r="C1085">
            <v>1156701839</v>
          </cell>
          <cell r="D1085" t="str">
            <v>Vereda Chupadero</v>
          </cell>
          <cell r="E1085">
            <v>3108303029</v>
          </cell>
          <cell r="P1085" t="str">
            <v>Vereda Chupadero</v>
          </cell>
        </row>
        <row r="1086">
          <cell r="A1086">
            <v>1192765820</v>
          </cell>
          <cell r="B1086" t="str">
            <v>Edwin Elias Correa Correa</v>
          </cell>
          <cell r="C1086">
            <v>1192765820</v>
          </cell>
          <cell r="D1086" t="str">
            <v>La Soledad</v>
          </cell>
          <cell r="E1086">
            <v>3137488522</v>
          </cell>
          <cell r="H1086" t="str">
            <v>x</v>
          </cell>
          <cell r="K1086" t="str">
            <v>x</v>
          </cell>
        </row>
        <row r="1087">
          <cell r="A1087">
            <v>1192765820</v>
          </cell>
          <cell r="B1087" t="str">
            <v>Edwin Elias Correa Correa</v>
          </cell>
          <cell r="C1087">
            <v>1192765820</v>
          </cell>
          <cell r="D1087" t="str">
            <v>La Soledad</v>
          </cell>
          <cell r="E1087">
            <v>3137488522</v>
          </cell>
          <cell r="H1087" t="str">
            <v>x</v>
          </cell>
          <cell r="K1087" t="str">
            <v>x</v>
          </cell>
        </row>
        <row r="1088">
          <cell r="A1088">
            <v>1192765859</v>
          </cell>
          <cell r="B1088" t="str">
            <v>yeimer Hurtado</v>
          </cell>
          <cell r="C1088">
            <v>1192765859</v>
          </cell>
          <cell r="D1088" t="str">
            <v>San Luis del Cafe</v>
          </cell>
          <cell r="E1088" t="str">
            <v>310 598 6973</v>
          </cell>
          <cell r="L1088" t="str">
            <v>x</v>
          </cell>
        </row>
        <row r="1089">
          <cell r="A1089">
            <v>1192765862</v>
          </cell>
          <cell r="B1089" t="str">
            <v>Roman Bedoya Vargas</v>
          </cell>
          <cell r="C1089">
            <v>1192765862</v>
          </cell>
          <cell r="D1089" t="str">
            <v>El canelito</v>
          </cell>
          <cell r="E1089">
            <v>3137182618</v>
          </cell>
          <cell r="L1089" t="str">
            <v>x</v>
          </cell>
        </row>
        <row r="1090">
          <cell r="A1090">
            <v>1193069408</v>
          </cell>
          <cell r="B1090" t="str">
            <v>Luz Ney Cruz Higuita</v>
          </cell>
          <cell r="C1090">
            <v>1193069408</v>
          </cell>
          <cell r="D1090" t="str">
            <v xml:space="preserve">Alto del roble </v>
          </cell>
          <cell r="K1090" t="str">
            <v>X</v>
          </cell>
        </row>
        <row r="1091">
          <cell r="A1091">
            <v>1193221242</v>
          </cell>
          <cell r="B1091" t="str">
            <v>Aide Jakeline Graciano Usuga</v>
          </cell>
          <cell r="C1091">
            <v>1193221242</v>
          </cell>
          <cell r="D1091" t="str">
            <v>La soledad</v>
          </cell>
          <cell r="E1091">
            <v>3108263011</v>
          </cell>
          <cell r="K1091" t="str">
            <v>x</v>
          </cell>
        </row>
        <row r="1092">
          <cell r="A1092">
            <v>43780763</v>
          </cell>
          <cell r="B1092" t="str">
            <v>edna patricia arango florez</v>
          </cell>
          <cell r="C1092">
            <v>43780763</v>
          </cell>
          <cell r="D1092" t="str">
            <v>llarumito</v>
          </cell>
          <cell r="E1092">
            <v>3148487187</v>
          </cell>
          <cell r="N1092" t="str">
            <v>x</v>
          </cell>
        </row>
        <row r="1093">
          <cell r="A1093">
            <v>1216713747</v>
          </cell>
          <cell r="B1093" t="str">
            <v>Erika maria  Lopez Agudelo</v>
          </cell>
          <cell r="C1093">
            <v>1216713747</v>
          </cell>
          <cell r="D1093" t="str">
            <v>Santa Barbara</v>
          </cell>
          <cell r="E1093">
            <v>3114246120</v>
          </cell>
          <cell r="G1093" t="str">
            <v>x</v>
          </cell>
          <cell r="I1093" t="str">
            <v>Esposo e hija</v>
          </cell>
          <cell r="L1093" t="str">
            <v>x</v>
          </cell>
          <cell r="P1093" t="str">
            <v xml:space="preserve">Arriba de la escuela </v>
          </cell>
          <cell r="Q1093" t="str">
            <v>Visitar</v>
          </cell>
          <cell r="R1093" t="str">
            <v>Prioridad Alcalde</v>
          </cell>
        </row>
        <row r="1094">
          <cell r="A1094">
            <v>10353022721</v>
          </cell>
          <cell r="B1094" t="str">
            <v>José Yovany Zapata</v>
          </cell>
          <cell r="C1094">
            <v>10353022721</v>
          </cell>
          <cell r="D1094" t="str">
            <v>Bellavista</v>
          </cell>
          <cell r="E1094">
            <v>31148901416</v>
          </cell>
          <cell r="L1094" t="str">
            <v>x</v>
          </cell>
        </row>
        <row r="1095">
          <cell r="A1095">
            <v>10353022721</v>
          </cell>
          <cell r="B1095" t="str">
            <v>José Yovany Zapata</v>
          </cell>
          <cell r="C1095">
            <v>10353022721</v>
          </cell>
          <cell r="D1095" t="str">
            <v>Bellavista</v>
          </cell>
          <cell r="E1095">
            <v>31148901416</v>
          </cell>
          <cell r="L1095" t="str">
            <v>x</v>
          </cell>
        </row>
        <row r="1096">
          <cell r="B1096" t="str">
            <v xml:space="preserve">Junta de Accion comunal </v>
          </cell>
          <cell r="D1096" t="str">
            <v>Juntas de Uramita</v>
          </cell>
          <cell r="P1096" t="str">
            <v>Juntas de Uramita</v>
          </cell>
        </row>
        <row r="1097">
          <cell r="A1097">
            <v>1035302944</v>
          </cell>
          <cell r="B1097" t="str">
            <v>aide yeraldin rueda tangarife</v>
          </cell>
          <cell r="C1097">
            <v>1035302944</v>
          </cell>
          <cell r="D1097" t="str">
            <v>La Soledad</v>
          </cell>
          <cell r="E1097">
            <v>3145768298</v>
          </cell>
          <cell r="O1097" t="str">
            <v>x</v>
          </cell>
        </row>
        <row r="1098">
          <cell r="A1098">
            <v>70430079</v>
          </cell>
          <cell r="B1098" t="str">
            <v>jaime de jesus echavarria lopez</v>
          </cell>
          <cell r="C1098">
            <v>70430079</v>
          </cell>
          <cell r="D1098" t="str">
            <v>chontaduro</v>
          </cell>
          <cell r="O1098" t="str">
            <v>x</v>
          </cell>
        </row>
        <row r="1099">
          <cell r="B1099" t="str">
            <v>Socorro Correa</v>
          </cell>
          <cell r="K1099" t="str">
            <v>X</v>
          </cell>
        </row>
        <row r="1100">
          <cell r="B1100" t="str">
            <v>Alicia Rodriguez</v>
          </cell>
          <cell r="L1100" t="str">
            <v>X</v>
          </cell>
        </row>
        <row r="1101">
          <cell r="A1101">
            <v>70434632</v>
          </cell>
          <cell r="B1101" t="str">
            <v>elkin dario florez sepulveda</v>
          </cell>
          <cell r="C1101">
            <v>70434632</v>
          </cell>
          <cell r="D1101" t="str">
            <v>chontaduro</v>
          </cell>
          <cell r="O1101" t="str">
            <v>x</v>
          </cell>
        </row>
        <row r="1102">
          <cell r="B1102" t="str">
            <v>Adriana Usuga</v>
          </cell>
          <cell r="K1102" t="str">
            <v>X</v>
          </cell>
        </row>
        <row r="1103">
          <cell r="B1103" t="str">
            <v>Cristian Alexis Giraldo Londoño</v>
          </cell>
          <cell r="D1103" t="str">
            <v>Vereda los Antioqueños</v>
          </cell>
        </row>
        <row r="1104">
          <cell r="B1104" t="str">
            <v>Elvira Cartagena</v>
          </cell>
          <cell r="D1104" t="str">
            <v>Vereda los Antioqueños</v>
          </cell>
        </row>
        <row r="1105">
          <cell r="A1105">
            <v>70433584</v>
          </cell>
          <cell r="B1105" t="str">
            <v>edwin alberto muñoz lopera</v>
          </cell>
          <cell r="C1105">
            <v>70433584</v>
          </cell>
          <cell r="D1105" t="str">
            <v>buenos aires parte alta</v>
          </cell>
          <cell r="E1105">
            <v>3213437345</v>
          </cell>
          <cell r="O1105" t="str">
            <v>x</v>
          </cell>
        </row>
        <row r="1106">
          <cell r="B1106" t="str">
            <v>Elicenia Correa</v>
          </cell>
          <cell r="K1106" t="str">
            <v>X</v>
          </cell>
        </row>
        <row r="1107">
          <cell r="A1107">
            <v>70431470</v>
          </cell>
          <cell r="B1107" t="str">
            <v>luis hernando pulgarin suarez</v>
          </cell>
          <cell r="C1107">
            <v>70431470</v>
          </cell>
          <cell r="D1107" t="str">
            <v>el chispero</v>
          </cell>
          <cell r="E1107">
            <v>3146802727</v>
          </cell>
          <cell r="N1107" t="str">
            <v>x</v>
          </cell>
        </row>
        <row r="1108">
          <cell r="B1108" t="str">
            <v>Rosmira Rengifo</v>
          </cell>
          <cell r="K1108" t="str">
            <v>X</v>
          </cell>
        </row>
        <row r="1109">
          <cell r="A1109">
            <v>70431725</v>
          </cell>
          <cell r="B1109" t="str">
            <v>Fabian de Jesus Mazo</v>
          </cell>
          <cell r="C1109">
            <v>70431725</v>
          </cell>
          <cell r="D1109" t="str">
            <v>Urbano</v>
          </cell>
        </row>
        <row r="1110">
          <cell r="A1110">
            <v>70435557</v>
          </cell>
          <cell r="B1110" t="str">
            <v>Robeiro Muñoz</v>
          </cell>
          <cell r="C1110">
            <v>70435557</v>
          </cell>
          <cell r="D1110" t="str">
            <v>Insor</v>
          </cell>
          <cell r="E1110">
            <v>3222938932</v>
          </cell>
        </row>
        <row r="1111">
          <cell r="A1111">
            <v>1192765820</v>
          </cell>
          <cell r="B1111" t="str">
            <v>Edwin Elias Correa Correa</v>
          </cell>
          <cell r="C1111">
            <v>1192765820</v>
          </cell>
          <cell r="D1111" t="str">
            <v>La soledad</v>
          </cell>
          <cell r="E1111">
            <v>3223585025</v>
          </cell>
        </row>
        <row r="1112">
          <cell r="B1112" t="str">
            <v>Fabian de Jesus Mazo</v>
          </cell>
          <cell r="D1112" t="str">
            <v>Urbano</v>
          </cell>
          <cell r="E1112">
            <v>3122420271</v>
          </cell>
        </row>
        <row r="1113">
          <cell r="A1113">
            <v>3430007</v>
          </cell>
          <cell r="B1113" t="str">
            <v>RUBEN MAZO</v>
          </cell>
          <cell r="C1113">
            <v>3430007</v>
          </cell>
          <cell r="D1113" t="str">
            <v>Urbano</v>
          </cell>
          <cell r="E1113">
            <v>3206155382</v>
          </cell>
          <cell r="M1113" t="str">
            <v>x</v>
          </cell>
          <cell r="P1113" t="str">
            <v>Santa Ana</v>
          </cell>
        </row>
        <row r="1114">
          <cell r="A1114">
            <v>3431574</v>
          </cell>
          <cell r="B1114" t="str">
            <v>Luis Carlos Graciano</v>
          </cell>
          <cell r="C1114">
            <v>3431574</v>
          </cell>
          <cell r="D1114" t="str">
            <v>La Quiebra</v>
          </cell>
          <cell r="M1114" t="str">
            <v>x</v>
          </cell>
        </row>
        <row r="1115">
          <cell r="A1115">
            <v>6111866</v>
          </cell>
          <cell r="B1115" t="str">
            <v>Luis Angel  Goez Higuita</v>
          </cell>
          <cell r="C1115">
            <v>6111866</v>
          </cell>
          <cell r="D1115" t="str">
            <v>La Quiebra</v>
          </cell>
          <cell r="M1115" t="str">
            <v>x</v>
          </cell>
        </row>
        <row r="1116">
          <cell r="A1116">
            <v>21609896</v>
          </cell>
          <cell r="B1116" t="str">
            <v>MARIA NUBIA HIGUITA</v>
          </cell>
          <cell r="C1116">
            <v>21609896</v>
          </cell>
          <cell r="D1116" t="str">
            <v>Urbano</v>
          </cell>
          <cell r="E1116">
            <v>3147502828</v>
          </cell>
          <cell r="M1116" t="str">
            <v>x</v>
          </cell>
          <cell r="P1116" t="str">
            <v>Santa Ana</v>
          </cell>
        </row>
        <row r="1117">
          <cell r="A1117">
            <v>43780299</v>
          </cell>
          <cell r="B1117" t="str">
            <v>DIANA MONTOYA</v>
          </cell>
          <cell r="C1117">
            <v>43780299</v>
          </cell>
          <cell r="D1117" t="str">
            <v>Urbano</v>
          </cell>
          <cell r="E1117">
            <v>3207199990</v>
          </cell>
          <cell r="M1117" t="str">
            <v>x</v>
          </cell>
          <cell r="P1117" t="str">
            <v>Santa Ana</v>
          </cell>
        </row>
        <row r="1118">
          <cell r="A1118">
            <v>43780881</v>
          </cell>
          <cell r="B1118" t="str">
            <v>HILDA INES AMARILES</v>
          </cell>
          <cell r="C1118">
            <v>43780881</v>
          </cell>
          <cell r="D1118" t="str">
            <v>Urbano</v>
          </cell>
          <cell r="E1118">
            <v>3128131326</v>
          </cell>
          <cell r="M1118" t="str">
            <v>x</v>
          </cell>
          <cell r="P1118" t="str">
            <v>Santa Ana</v>
          </cell>
        </row>
        <row r="1119">
          <cell r="A1119">
            <v>43782263</v>
          </cell>
          <cell r="B1119" t="str">
            <v>NUBIA AMPARO  USUGA TANGARIFE</v>
          </cell>
          <cell r="C1119">
            <v>43782263</v>
          </cell>
          <cell r="D1119" t="str">
            <v>El café</v>
          </cell>
          <cell r="E1119">
            <v>3185399286</v>
          </cell>
          <cell r="M1119" t="str">
            <v>x</v>
          </cell>
          <cell r="R1119" t="str">
            <v>Alcalde</v>
          </cell>
        </row>
        <row r="1120">
          <cell r="A1120">
            <v>70435557</v>
          </cell>
          <cell r="B1120" t="str">
            <v>Robeiro Muñoz</v>
          </cell>
          <cell r="C1120">
            <v>70435557</v>
          </cell>
          <cell r="D1120" t="str">
            <v>Insor</v>
          </cell>
          <cell r="E1120">
            <v>3222938932</v>
          </cell>
          <cell r="K1120" t="str">
            <v>x</v>
          </cell>
        </row>
        <row r="1121">
          <cell r="A1121">
            <v>70435983</v>
          </cell>
          <cell r="B1121" t="str">
            <v>GERMAN DARIA TABORJA</v>
          </cell>
          <cell r="C1121">
            <v>70435983</v>
          </cell>
          <cell r="D1121" t="str">
            <v>Macanal</v>
          </cell>
          <cell r="E1121">
            <v>3135276271</v>
          </cell>
          <cell r="L1121" t="str">
            <v>x</v>
          </cell>
          <cell r="R1121" t="str">
            <v>PRESIDENTE</v>
          </cell>
        </row>
        <row r="1122">
          <cell r="A1122">
            <v>43781487</v>
          </cell>
          <cell r="B1122" t="str">
            <v>maria salome manco rueda</v>
          </cell>
          <cell r="C1122">
            <v>43781487</v>
          </cell>
          <cell r="D1122" t="str">
            <v>santa barbara</v>
          </cell>
          <cell r="E1122">
            <v>3146801759</v>
          </cell>
          <cell r="K1122" t="str">
            <v>x</v>
          </cell>
          <cell r="R1122" t="str">
            <v>concejal julieta</v>
          </cell>
        </row>
        <row r="1123">
          <cell r="A1123">
            <v>70433107</v>
          </cell>
          <cell r="B1123" t="str">
            <v>wildeman tangarife graciano</v>
          </cell>
          <cell r="C1123">
            <v>70433107</v>
          </cell>
          <cell r="D1123" t="str">
            <v>la balsita</v>
          </cell>
          <cell r="E1123">
            <v>3207952301</v>
          </cell>
          <cell r="O1123" t="str">
            <v>x</v>
          </cell>
        </row>
        <row r="1124">
          <cell r="A1124">
            <v>70430052</v>
          </cell>
          <cell r="B1124" t="str">
            <v>igidio de jesus gaviria berrio</v>
          </cell>
          <cell r="C1124">
            <v>70430052</v>
          </cell>
          <cell r="D1124" t="str">
            <v>la balsita</v>
          </cell>
          <cell r="E1124">
            <v>3193522468</v>
          </cell>
          <cell r="N1124" t="str">
            <v>x</v>
          </cell>
        </row>
        <row r="1125">
          <cell r="A1125">
            <v>1001403775</v>
          </cell>
          <cell r="B1125" t="str">
            <v>maria eugenio guisao londoño</v>
          </cell>
          <cell r="C1125">
            <v>1001403775</v>
          </cell>
          <cell r="D1125" t="str">
            <v>la balsita</v>
          </cell>
          <cell r="E1125">
            <v>3102064570</v>
          </cell>
          <cell r="K1125" t="str">
            <v>x</v>
          </cell>
        </row>
        <row r="1126">
          <cell r="A1126">
            <v>70433350</v>
          </cell>
          <cell r="B1126" t="str">
            <v>oscar de jesus david rueda</v>
          </cell>
          <cell r="C1126">
            <v>70433350</v>
          </cell>
          <cell r="D1126" t="str">
            <v>el socorro</v>
          </cell>
          <cell r="E1126">
            <v>3222930363</v>
          </cell>
          <cell r="O1126" t="str">
            <v>x</v>
          </cell>
        </row>
        <row r="1127">
          <cell r="A1127">
            <v>61612554</v>
          </cell>
          <cell r="B1127" t="str">
            <v>blanca oliva goez david</v>
          </cell>
          <cell r="C1127">
            <v>61612554</v>
          </cell>
          <cell r="D1127" t="str">
            <v>la curva san pascual</v>
          </cell>
          <cell r="E1127">
            <v>3106713772</v>
          </cell>
          <cell r="N1127" t="str">
            <v>x</v>
          </cell>
          <cell r="R1127" t="str">
            <v>alcalde</v>
          </cell>
        </row>
        <row r="1128">
          <cell r="A1128">
            <v>70431616</v>
          </cell>
          <cell r="B1128" t="str">
            <v>israel antonio bran durango</v>
          </cell>
          <cell r="C1128">
            <v>70431616</v>
          </cell>
          <cell r="D1128" t="str">
            <v>vereda la esperanza</v>
          </cell>
          <cell r="L1128" t="str">
            <v>x</v>
          </cell>
        </row>
        <row r="1129">
          <cell r="A1129">
            <v>3432703</v>
          </cell>
          <cell r="B1129" t="str">
            <v>ruben dario durango lopez</v>
          </cell>
          <cell r="C1129">
            <v>3432703</v>
          </cell>
          <cell r="D1129" t="str">
            <v>los antioqueños juntas</v>
          </cell>
        </row>
        <row r="1130">
          <cell r="A1130">
            <v>98614069</v>
          </cell>
          <cell r="B1130" t="str">
            <v>hermis usuga uribe</v>
          </cell>
          <cell r="C1130">
            <v>98614069</v>
          </cell>
          <cell r="D1130" t="str">
            <v>los antioqueños juntas</v>
          </cell>
        </row>
        <row r="1131">
          <cell r="A1131">
            <v>21609962</v>
          </cell>
          <cell r="B1131" t="str">
            <v>maria hemelinda gaviria aguirre</v>
          </cell>
          <cell r="C1131">
            <v>21609962</v>
          </cell>
          <cell r="D1131" t="str">
            <v>la balsita</v>
          </cell>
          <cell r="E1131">
            <v>3137022783</v>
          </cell>
          <cell r="L1131" t="str">
            <v>x</v>
          </cell>
        </row>
        <row r="1132">
          <cell r="A1132">
            <v>43780259</v>
          </cell>
          <cell r="B1132" t="str">
            <v>maria oliva arteaga higuita</v>
          </cell>
          <cell r="C1132">
            <v>43780259</v>
          </cell>
          <cell r="D1132" t="str">
            <v>el socorro</v>
          </cell>
          <cell r="K1132" t="str">
            <v>x</v>
          </cell>
        </row>
        <row r="1133">
          <cell r="A1133">
            <v>70434302</v>
          </cell>
          <cell r="B1133" t="str">
            <v>daniel de jesus correa velasquez</v>
          </cell>
          <cell r="C1133">
            <v>70434302</v>
          </cell>
          <cell r="D1133" t="str">
            <v>la soledad</v>
          </cell>
          <cell r="E1133">
            <v>3104642398</v>
          </cell>
          <cell r="O1133" t="str">
            <v>x</v>
          </cell>
        </row>
        <row r="1134">
          <cell r="A1134">
            <v>70432028</v>
          </cell>
          <cell r="B1134" t="str">
            <v>miguel angel manco</v>
          </cell>
          <cell r="C1134">
            <v>70432028</v>
          </cell>
          <cell r="D1134" t="str">
            <v>la soledad</v>
          </cell>
          <cell r="E1134">
            <v>3137488522</v>
          </cell>
          <cell r="L1134" t="str">
            <v>x</v>
          </cell>
        </row>
        <row r="1135">
          <cell r="A1135">
            <v>1035304775</v>
          </cell>
          <cell r="B1135" t="str">
            <v xml:space="preserve">luis alfonso david manco </v>
          </cell>
          <cell r="C1135">
            <v>1035304775</v>
          </cell>
          <cell r="D1135" t="str">
            <v>la soledad</v>
          </cell>
          <cell r="E1135">
            <v>3147385702</v>
          </cell>
          <cell r="K1135" t="str">
            <v>x</v>
          </cell>
        </row>
        <row r="1136">
          <cell r="A1136">
            <v>70431844</v>
          </cell>
          <cell r="B1136" t="str">
            <v>juan kenedy ruiz cano</v>
          </cell>
          <cell r="C1136">
            <v>70431844</v>
          </cell>
          <cell r="D1136" t="str">
            <v>juan gomez</v>
          </cell>
          <cell r="E1136">
            <v>3505005887</v>
          </cell>
          <cell r="K1136" t="str">
            <v>x</v>
          </cell>
        </row>
        <row r="1137">
          <cell r="A1137">
            <v>70431003</v>
          </cell>
          <cell r="B1137" t="str">
            <v>jorge emiro manco david</v>
          </cell>
          <cell r="C1137">
            <v>70431003</v>
          </cell>
          <cell r="D1137" t="str">
            <v>la manga</v>
          </cell>
          <cell r="E1137">
            <v>3508347874</v>
          </cell>
          <cell r="L1137" t="str">
            <v>x</v>
          </cell>
        </row>
        <row r="1138">
          <cell r="A1138">
            <v>1035303615</v>
          </cell>
          <cell r="B1138" t="str">
            <v>yuliana patricia david graciano</v>
          </cell>
          <cell r="C1138">
            <v>1035303615</v>
          </cell>
          <cell r="D1138" t="str">
            <v>la malena</v>
          </cell>
          <cell r="E1138">
            <v>310603615</v>
          </cell>
          <cell r="O1138" t="str">
            <v>x</v>
          </cell>
        </row>
        <row r="1139">
          <cell r="A1139">
            <v>94250611</v>
          </cell>
          <cell r="B1139" t="str">
            <v>jose luis david alvarez</v>
          </cell>
          <cell r="C1139">
            <v>94250611</v>
          </cell>
          <cell r="D1139" t="str">
            <v>la malena</v>
          </cell>
          <cell r="E1139">
            <v>3116049964</v>
          </cell>
          <cell r="K1139" t="str">
            <v>x</v>
          </cell>
        </row>
        <row r="1140">
          <cell r="A1140">
            <v>21609402</v>
          </cell>
          <cell r="B1140" t="str">
            <v>maria del socorro arboleda</v>
          </cell>
          <cell r="C1140">
            <v>21609402</v>
          </cell>
          <cell r="D1140" t="str">
            <v>barrio versalles</v>
          </cell>
          <cell r="E1140">
            <v>3215402869</v>
          </cell>
          <cell r="L1140" t="str">
            <v>x</v>
          </cell>
        </row>
        <row r="1141">
          <cell r="A1141">
            <v>8317161</v>
          </cell>
          <cell r="B1141" t="str">
            <v>antonio maria sepulbeda</v>
          </cell>
          <cell r="C1141">
            <v>8317161</v>
          </cell>
          <cell r="D1141" t="str">
            <v>la balsita</v>
          </cell>
          <cell r="E1141">
            <v>3148541746</v>
          </cell>
          <cell r="L1141" t="str">
            <v>x</v>
          </cell>
        </row>
        <row r="1142">
          <cell r="A1142">
            <v>70430223</v>
          </cell>
          <cell r="B1142" t="str">
            <v>luis eduardo lopera gutierrez</v>
          </cell>
          <cell r="C1142">
            <v>70430223</v>
          </cell>
          <cell r="D1142" t="str">
            <v>la cusuti</v>
          </cell>
          <cell r="E1142" t="str">
            <v>312 2563040</v>
          </cell>
        </row>
        <row r="1143">
          <cell r="A1143">
            <v>3430060</v>
          </cell>
          <cell r="B1143" t="str">
            <v>tovias montoya rodrigues</v>
          </cell>
          <cell r="C1143">
            <v>3430060</v>
          </cell>
          <cell r="D1143" t="str">
            <v>barrio versalles</v>
          </cell>
          <cell r="E1143">
            <v>3146653920</v>
          </cell>
          <cell r="K1143" t="str">
            <v>x</v>
          </cell>
        </row>
        <row r="1144">
          <cell r="A1144">
            <v>3421199</v>
          </cell>
          <cell r="B1144" t="str">
            <v>leonardo favio tangarife durango</v>
          </cell>
          <cell r="C1144">
            <v>3421199</v>
          </cell>
          <cell r="D1144" t="str">
            <v>barrio miramar</v>
          </cell>
          <cell r="E1144">
            <v>3143019628</v>
          </cell>
          <cell r="K1144" t="str">
            <v>x</v>
          </cell>
        </row>
        <row r="1145">
          <cell r="A1145">
            <v>70434868</v>
          </cell>
          <cell r="B1145" t="str">
            <v>ivan dario torres quintero</v>
          </cell>
          <cell r="C1145">
            <v>70434868</v>
          </cell>
          <cell r="E1145">
            <v>3123567572</v>
          </cell>
          <cell r="N1145" t="str">
            <v>x</v>
          </cell>
        </row>
        <row r="1146">
          <cell r="A1146">
            <v>43781126</v>
          </cell>
          <cell r="B1146" t="str">
            <v>adriana arias</v>
          </cell>
          <cell r="C1146">
            <v>43781126</v>
          </cell>
          <cell r="D1146" t="str">
            <v>santa barbara</v>
          </cell>
          <cell r="E1146">
            <v>3213046122</v>
          </cell>
          <cell r="N1146" t="str">
            <v>x</v>
          </cell>
        </row>
        <row r="1147">
          <cell r="A1147">
            <v>70432298</v>
          </cell>
          <cell r="B1147" t="str">
            <v>hejidio holguin</v>
          </cell>
          <cell r="C1147">
            <v>70432298</v>
          </cell>
          <cell r="D1147" t="str">
            <v>santa barbara</v>
          </cell>
          <cell r="E1147">
            <v>3127754084</v>
          </cell>
        </row>
        <row r="1148">
          <cell r="A1148">
            <v>1035302751</v>
          </cell>
          <cell r="B1148" t="str">
            <v>ober castrillon</v>
          </cell>
          <cell r="C1148">
            <v>1035302751</v>
          </cell>
          <cell r="D1148" t="str">
            <v>santa barbara</v>
          </cell>
          <cell r="E1148">
            <v>3105526519</v>
          </cell>
          <cell r="K1148" t="str">
            <v>x</v>
          </cell>
        </row>
        <row r="1149">
          <cell r="A1149">
            <v>21609930</v>
          </cell>
          <cell r="B1149" t="str">
            <v>alba silva</v>
          </cell>
          <cell r="C1149">
            <v>21609930</v>
          </cell>
          <cell r="D1149" t="str">
            <v>santa barbara</v>
          </cell>
          <cell r="E1149">
            <v>3104198927</v>
          </cell>
          <cell r="K1149" t="str">
            <v>x</v>
          </cell>
        </row>
        <row r="1150">
          <cell r="A1150">
            <v>43781948</v>
          </cell>
          <cell r="B1150" t="str">
            <v>maribel palacio</v>
          </cell>
          <cell r="C1150">
            <v>43781948</v>
          </cell>
          <cell r="D1150" t="str">
            <v>santa barbara</v>
          </cell>
          <cell r="E1150">
            <v>3124607267</v>
          </cell>
          <cell r="K1150" t="str">
            <v>x</v>
          </cell>
        </row>
        <row r="1151">
          <cell r="A1151">
            <v>1035302007</v>
          </cell>
          <cell r="B1151" t="str">
            <v>andres guzman</v>
          </cell>
          <cell r="C1151">
            <v>1035302007</v>
          </cell>
          <cell r="D1151" t="str">
            <v>santa barbara</v>
          </cell>
          <cell r="E1151">
            <v>3104099015</v>
          </cell>
          <cell r="L1151" t="str">
            <v>x</v>
          </cell>
        </row>
        <row r="1152">
          <cell r="A1152">
            <v>43782034</v>
          </cell>
          <cell r="B1152" t="str">
            <v>angela castrillon</v>
          </cell>
          <cell r="C1152">
            <v>43782034</v>
          </cell>
          <cell r="D1152" t="str">
            <v>santa barbara</v>
          </cell>
          <cell r="E1152">
            <v>3117291088</v>
          </cell>
          <cell r="K1152" t="str">
            <v>x</v>
          </cell>
        </row>
        <row r="1153">
          <cell r="A1153">
            <v>1193525215</v>
          </cell>
          <cell r="B1153" t="str">
            <v>veronica andrea arias</v>
          </cell>
          <cell r="C1153">
            <v>1193525215</v>
          </cell>
          <cell r="D1153" t="str">
            <v>santa barbara</v>
          </cell>
          <cell r="E1153">
            <v>3135563670</v>
          </cell>
          <cell r="L1153" t="str">
            <v>x</v>
          </cell>
        </row>
        <row r="1154">
          <cell r="A1154">
            <v>70433256</v>
          </cell>
          <cell r="B1154" t="str">
            <v>oved higuita</v>
          </cell>
          <cell r="C1154">
            <v>70433256</v>
          </cell>
          <cell r="D1154" t="str">
            <v>santa barbara</v>
          </cell>
          <cell r="E1154">
            <v>3186414924</v>
          </cell>
          <cell r="K1154" t="str">
            <v>x</v>
          </cell>
        </row>
        <row r="1155">
          <cell r="A1155">
            <v>613276</v>
          </cell>
          <cell r="B1155" t="str">
            <v>hernando torrez carvajal</v>
          </cell>
          <cell r="C1155">
            <v>613276</v>
          </cell>
          <cell r="D1155" t="str">
            <v>el paso</v>
          </cell>
          <cell r="E1155">
            <v>3123663530</v>
          </cell>
          <cell r="L1155" t="str">
            <v>x</v>
          </cell>
        </row>
        <row r="1156">
          <cell r="A1156">
            <v>21608075</v>
          </cell>
          <cell r="B1156" t="str">
            <v>maria isabel rodriguez arias</v>
          </cell>
          <cell r="C1156">
            <v>21608075</v>
          </cell>
          <cell r="D1156" t="str">
            <v>el paso</v>
          </cell>
          <cell r="E1156">
            <v>3147394368</v>
          </cell>
          <cell r="L1156" t="str">
            <v>x</v>
          </cell>
        </row>
        <row r="1157">
          <cell r="A1157">
            <v>21608345</v>
          </cell>
          <cell r="B1157" t="str">
            <v>nury del socorro uribe</v>
          </cell>
          <cell r="C1157">
            <v>21608345</v>
          </cell>
          <cell r="D1157" t="str">
            <v>el paso</v>
          </cell>
          <cell r="E1157">
            <v>3126175447</v>
          </cell>
          <cell r="L1157" t="str">
            <v>x</v>
          </cell>
        </row>
        <row r="1158">
          <cell r="A1158">
            <v>70433566</v>
          </cell>
          <cell r="B1158" t="str">
            <v>jorge eliecer usuga bran</v>
          </cell>
          <cell r="C1158">
            <v>70433566</v>
          </cell>
          <cell r="D1158" t="str">
            <v>el paso</v>
          </cell>
          <cell r="E1158">
            <v>3128265506</v>
          </cell>
          <cell r="K1158" t="str">
            <v>x</v>
          </cell>
        </row>
        <row r="1159">
          <cell r="A1159">
            <v>70431964</v>
          </cell>
          <cell r="B1159" t="str">
            <v>juan jose cifuentes gomez</v>
          </cell>
          <cell r="C1159">
            <v>70431964</v>
          </cell>
          <cell r="D1159" t="str">
            <v>el paso</v>
          </cell>
          <cell r="E1159">
            <v>3117575999</v>
          </cell>
          <cell r="K1159" t="str">
            <v>x</v>
          </cell>
        </row>
        <row r="1160">
          <cell r="A1160">
            <v>21610764</v>
          </cell>
          <cell r="B1160" t="str">
            <v>beatriz del socorro uribe</v>
          </cell>
          <cell r="C1160">
            <v>21610764</v>
          </cell>
          <cell r="D1160" t="str">
            <v>el paso</v>
          </cell>
          <cell r="E1160">
            <v>3136666870</v>
          </cell>
          <cell r="K1160" t="str">
            <v>x</v>
          </cell>
        </row>
        <row r="1161">
          <cell r="A1161">
            <v>610909</v>
          </cell>
          <cell r="B1161" t="str">
            <v>luis angel guisado zapata</v>
          </cell>
          <cell r="C1161">
            <v>610909</v>
          </cell>
          <cell r="D1161" t="str">
            <v>el paso</v>
          </cell>
          <cell r="E1161">
            <v>3105301966</v>
          </cell>
          <cell r="L1161" t="str">
            <v>x</v>
          </cell>
        </row>
        <row r="1162">
          <cell r="A1162">
            <v>43781985</v>
          </cell>
          <cell r="B1162" t="str">
            <v>fatima del rocio oquendo durango</v>
          </cell>
          <cell r="C1162">
            <v>43781985</v>
          </cell>
          <cell r="D1162" t="str">
            <v>el paso</v>
          </cell>
          <cell r="E1162">
            <v>3197295031</v>
          </cell>
          <cell r="K1162" t="str">
            <v>x</v>
          </cell>
        </row>
        <row r="1163">
          <cell r="A1163">
            <v>43782510</v>
          </cell>
          <cell r="B1163" t="str">
            <v>adriana escobar garces</v>
          </cell>
          <cell r="C1163">
            <v>43782510</v>
          </cell>
          <cell r="D1163" t="str">
            <v>el paso</v>
          </cell>
          <cell r="E1163">
            <v>3105301916</v>
          </cell>
          <cell r="K1163" t="str">
            <v>x</v>
          </cell>
        </row>
        <row r="1164">
          <cell r="A1164">
            <v>71616794</v>
          </cell>
          <cell r="B1164" t="str">
            <v>carlos alierio ramirez muñoz</v>
          </cell>
          <cell r="C1164">
            <v>71616794</v>
          </cell>
          <cell r="D1164" t="str">
            <v>el paso</v>
          </cell>
          <cell r="E1164">
            <v>3137878257</v>
          </cell>
          <cell r="K1164" t="str">
            <v>x</v>
          </cell>
        </row>
        <row r="1165">
          <cell r="A1165">
            <v>43780919</v>
          </cell>
          <cell r="B1165" t="str">
            <v>marta patricia lopez agudelo</v>
          </cell>
          <cell r="C1165">
            <v>43780919</v>
          </cell>
          <cell r="D1165" t="str">
            <v>el paso</v>
          </cell>
          <cell r="E1165">
            <v>3137862970</v>
          </cell>
          <cell r="L1165" t="str">
            <v>x</v>
          </cell>
        </row>
        <row r="1166">
          <cell r="A1166">
            <v>3363130</v>
          </cell>
          <cell r="B1166" t="str">
            <v>roger alberto lopera puerta</v>
          </cell>
          <cell r="C1166">
            <v>3363130</v>
          </cell>
          <cell r="D1166" t="str">
            <v>la lloroncita</v>
          </cell>
          <cell r="E1166">
            <v>3116176902</v>
          </cell>
          <cell r="L1166" t="str">
            <v>x</v>
          </cell>
        </row>
        <row r="1167">
          <cell r="A1167">
            <v>70434868</v>
          </cell>
          <cell r="B1167" t="str">
            <v>ivan dario torres quintero</v>
          </cell>
          <cell r="C1167">
            <v>70434868</v>
          </cell>
          <cell r="D1167" t="str">
            <v>buenos aires parte alta</v>
          </cell>
          <cell r="E1167">
            <v>3123567527</v>
          </cell>
          <cell r="N1167" t="str">
            <v>x</v>
          </cell>
        </row>
        <row r="1168">
          <cell r="A1168">
            <v>1001403850</v>
          </cell>
          <cell r="B1168" t="str">
            <v>yenifer dayana hurtado solis</v>
          </cell>
          <cell r="C1168">
            <v>1001403850</v>
          </cell>
          <cell r="D1168" t="str">
            <v>la manga</v>
          </cell>
          <cell r="E1168">
            <v>3135251033</v>
          </cell>
          <cell r="L1168" t="str">
            <v>x</v>
          </cell>
        </row>
        <row r="1169">
          <cell r="A1169">
            <v>43782572</v>
          </cell>
          <cell r="B1169" t="str">
            <v>diana yaned tuberquia builes</v>
          </cell>
          <cell r="C1169">
            <v>43782572</v>
          </cell>
          <cell r="D1169" t="str">
            <v>el madero</v>
          </cell>
          <cell r="E1169">
            <v>3012188340</v>
          </cell>
          <cell r="L1169" t="str">
            <v>x</v>
          </cell>
          <cell r="Q1169" t="str">
            <v>desplazada</v>
          </cell>
        </row>
        <row r="1170">
          <cell r="A1170">
            <v>21562233</v>
          </cell>
          <cell r="B1170" t="str">
            <v>maria deyanira caro de arboleda</v>
          </cell>
          <cell r="C1170">
            <v>21562233</v>
          </cell>
          <cell r="D1170" t="str">
            <v>bario versalles</v>
          </cell>
          <cell r="K1170" t="str">
            <v>x</v>
          </cell>
        </row>
        <row r="1171">
          <cell r="A1171">
            <v>70470071</v>
          </cell>
          <cell r="B1171" t="str">
            <v>nzario palacio jimenez</v>
          </cell>
          <cell r="C1171">
            <v>70470071</v>
          </cell>
          <cell r="D1171" t="str">
            <v>la estrella</v>
          </cell>
          <cell r="E1171">
            <v>3122890305</v>
          </cell>
          <cell r="L1171" t="str">
            <v>x</v>
          </cell>
        </row>
        <row r="1172">
          <cell r="A1172">
            <v>1216713747</v>
          </cell>
          <cell r="B1172" t="str">
            <v>erica maria lopez agudelo</v>
          </cell>
          <cell r="C1172">
            <v>1216713747</v>
          </cell>
          <cell r="D1172" t="str">
            <v>santa barbara</v>
          </cell>
          <cell r="E1172">
            <v>3223987708</v>
          </cell>
        </row>
        <row r="1173">
          <cell r="A1173">
            <v>70436198</v>
          </cell>
          <cell r="B1173" t="str">
            <v>jose angel manco</v>
          </cell>
          <cell r="C1173">
            <v>70436198</v>
          </cell>
          <cell r="D1173" t="str">
            <v>la manga</v>
          </cell>
        </row>
        <row r="1174">
          <cell r="A1174">
            <v>70434802</v>
          </cell>
          <cell r="B1174" t="str">
            <v>elkin dario jimenez zanchez</v>
          </cell>
          <cell r="C1174">
            <v>70434802</v>
          </cell>
          <cell r="D1174" t="str">
            <v>el madero</v>
          </cell>
          <cell r="E1174">
            <v>3225908559</v>
          </cell>
          <cell r="K1174" t="str">
            <v>x</v>
          </cell>
        </row>
        <row r="1175">
          <cell r="A1175">
            <v>43602374</v>
          </cell>
          <cell r="B1175" t="str">
            <v>alis yasmin gaviria zapata</v>
          </cell>
          <cell r="C1175">
            <v>43602374</v>
          </cell>
          <cell r="D1175" t="str">
            <v>la balsita</v>
          </cell>
          <cell r="E1175">
            <v>3122457089</v>
          </cell>
          <cell r="L1175" t="str">
            <v>x</v>
          </cell>
        </row>
        <row r="1176">
          <cell r="A1176">
            <v>1192765785</v>
          </cell>
          <cell r="B1176" t="str">
            <v>angy paola manco david</v>
          </cell>
          <cell r="C1176">
            <v>1192765785</v>
          </cell>
          <cell r="D1176" t="str">
            <v>la manga</v>
          </cell>
          <cell r="E1176">
            <v>3206953189</v>
          </cell>
          <cell r="G1176" t="str">
            <v>x</v>
          </cell>
          <cell r="L1176" t="str">
            <v>x</v>
          </cell>
        </row>
        <row r="1177">
          <cell r="A1177">
            <v>1151434597</v>
          </cell>
          <cell r="B1177" t="str">
            <v>luz erneida david hurtado</v>
          </cell>
          <cell r="C1177">
            <v>1151434597</v>
          </cell>
          <cell r="D1177" t="str">
            <v>el leon</v>
          </cell>
          <cell r="E1177">
            <v>3007679471</v>
          </cell>
          <cell r="G1177" t="str">
            <v>x</v>
          </cell>
          <cell r="N1177" t="str">
            <v>x</v>
          </cell>
        </row>
        <row r="1178">
          <cell r="A1178">
            <v>43780056</v>
          </cell>
          <cell r="B1178" t="str">
            <v>luz elena torres torres</v>
          </cell>
          <cell r="C1178">
            <v>43780056</v>
          </cell>
          <cell r="D1178" t="str">
            <v>el leon</v>
          </cell>
          <cell r="E1178">
            <v>3217284791</v>
          </cell>
          <cell r="G1178" t="str">
            <v>x</v>
          </cell>
          <cell r="L1178" t="str">
            <v>x</v>
          </cell>
        </row>
        <row r="1179">
          <cell r="A1179">
            <v>613008</v>
          </cell>
          <cell r="B1179" t="str">
            <v>Jesus Honorio  arteaga</v>
          </cell>
          <cell r="C1179">
            <v>613008</v>
          </cell>
          <cell r="D1179" t="str">
            <v>El leon</v>
          </cell>
          <cell r="E1179">
            <v>3508270392</v>
          </cell>
          <cell r="F1179" t="str">
            <v>x</v>
          </cell>
          <cell r="L1179" t="str">
            <v>x</v>
          </cell>
        </row>
        <row r="1180">
          <cell r="A1180">
            <v>43780457</v>
          </cell>
          <cell r="B1180" t="str">
            <v>emilse del socorro guisao arias</v>
          </cell>
          <cell r="C1180">
            <v>43780457</v>
          </cell>
          <cell r="D1180" t="str">
            <v>el leon</v>
          </cell>
          <cell r="E1180">
            <v>3218780245</v>
          </cell>
          <cell r="G1180" t="str">
            <v>x</v>
          </cell>
          <cell r="L1180" t="str">
            <v>x</v>
          </cell>
        </row>
        <row r="1181">
          <cell r="A1181">
            <v>98460369</v>
          </cell>
          <cell r="B1181" t="str">
            <v>carlos antonio usuga vargas</v>
          </cell>
          <cell r="C1181">
            <v>98460369</v>
          </cell>
          <cell r="D1181" t="str">
            <v>el leon</v>
          </cell>
          <cell r="E1181">
            <v>3214805764</v>
          </cell>
          <cell r="F1181" t="str">
            <v>x</v>
          </cell>
          <cell r="L1181" t="str">
            <v>x</v>
          </cell>
        </row>
        <row r="1182">
          <cell r="A1182">
            <v>70431968</v>
          </cell>
          <cell r="B1182" t="str">
            <v>nicolas de jesus arango florez</v>
          </cell>
          <cell r="C1182">
            <v>70431968</v>
          </cell>
          <cell r="D1182" t="str">
            <v>el leon</v>
          </cell>
          <cell r="E1182">
            <v>3212284054</v>
          </cell>
          <cell r="G1182" t="str">
            <v>x</v>
          </cell>
          <cell r="L1182" t="str">
            <v>x</v>
          </cell>
        </row>
        <row r="1183">
          <cell r="A1183">
            <v>71976025</v>
          </cell>
          <cell r="B1183" t="str">
            <v>horacio de jesus rueda manco</v>
          </cell>
          <cell r="C1183">
            <v>71976025</v>
          </cell>
          <cell r="D1183" t="str">
            <v>la malena</v>
          </cell>
          <cell r="E1183">
            <v>3104980508</v>
          </cell>
          <cell r="G1183" t="str">
            <v>x</v>
          </cell>
          <cell r="L1183" t="str">
            <v>x</v>
          </cell>
        </row>
        <row r="1184">
          <cell r="A1184">
            <v>1001403871</v>
          </cell>
          <cell r="B1184" t="str">
            <v>guillermo pulgarin garcia</v>
          </cell>
          <cell r="C1184">
            <v>1001403871</v>
          </cell>
          <cell r="D1184" t="str">
            <v>la malena</v>
          </cell>
          <cell r="E1184">
            <v>3233737746</v>
          </cell>
          <cell r="G1184" t="str">
            <v>x</v>
          </cell>
          <cell r="L1184" t="str">
            <v>x</v>
          </cell>
        </row>
        <row r="1185">
          <cell r="A1185">
            <v>70435820</v>
          </cell>
          <cell r="B1185" t="str">
            <v>wilmar antonio rueda manco</v>
          </cell>
          <cell r="C1185">
            <v>70435820</v>
          </cell>
          <cell r="D1185" t="str">
            <v>la malena</v>
          </cell>
          <cell r="E1185">
            <v>3127579097</v>
          </cell>
          <cell r="G1185" t="str">
            <v>x</v>
          </cell>
          <cell r="O1185" t="str">
            <v>x</v>
          </cell>
        </row>
        <row r="1186">
          <cell r="A1186">
            <v>43782672</v>
          </cell>
          <cell r="B1186" t="str">
            <v>delia elena rueda rueda</v>
          </cell>
          <cell r="C1186">
            <v>43782672</v>
          </cell>
          <cell r="D1186" t="str">
            <v>la malena</v>
          </cell>
          <cell r="E1186">
            <v>3145578719</v>
          </cell>
          <cell r="G1186" t="str">
            <v>x</v>
          </cell>
          <cell r="L1186" t="str">
            <v>x</v>
          </cell>
        </row>
        <row r="1187">
          <cell r="A1187">
            <v>1035700269</v>
          </cell>
          <cell r="B1187" t="str">
            <v>luciano andres rueda david</v>
          </cell>
          <cell r="C1187">
            <v>1035700269</v>
          </cell>
          <cell r="D1187" t="str">
            <v>la malena</v>
          </cell>
          <cell r="E1187">
            <v>3105101432</v>
          </cell>
          <cell r="G1187" t="str">
            <v>x</v>
          </cell>
          <cell r="L1187" t="str">
            <v>x</v>
          </cell>
        </row>
        <row r="1188">
          <cell r="A1188">
            <v>704355986</v>
          </cell>
          <cell r="B1188" t="str">
            <v>jose de jesus usuga arteaga</v>
          </cell>
          <cell r="C1188">
            <v>704355986</v>
          </cell>
          <cell r="D1188" t="str">
            <v>la malena</v>
          </cell>
          <cell r="E1188">
            <v>3218855092</v>
          </cell>
          <cell r="G1188" t="str">
            <v>x</v>
          </cell>
          <cell r="K1188" t="str">
            <v>x</v>
          </cell>
        </row>
        <row r="1189">
          <cell r="A1189">
            <v>70433064</v>
          </cell>
          <cell r="B1189" t="str">
            <v>ovidio david manco</v>
          </cell>
          <cell r="C1189">
            <v>70433064</v>
          </cell>
          <cell r="D1189" t="str">
            <v>la lloroncita</v>
          </cell>
          <cell r="E1189">
            <v>3104618168</v>
          </cell>
          <cell r="F1189" t="str">
            <v>x</v>
          </cell>
          <cell r="K1189" t="str">
            <v>x</v>
          </cell>
        </row>
        <row r="1190">
          <cell r="A1190">
            <v>21606024</v>
          </cell>
          <cell r="B1190" t="str">
            <v xml:space="preserve">aura maria manco de david </v>
          </cell>
          <cell r="C1190">
            <v>21606024</v>
          </cell>
          <cell r="D1190" t="str">
            <v>chupadero</v>
          </cell>
          <cell r="E1190">
            <v>3104618168</v>
          </cell>
          <cell r="F1190" t="str">
            <v>x</v>
          </cell>
          <cell r="L1190" t="str">
            <v>x</v>
          </cell>
        </row>
        <row r="1191">
          <cell r="A1191">
            <v>21608981</v>
          </cell>
          <cell r="B1191" t="str">
            <v>maria del carmen david rodriguez</v>
          </cell>
          <cell r="C1191">
            <v>21608981</v>
          </cell>
          <cell r="D1191" t="str">
            <v>el socorro</v>
          </cell>
          <cell r="E1191">
            <v>3137016641</v>
          </cell>
          <cell r="H1191" t="str">
            <v>x</v>
          </cell>
          <cell r="K1191" t="str">
            <v>x</v>
          </cell>
        </row>
        <row r="1192">
          <cell r="A1192">
            <v>70434717</v>
          </cell>
          <cell r="B1192" t="str">
            <v>francisco luis arteaga rueda</v>
          </cell>
          <cell r="C1192">
            <v>70434717</v>
          </cell>
          <cell r="D1192" t="str">
            <v>la malena</v>
          </cell>
          <cell r="E1192">
            <v>3137830982</v>
          </cell>
          <cell r="G1192" t="str">
            <v>x</v>
          </cell>
          <cell r="K1192" t="str">
            <v>x</v>
          </cell>
        </row>
        <row r="1193">
          <cell r="A1193">
            <v>21609380</v>
          </cell>
          <cell r="B1193" t="str">
            <v>maria francisca cardona de usuga</v>
          </cell>
          <cell r="C1193">
            <v>21609380</v>
          </cell>
          <cell r="D1193" t="str">
            <v>insor</v>
          </cell>
          <cell r="E1193">
            <v>3106927305</v>
          </cell>
          <cell r="N1193" t="str">
            <v>x</v>
          </cell>
        </row>
        <row r="1194">
          <cell r="A1194">
            <v>1035303883</v>
          </cell>
          <cell r="B1194" t="str">
            <v>sara lucia puerta correa</v>
          </cell>
          <cell r="C1194">
            <v>1035303883</v>
          </cell>
          <cell r="D1194" t="str">
            <v>urbano san isidro</v>
          </cell>
          <cell r="E1194">
            <v>3106263068</v>
          </cell>
          <cell r="L1194" t="str">
            <v>x</v>
          </cell>
          <cell r="Q1194" t="str">
            <v>caso especial</v>
          </cell>
          <cell r="R1194" t="str">
            <v>alcalde</v>
          </cell>
        </row>
        <row r="1195">
          <cell r="A1195">
            <v>21608986</v>
          </cell>
          <cell r="B1195" t="str">
            <v>MARIA ARGEMIRA DUARTE</v>
          </cell>
          <cell r="C1195">
            <v>21608986</v>
          </cell>
          <cell r="D1195" t="str">
            <v>BELLAVISTA</v>
          </cell>
          <cell r="E1195">
            <v>3148517610</v>
          </cell>
          <cell r="L1195" t="str">
            <v>X</v>
          </cell>
        </row>
        <row r="1196">
          <cell r="A1196">
            <v>70433539</v>
          </cell>
          <cell r="B1196" t="str">
            <v>juan camilo restrepo</v>
          </cell>
          <cell r="C1196">
            <v>70433539</v>
          </cell>
          <cell r="D1196" t="str">
            <v>buenos aires parte alta</v>
          </cell>
          <cell r="E1196">
            <v>3148122420</v>
          </cell>
          <cell r="K1196" t="str">
            <v>x</v>
          </cell>
        </row>
        <row r="1197">
          <cell r="A1197">
            <v>3423281</v>
          </cell>
          <cell r="B1197" t="str">
            <v>javier arturo hernandez</v>
          </cell>
          <cell r="C1197">
            <v>3423281</v>
          </cell>
          <cell r="D1197" t="str">
            <v>buenos aires parte alta</v>
          </cell>
          <cell r="E1197">
            <v>3217971911</v>
          </cell>
          <cell r="K1197" t="str">
            <v>x</v>
          </cell>
        </row>
        <row r="1198">
          <cell r="A1198">
            <v>43912119</v>
          </cell>
          <cell r="B1198" t="str">
            <v>yeidi asenet quintero</v>
          </cell>
          <cell r="C1198">
            <v>43912119</v>
          </cell>
          <cell r="D1198" t="str">
            <v>buenos aires parte alta</v>
          </cell>
          <cell r="E1198">
            <v>3126824019</v>
          </cell>
          <cell r="K1198" t="str">
            <v>x</v>
          </cell>
        </row>
        <row r="1199">
          <cell r="A1199">
            <v>70433126</v>
          </cell>
          <cell r="B1199" t="str">
            <v>guillermo alonso alcaraz</v>
          </cell>
          <cell r="C1199">
            <v>70433126</v>
          </cell>
          <cell r="D1199" t="str">
            <v>buenos aires parte alta</v>
          </cell>
          <cell r="E1199">
            <v>3103524057</v>
          </cell>
          <cell r="L1199" t="str">
            <v>x</v>
          </cell>
        </row>
        <row r="1200">
          <cell r="A1200">
            <v>70430108</v>
          </cell>
          <cell r="B1200" t="str">
            <v>luis alfonso arango gomez</v>
          </cell>
          <cell r="C1200">
            <v>70430108</v>
          </cell>
          <cell r="D1200" t="str">
            <v>buenos aires parte alta</v>
          </cell>
          <cell r="E1200">
            <v>3217612841</v>
          </cell>
          <cell r="N1200" t="str">
            <v>x</v>
          </cell>
        </row>
        <row r="1201">
          <cell r="A1201">
            <v>70430870</v>
          </cell>
          <cell r="B1201" t="str">
            <v>jeus franklin guisao lopez</v>
          </cell>
          <cell r="C1201">
            <v>70430870</v>
          </cell>
          <cell r="D1201" t="str">
            <v>la esperanza</v>
          </cell>
          <cell r="E1201">
            <v>3146805192</v>
          </cell>
          <cell r="L1201" t="str">
            <v>x</v>
          </cell>
        </row>
        <row r="1202">
          <cell r="A1202">
            <v>1038333330</v>
          </cell>
          <cell r="B1202" t="str">
            <v xml:space="preserve">sandra milena alzate cardona </v>
          </cell>
          <cell r="C1202">
            <v>1038333330</v>
          </cell>
          <cell r="D1202" t="str">
            <v>la esperanza</v>
          </cell>
          <cell r="E1202">
            <v>3187674805</v>
          </cell>
          <cell r="N1202" t="str">
            <v>x</v>
          </cell>
        </row>
        <row r="1203">
          <cell r="A1203">
            <v>70430546</v>
          </cell>
          <cell r="B1203" t="str">
            <v>jesus maria usuga ramirez</v>
          </cell>
          <cell r="C1203">
            <v>70430546</v>
          </cell>
          <cell r="D1203" t="str">
            <v>la esperanza</v>
          </cell>
          <cell r="L1203" t="str">
            <v>x</v>
          </cell>
        </row>
        <row r="1204">
          <cell r="A1204">
            <v>3463519</v>
          </cell>
          <cell r="B1204" t="str">
            <v>manuel david david</v>
          </cell>
          <cell r="C1204">
            <v>3463519</v>
          </cell>
          <cell r="D1204" t="str">
            <v>san pascual</v>
          </cell>
          <cell r="E1204">
            <v>3137803258</v>
          </cell>
          <cell r="O1204" t="str">
            <v>x</v>
          </cell>
        </row>
        <row r="1205">
          <cell r="A1205">
            <v>43662021</v>
          </cell>
          <cell r="B1205" t="str">
            <v>marleni del socorro higuita velasquez</v>
          </cell>
          <cell r="C1205">
            <v>43662021</v>
          </cell>
          <cell r="D1205" t="str">
            <v>la esperanza</v>
          </cell>
          <cell r="E1205">
            <v>3206252170</v>
          </cell>
          <cell r="O1205" t="str">
            <v>x</v>
          </cell>
        </row>
        <row r="1206">
          <cell r="A1206">
            <v>43657358</v>
          </cell>
          <cell r="B1206" t="str">
            <v>gloria del socorro pulgarin</v>
          </cell>
          <cell r="C1206">
            <v>43657358</v>
          </cell>
          <cell r="D1206" t="str">
            <v>la curva san pascual</v>
          </cell>
          <cell r="E1206">
            <v>3148386143</v>
          </cell>
          <cell r="L1206" t="str">
            <v>x</v>
          </cell>
        </row>
        <row r="1207">
          <cell r="A1207">
            <v>43781753</v>
          </cell>
          <cell r="B1207" t="str">
            <v>maria noelia correa duarte</v>
          </cell>
          <cell r="C1207">
            <v>43781753</v>
          </cell>
          <cell r="D1207" t="str">
            <v>la curva san pascual</v>
          </cell>
          <cell r="E1207">
            <v>3217843230</v>
          </cell>
          <cell r="L1207" t="str">
            <v>x</v>
          </cell>
        </row>
        <row r="1208">
          <cell r="A1208">
            <v>1035303231</v>
          </cell>
          <cell r="B1208" t="str">
            <v>diana milena tangarife usuga</v>
          </cell>
          <cell r="C1208">
            <v>1035303231</v>
          </cell>
          <cell r="D1208" t="str">
            <v>la curva san pascual</v>
          </cell>
          <cell r="E1208">
            <v>3166082624</v>
          </cell>
          <cell r="L1208" t="str">
            <v>x</v>
          </cell>
        </row>
        <row r="1209">
          <cell r="A1209">
            <v>1192765813</v>
          </cell>
          <cell r="B1209" t="str">
            <v>luis carlos rodriguez david</v>
          </cell>
          <cell r="C1209">
            <v>1192765813</v>
          </cell>
          <cell r="D1209" t="str">
            <v>la curva san pascual</v>
          </cell>
          <cell r="E1209">
            <v>3113956557</v>
          </cell>
          <cell r="N1209" t="str">
            <v>x</v>
          </cell>
        </row>
        <row r="1210">
          <cell r="A1210">
            <v>43447136</v>
          </cell>
          <cell r="B1210" t="str">
            <v>dora cecilia duque taborda</v>
          </cell>
          <cell r="C1210">
            <v>43447136</v>
          </cell>
          <cell r="D1210" t="str">
            <v>la curva san pascual</v>
          </cell>
          <cell r="E1210">
            <v>3233701096</v>
          </cell>
          <cell r="O1210" t="str">
            <v>x</v>
          </cell>
        </row>
        <row r="1211">
          <cell r="A1211">
            <v>21611289</v>
          </cell>
          <cell r="B1211" t="str">
            <v>maria otoniela alvarez bedoya</v>
          </cell>
          <cell r="C1211">
            <v>21611289</v>
          </cell>
          <cell r="D1211" t="str">
            <v>la curva san pascual</v>
          </cell>
          <cell r="E1211">
            <v>3506598403</v>
          </cell>
          <cell r="L1211" t="str">
            <v>x</v>
          </cell>
        </row>
        <row r="1212">
          <cell r="A1212">
            <v>3425499</v>
          </cell>
          <cell r="B1212" t="str">
            <v>joaquin emilio gomez herrera</v>
          </cell>
          <cell r="C1212">
            <v>3425499</v>
          </cell>
          <cell r="D1212" t="str">
            <v>la curva san pascual</v>
          </cell>
          <cell r="E1212">
            <v>3108271140</v>
          </cell>
          <cell r="N1212" t="str">
            <v>x</v>
          </cell>
        </row>
        <row r="1213">
          <cell r="A1213">
            <v>70430197</v>
          </cell>
          <cell r="B1213" t="str">
            <v>pedro luis correa rodriguez</v>
          </cell>
          <cell r="C1213">
            <v>70430197</v>
          </cell>
          <cell r="D1213" t="str">
            <v>la curva san pascual</v>
          </cell>
          <cell r="E1213">
            <v>3218942550</v>
          </cell>
          <cell r="K1213" t="str">
            <v>x</v>
          </cell>
        </row>
        <row r="1214">
          <cell r="A1214">
            <v>3431729</v>
          </cell>
          <cell r="B1214" t="str">
            <v>leonel de jesus rodriguez oquendo</v>
          </cell>
          <cell r="C1214">
            <v>3431729</v>
          </cell>
          <cell r="D1214" t="str">
            <v>la curva san pascual</v>
          </cell>
          <cell r="E1214">
            <v>3503455064</v>
          </cell>
          <cell r="O1214" t="str">
            <v>x</v>
          </cell>
        </row>
        <row r="1215">
          <cell r="A1215" t="str">
            <v>3 430763</v>
          </cell>
          <cell r="B1215" t="str">
            <v xml:space="preserve">ramon emilio correa higuita </v>
          </cell>
          <cell r="C1215" t="str">
            <v>3 430763</v>
          </cell>
          <cell r="D1215" t="str">
            <v>la curva san pascual</v>
          </cell>
          <cell r="E1215">
            <v>3148142254</v>
          </cell>
          <cell r="K1215" t="str">
            <v>x</v>
          </cell>
        </row>
        <row r="1216">
          <cell r="A1216">
            <v>70432158</v>
          </cell>
          <cell r="B1216" t="str">
            <v>anibal de jesus rodriguez giraldo</v>
          </cell>
          <cell r="C1216">
            <v>70432158</v>
          </cell>
          <cell r="D1216" t="str">
            <v>la loma</v>
          </cell>
          <cell r="E1216">
            <v>3116463002</v>
          </cell>
          <cell r="L1216" t="str">
            <v>x</v>
          </cell>
        </row>
        <row r="1217">
          <cell r="A1217">
            <v>1046952975</v>
          </cell>
          <cell r="B1217" t="str">
            <v>elida patricia espinosa ramirez</v>
          </cell>
          <cell r="C1217">
            <v>1046952975</v>
          </cell>
          <cell r="D1217" t="str">
            <v>la lloroncita</v>
          </cell>
          <cell r="E1217">
            <v>3207296259</v>
          </cell>
          <cell r="N1217" t="str">
            <v>x</v>
          </cell>
        </row>
        <row r="1218">
          <cell r="A1218">
            <v>70435688</v>
          </cell>
          <cell r="B1218" t="str">
            <v>jose manuel manco rodriguez</v>
          </cell>
          <cell r="C1218">
            <v>70435688</v>
          </cell>
          <cell r="D1218" t="str">
            <v>la manga</v>
          </cell>
          <cell r="E1218">
            <v>3225382176</v>
          </cell>
          <cell r="N1218" t="str">
            <v>x</v>
          </cell>
        </row>
        <row r="1219">
          <cell r="A1219">
            <v>43041824</v>
          </cell>
          <cell r="B1219" t="str">
            <v xml:space="preserve">adriana castañeda osorio </v>
          </cell>
          <cell r="C1219">
            <v>43041824</v>
          </cell>
          <cell r="D1219" t="str">
            <v>chontaduro</v>
          </cell>
          <cell r="E1219">
            <v>3187084713</v>
          </cell>
          <cell r="O1219" t="str">
            <v>x</v>
          </cell>
          <cell r="R1219" t="str">
            <v>julieta</v>
          </cell>
        </row>
        <row r="1220">
          <cell r="A1220">
            <v>434780445</v>
          </cell>
          <cell r="B1220" t="str">
            <v>angela maria muñoz</v>
          </cell>
          <cell r="C1220">
            <v>434780445</v>
          </cell>
          <cell r="D1220" t="str">
            <v>buenos aires parte alta</v>
          </cell>
          <cell r="E1220">
            <v>3223414216</v>
          </cell>
          <cell r="L1220" t="str">
            <v>x</v>
          </cell>
        </row>
        <row r="1221">
          <cell r="A1221">
            <v>21612538</v>
          </cell>
          <cell r="B1221" t="str">
            <v>luz marina lopez tuberquia</v>
          </cell>
          <cell r="C1221">
            <v>21612538</v>
          </cell>
          <cell r="D1221" t="str">
            <v>cumbarra</v>
          </cell>
          <cell r="E1221">
            <v>3147624026</v>
          </cell>
          <cell r="K1221" t="str">
            <v>x</v>
          </cell>
        </row>
        <row r="1222">
          <cell r="A1222">
            <v>21692845</v>
          </cell>
          <cell r="B1222" t="str">
            <v>maria irene higuita de durango</v>
          </cell>
          <cell r="C1222">
            <v>21692845</v>
          </cell>
          <cell r="D1222" t="str">
            <v>media cuesta</v>
          </cell>
          <cell r="E1222">
            <v>3233330428</v>
          </cell>
          <cell r="L1222" t="str">
            <v>x</v>
          </cell>
        </row>
        <row r="1223">
          <cell r="A1223">
            <v>1040375728</v>
          </cell>
          <cell r="B1223" t="str">
            <v>deiner enrique cadavid negrete</v>
          </cell>
          <cell r="C1223">
            <v>1040375728</v>
          </cell>
          <cell r="D1223" t="str">
            <v>media cuesta</v>
          </cell>
          <cell r="E1223">
            <v>3135305220</v>
          </cell>
          <cell r="L1223" t="str">
            <v>x</v>
          </cell>
        </row>
        <row r="1224">
          <cell r="A1224">
            <v>70433317</v>
          </cell>
          <cell r="B1224" t="str">
            <v>willer leon garcia castaño</v>
          </cell>
          <cell r="C1224">
            <v>70433317</v>
          </cell>
          <cell r="D1224" t="str">
            <v>la aguadita</v>
          </cell>
          <cell r="E1224">
            <v>3213402374</v>
          </cell>
          <cell r="O1224" t="str">
            <v>x</v>
          </cell>
        </row>
        <row r="1225">
          <cell r="A1225">
            <v>43503331</v>
          </cell>
          <cell r="B1225" t="str">
            <v>doris del socorro sierra usuga</v>
          </cell>
          <cell r="C1225">
            <v>43503331</v>
          </cell>
          <cell r="D1225" t="str">
            <v>la aguadita</v>
          </cell>
          <cell r="E1225">
            <v>3117360669</v>
          </cell>
          <cell r="L1225" t="str">
            <v>x</v>
          </cell>
        </row>
        <row r="1226">
          <cell r="A1226">
            <v>1128479466</v>
          </cell>
          <cell r="B1226" t="str">
            <v>ever andrey martinez usuga</v>
          </cell>
          <cell r="C1226">
            <v>1128479466</v>
          </cell>
          <cell r="D1226" t="str">
            <v>la aguadita</v>
          </cell>
          <cell r="E1226">
            <v>3217818238</v>
          </cell>
          <cell r="N1226" t="str">
            <v>x</v>
          </cell>
        </row>
        <row r="1227">
          <cell r="A1227">
            <v>70434300</v>
          </cell>
          <cell r="B1227" t="str">
            <v>jose abelardo usuga higuita</v>
          </cell>
          <cell r="C1227">
            <v>70434300</v>
          </cell>
          <cell r="D1227" t="str">
            <v>la aguadita</v>
          </cell>
          <cell r="E1227">
            <v>3226496663</v>
          </cell>
          <cell r="N1227" t="str">
            <v>x</v>
          </cell>
        </row>
        <row r="1228">
          <cell r="A1228">
            <v>21609886</v>
          </cell>
          <cell r="B1228" t="str">
            <v>maria del carmen muñoz muñoz</v>
          </cell>
          <cell r="C1228">
            <v>21609886</v>
          </cell>
          <cell r="D1228" t="str">
            <v>la aguadita</v>
          </cell>
          <cell r="E1228">
            <v>3204602116</v>
          </cell>
          <cell r="K1228" t="str">
            <v>x</v>
          </cell>
        </row>
        <row r="1229">
          <cell r="A1229">
            <v>70431392</v>
          </cell>
          <cell r="B1229" t="str">
            <v>guillermo de jesus agudelo carmona</v>
          </cell>
          <cell r="C1229">
            <v>70431392</v>
          </cell>
          <cell r="D1229" t="str">
            <v>la aguadita</v>
          </cell>
          <cell r="E1229">
            <v>3148562097</v>
          </cell>
          <cell r="L1229" t="str">
            <v>x</v>
          </cell>
        </row>
        <row r="1230">
          <cell r="A1230">
            <v>21610389</v>
          </cell>
          <cell r="B1230" t="str">
            <v>nelly  del socorro usuga usuga</v>
          </cell>
          <cell r="C1230">
            <v>21610389</v>
          </cell>
          <cell r="D1230" t="str">
            <v>la aguadita</v>
          </cell>
          <cell r="E1230">
            <v>3144263698</v>
          </cell>
          <cell r="L1230" t="str">
            <v>x</v>
          </cell>
        </row>
        <row r="1231">
          <cell r="A1231">
            <v>39191956</v>
          </cell>
          <cell r="B1231" t="str">
            <v>diana noraida usuga</v>
          </cell>
          <cell r="C1231">
            <v>39191956</v>
          </cell>
          <cell r="D1231" t="str">
            <v>la aguadita</v>
          </cell>
          <cell r="E1231">
            <v>3126074736</v>
          </cell>
          <cell r="K1231" t="str">
            <v>x</v>
          </cell>
        </row>
        <row r="1232">
          <cell r="A1232">
            <v>1035304406</v>
          </cell>
          <cell r="B1232" t="str">
            <v>soledad usuga sierra</v>
          </cell>
          <cell r="C1232">
            <v>1035304406</v>
          </cell>
          <cell r="D1232" t="str">
            <v>la aguadita</v>
          </cell>
          <cell r="K1232" t="str">
            <v>x</v>
          </cell>
        </row>
        <row r="1233">
          <cell r="A1233">
            <v>1035304023</v>
          </cell>
          <cell r="B1233" t="str">
            <v>adriana yulie lopera muñoz</v>
          </cell>
          <cell r="C1233">
            <v>1035304023</v>
          </cell>
          <cell r="D1233" t="str">
            <v>la aguadita</v>
          </cell>
          <cell r="E1233">
            <v>3233552016</v>
          </cell>
          <cell r="L1233" t="str">
            <v>x</v>
          </cell>
        </row>
        <row r="1234">
          <cell r="A1234">
            <v>70431884</v>
          </cell>
          <cell r="B1234" t="str">
            <v xml:space="preserve">arnulfo usuga higuita </v>
          </cell>
          <cell r="C1234">
            <v>70431884</v>
          </cell>
          <cell r="D1234" t="str">
            <v>la aguadita</v>
          </cell>
          <cell r="E1234">
            <v>3216071204</v>
          </cell>
          <cell r="K1234" t="str">
            <v>x</v>
          </cell>
        </row>
        <row r="1235">
          <cell r="A1235">
            <v>1035302765</v>
          </cell>
          <cell r="B1235" t="str">
            <v>alba yurany lopera muñoz</v>
          </cell>
          <cell r="C1235">
            <v>1035302765</v>
          </cell>
          <cell r="D1235" t="str">
            <v>la aguadita</v>
          </cell>
          <cell r="E1235">
            <v>3122144488</v>
          </cell>
          <cell r="K1235" t="str">
            <v>x</v>
          </cell>
        </row>
        <row r="1236">
          <cell r="A1236">
            <v>70433721</v>
          </cell>
          <cell r="B1236" t="str">
            <v>elver weimar usuga usuga</v>
          </cell>
          <cell r="C1236">
            <v>70433721</v>
          </cell>
          <cell r="D1236" t="str">
            <v>la aguadita</v>
          </cell>
          <cell r="E1236">
            <v>3208452352</v>
          </cell>
          <cell r="L1236" t="str">
            <v>x</v>
          </cell>
        </row>
        <row r="1237">
          <cell r="A1237">
            <v>3430371</v>
          </cell>
          <cell r="B1237" t="str">
            <v>agustin usuga correa</v>
          </cell>
          <cell r="C1237">
            <v>3430371</v>
          </cell>
          <cell r="D1237" t="str">
            <v xml:space="preserve">la loma </v>
          </cell>
          <cell r="L1237" t="str">
            <v>x</v>
          </cell>
        </row>
        <row r="1238">
          <cell r="A1238">
            <v>43782222</v>
          </cell>
          <cell r="B1238" t="str">
            <v>adriana yaned usuga rodriguez</v>
          </cell>
          <cell r="C1238">
            <v>43782222</v>
          </cell>
          <cell r="D1238" t="str">
            <v>la loma</v>
          </cell>
          <cell r="O1238" t="str">
            <v>x</v>
          </cell>
        </row>
        <row r="1239">
          <cell r="A1239">
            <v>1128394164</v>
          </cell>
          <cell r="B1239" t="str">
            <v>andres felipe usuga rodriguez</v>
          </cell>
          <cell r="C1239">
            <v>1128394164</v>
          </cell>
          <cell r="D1239" t="str">
            <v>san pascual</v>
          </cell>
          <cell r="E1239">
            <v>3116885137</v>
          </cell>
          <cell r="L1239" t="str">
            <v>x</v>
          </cell>
        </row>
        <row r="1240">
          <cell r="A1240">
            <v>1035700083</v>
          </cell>
          <cell r="B1240" t="str">
            <v>blanco rocio campo usuga</v>
          </cell>
          <cell r="C1240">
            <v>1035700083</v>
          </cell>
          <cell r="D1240" t="str">
            <v>san pascual</v>
          </cell>
          <cell r="E1240">
            <v>3116885137</v>
          </cell>
          <cell r="L1240" t="str">
            <v>x</v>
          </cell>
        </row>
        <row r="1241">
          <cell r="A1241">
            <v>1001404849</v>
          </cell>
          <cell r="B1241" t="str">
            <v>juan sebastian goez goez</v>
          </cell>
          <cell r="C1241">
            <v>1001404849</v>
          </cell>
          <cell r="D1241" t="str">
            <v>san pascual</v>
          </cell>
          <cell r="E1241">
            <v>3116885137</v>
          </cell>
          <cell r="L1241" t="str">
            <v>x</v>
          </cell>
        </row>
        <row r="1242">
          <cell r="A1242">
            <v>1007420611</v>
          </cell>
          <cell r="B1242" t="str">
            <v>liliana andrea arias rodriguez</v>
          </cell>
          <cell r="C1242">
            <v>1007420611</v>
          </cell>
          <cell r="D1242" t="str">
            <v>san pascual</v>
          </cell>
          <cell r="E1242">
            <v>3116885137</v>
          </cell>
          <cell r="L1242" t="str">
            <v>x</v>
          </cell>
        </row>
        <row r="1243">
          <cell r="A1243">
            <v>21612198</v>
          </cell>
          <cell r="B1243" t="str">
            <v>maria cleofe osorio de aguirre</v>
          </cell>
          <cell r="C1243">
            <v>21612198</v>
          </cell>
          <cell r="D1243" t="str">
            <v>san pascual</v>
          </cell>
          <cell r="E1243">
            <v>3116885137</v>
          </cell>
          <cell r="L1243" t="str">
            <v>x</v>
          </cell>
        </row>
        <row r="1244">
          <cell r="A1244">
            <v>21759106</v>
          </cell>
          <cell r="B1244" t="str">
            <v xml:space="preserve">blanca edilma aguirre osorio </v>
          </cell>
          <cell r="C1244">
            <v>21759106</v>
          </cell>
          <cell r="D1244" t="str">
            <v>san pascual</v>
          </cell>
          <cell r="E1244">
            <v>3116885137</v>
          </cell>
          <cell r="L1244" t="str">
            <v>x</v>
          </cell>
        </row>
        <row r="1245">
          <cell r="A1245">
            <v>3431692</v>
          </cell>
          <cell r="B1245" t="str">
            <v>luis arturo rodriguez campos</v>
          </cell>
          <cell r="C1245">
            <v>3431692</v>
          </cell>
          <cell r="D1245" t="str">
            <v>san pascual</v>
          </cell>
          <cell r="E1245">
            <v>3116885137</v>
          </cell>
          <cell r="L1245" t="str">
            <v>x</v>
          </cell>
        </row>
        <row r="1246">
          <cell r="A1246">
            <v>70434568</v>
          </cell>
          <cell r="B1246" t="str">
            <v>francisco javier rodriguez campo</v>
          </cell>
          <cell r="C1246">
            <v>70434568</v>
          </cell>
          <cell r="D1246" t="str">
            <v>san pascual</v>
          </cell>
          <cell r="E1246">
            <v>3116885137</v>
          </cell>
          <cell r="L1246" t="str">
            <v>x</v>
          </cell>
        </row>
        <row r="1247">
          <cell r="A1247">
            <v>21612300</v>
          </cell>
          <cell r="B1247" t="str">
            <v>mariela de jesus rodriguez de usuga</v>
          </cell>
          <cell r="C1247">
            <v>21612300</v>
          </cell>
          <cell r="D1247" t="str">
            <v>san pascual</v>
          </cell>
          <cell r="E1247">
            <v>3116885137</v>
          </cell>
          <cell r="L1247" t="str">
            <v>x</v>
          </cell>
        </row>
        <row r="1248">
          <cell r="A1248">
            <v>43781648</v>
          </cell>
          <cell r="B1248" t="str">
            <v>blanca nubia osorio david</v>
          </cell>
          <cell r="C1248">
            <v>43781648</v>
          </cell>
          <cell r="D1248" t="str">
            <v>san pascual</v>
          </cell>
          <cell r="E1248">
            <v>3116885137</v>
          </cell>
          <cell r="L1248" t="str">
            <v>x</v>
          </cell>
        </row>
        <row r="1249">
          <cell r="A1249">
            <v>1007436572</v>
          </cell>
          <cell r="B1249" t="str">
            <v>cesar humberto rodriguez usuga</v>
          </cell>
          <cell r="C1249">
            <v>1007436572</v>
          </cell>
          <cell r="D1249" t="str">
            <v>san pascual</v>
          </cell>
          <cell r="E1249">
            <v>3116885137</v>
          </cell>
          <cell r="L1249" t="str">
            <v>x</v>
          </cell>
        </row>
        <row r="1250">
          <cell r="A1250">
            <v>43255484</v>
          </cell>
          <cell r="B1250" t="str">
            <v>nidian alfadis correa manco</v>
          </cell>
          <cell r="C1250">
            <v>43255484</v>
          </cell>
          <cell r="D1250" t="str">
            <v>san pascual</v>
          </cell>
          <cell r="E1250">
            <v>3116885137</v>
          </cell>
          <cell r="L1250" t="str">
            <v>x</v>
          </cell>
        </row>
        <row r="1251">
          <cell r="A1251">
            <v>70434855</v>
          </cell>
          <cell r="B1251" t="str">
            <v xml:space="preserve">luis alberto goez loaiza </v>
          </cell>
          <cell r="C1251">
            <v>70434855</v>
          </cell>
          <cell r="D1251" t="str">
            <v>san pascual</v>
          </cell>
          <cell r="E1251">
            <v>3116885137</v>
          </cell>
          <cell r="L1251" t="str">
            <v>x</v>
          </cell>
        </row>
        <row r="1252">
          <cell r="A1252">
            <v>3431651</v>
          </cell>
          <cell r="B1252" t="str">
            <v>nelson de jesus rodriguez oquendo</v>
          </cell>
          <cell r="C1252">
            <v>3431651</v>
          </cell>
          <cell r="D1252" t="str">
            <v>san pascual</v>
          </cell>
          <cell r="E1252">
            <v>3116885137</v>
          </cell>
          <cell r="L1252" t="str">
            <v>x</v>
          </cell>
        </row>
        <row r="1253">
          <cell r="A1253">
            <v>1010082908</v>
          </cell>
          <cell r="B1253" t="str">
            <v>rodolfo manco tangarife</v>
          </cell>
          <cell r="C1253">
            <v>1010082908</v>
          </cell>
          <cell r="D1253" t="str">
            <v>la manga</v>
          </cell>
          <cell r="E1253">
            <v>3127207063</v>
          </cell>
          <cell r="K1253" t="str">
            <v>x</v>
          </cell>
        </row>
        <row r="1254">
          <cell r="A1254">
            <v>43816559</v>
          </cell>
          <cell r="B1254" t="str">
            <v>nelly stella perz perez</v>
          </cell>
          <cell r="C1254">
            <v>43816559</v>
          </cell>
          <cell r="D1254" t="str">
            <v>morota</v>
          </cell>
          <cell r="E1254">
            <v>3116943143</v>
          </cell>
          <cell r="N1254" t="str">
            <v>x</v>
          </cell>
        </row>
        <row r="1255">
          <cell r="A1255">
            <v>70431985</v>
          </cell>
          <cell r="B1255" t="str">
            <v xml:space="preserve">jesus ovidio campo sepulveda </v>
          </cell>
          <cell r="C1255">
            <v>70431985</v>
          </cell>
          <cell r="D1255" t="str">
            <v>la llorona</v>
          </cell>
          <cell r="E1255">
            <v>3216894416</v>
          </cell>
          <cell r="L1255" t="str">
            <v>x</v>
          </cell>
        </row>
        <row r="1256">
          <cell r="A1256">
            <v>18531810</v>
          </cell>
          <cell r="B1256" t="str">
            <v>rodrigo campo higuita</v>
          </cell>
          <cell r="C1256">
            <v>18531810</v>
          </cell>
          <cell r="D1256" t="str">
            <v>buenos aires parte  baja</v>
          </cell>
          <cell r="L1256" t="str">
            <v>x</v>
          </cell>
        </row>
        <row r="1257">
          <cell r="A1257">
            <v>21611451</v>
          </cell>
          <cell r="B1257" t="str">
            <v>beatriz elena manco</v>
          </cell>
          <cell r="C1257">
            <v>21611451</v>
          </cell>
          <cell r="D1257" t="str">
            <v>el roble</v>
          </cell>
          <cell r="E1257">
            <v>3173183949</v>
          </cell>
          <cell r="M1257" t="str">
            <v>x</v>
          </cell>
        </row>
        <row r="1258">
          <cell r="A1258">
            <v>3431222</v>
          </cell>
          <cell r="B1258" t="str">
            <v>jaime elias quintero restrepo</v>
          </cell>
          <cell r="C1258">
            <v>3431222</v>
          </cell>
          <cell r="D1258" t="str">
            <v>buenos aires parte alta</v>
          </cell>
          <cell r="E1258">
            <v>3146023730</v>
          </cell>
        </row>
        <row r="1259">
          <cell r="A1259">
            <v>1035305872</v>
          </cell>
          <cell r="B1259" t="str">
            <v>julian enrique usuga muñoz</v>
          </cell>
          <cell r="C1259">
            <v>1035305872</v>
          </cell>
          <cell r="D1259" t="str">
            <v>insor</v>
          </cell>
          <cell r="L1259" t="str">
            <v>x</v>
          </cell>
        </row>
        <row r="1260">
          <cell r="A1260">
            <v>1035303395</v>
          </cell>
          <cell r="B1260" t="str">
            <v>JOSE ORLANDO RUEDA</v>
          </cell>
          <cell r="C1260">
            <v>1035303395</v>
          </cell>
          <cell r="D1260" t="str">
            <v>los naranjos</v>
          </cell>
          <cell r="E1260">
            <v>3127036208</v>
          </cell>
          <cell r="K1260" t="str">
            <v>x</v>
          </cell>
        </row>
        <row r="1261">
          <cell r="A1261">
            <v>610974</v>
          </cell>
          <cell r="B1261" t="str">
            <v>jose julian arias rueda</v>
          </cell>
          <cell r="C1261">
            <v>610974</v>
          </cell>
          <cell r="D1261" t="str">
            <v>urbano bersalles</v>
          </cell>
          <cell r="E1261">
            <v>3145929686</v>
          </cell>
          <cell r="M1261" t="str">
            <v>x</v>
          </cell>
        </row>
        <row r="1262">
          <cell r="A1262">
            <v>43780186</v>
          </cell>
          <cell r="B1262" t="str">
            <v>MARIA JOSEFINA HERNANDEZ</v>
          </cell>
          <cell r="C1262">
            <v>43780186</v>
          </cell>
          <cell r="D1262" t="str">
            <v>EL MADERO</v>
          </cell>
          <cell r="E1262">
            <v>3205218629</v>
          </cell>
          <cell r="M1262" t="str">
            <v>X</v>
          </cell>
        </row>
        <row r="1263">
          <cell r="A1263">
            <v>21612322</v>
          </cell>
          <cell r="B1263" t="str">
            <v>emma dora arango</v>
          </cell>
          <cell r="C1263">
            <v>21612322</v>
          </cell>
          <cell r="D1263" t="str">
            <v>urbano santa ana</v>
          </cell>
          <cell r="E1263">
            <v>3162793906</v>
          </cell>
          <cell r="M1263" t="str">
            <v>x</v>
          </cell>
        </row>
        <row r="1264">
          <cell r="A1264">
            <v>3430406</v>
          </cell>
          <cell r="B1264" t="str">
            <v>reynaldo antonio durango usuga</v>
          </cell>
          <cell r="C1264">
            <v>3430406</v>
          </cell>
          <cell r="D1264" t="str">
            <v>la lloroncita</v>
          </cell>
          <cell r="E1264">
            <v>3207516021</v>
          </cell>
        </row>
        <row r="1265">
          <cell r="A1265">
            <v>43780510</v>
          </cell>
          <cell r="B1265" t="str">
            <v>meria de aurora correa higuita</v>
          </cell>
          <cell r="C1265">
            <v>43780510</v>
          </cell>
          <cell r="D1265" t="str">
            <v>la soledad</v>
          </cell>
          <cell r="E1265">
            <v>3225664280</v>
          </cell>
          <cell r="K1265" t="str">
            <v>x</v>
          </cell>
        </row>
        <row r="1266">
          <cell r="A1266">
            <v>1035303703</v>
          </cell>
          <cell r="B1266" t="str">
            <v>OSCAR ANDRES PINEDA GOMEZ</v>
          </cell>
          <cell r="C1266">
            <v>1035303703</v>
          </cell>
          <cell r="D1266" t="str">
            <v>INSOR</v>
          </cell>
          <cell r="E1266">
            <v>3113532583</v>
          </cell>
          <cell r="K1266" t="str">
            <v>X</v>
          </cell>
        </row>
        <row r="1267">
          <cell r="A1267">
            <v>21610454</v>
          </cell>
          <cell r="B1267" t="str">
            <v xml:space="preserve">martha eucaris usuga arias </v>
          </cell>
          <cell r="C1267">
            <v>21610454</v>
          </cell>
          <cell r="D1267" t="str">
            <v>urbano el porvenir</v>
          </cell>
          <cell r="E1267">
            <v>3216173080</v>
          </cell>
          <cell r="L1267" t="str">
            <v>x</v>
          </cell>
        </row>
        <row r="1268">
          <cell r="A1268">
            <v>21611117</v>
          </cell>
          <cell r="B1268" t="str">
            <v>franquelina presiga campo</v>
          </cell>
          <cell r="C1268">
            <v>21611117</v>
          </cell>
          <cell r="D1268" t="str">
            <v>ciriguan</v>
          </cell>
        </row>
        <row r="1269">
          <cell r="A1269">
            <v>21611007</v>
          </cell>
          <cell r="B1269" t="str">
            <v>maria nelly durango borja</v>
          </cell>
          <cell r="C1269">
            <v>21611007</v>
          </cell>
          <cell r="D1269" t="str">
            <v>ciriguan</v>
          </cell>
        </row>
        <row r="1270">
          <cell r="A1270">
            <v>70432030</v>
          </cell>
          <cell r="B1270" t="str">
            <v>jesus emilio goez lopez</v>
          </cell>
          <cell r="C1270">
            <v>70432030</v>
          </cell>
          <cell r="D1270" t="str">
            <v>cestillal</v>
          </cell>
        </row>
        <row r="1271">
          <cell r="A1271">
            <v>43749966</v>
          </cell>
          <cell r="B1271" t="str">
            <v>bibiana giraldo martinez</v>
          </cell>
          <cell r="C1271">
            <v>43749966</v>
          </cell>
          <cell r="D1271" t="str">
            <v>moroto</v>
          </cell>
          <cell r="E1271">
            <v>3173447010</v>
          </cell>
          <cell r="L1271" t="str">
            <v>x</v>
          </cell>
        </row>
        <row r="1272">
          <cell r="A1272">
            <v>3431609</v>
          </cell>
          <cell r="B1272" t="str">
            <v>RICARDO DAVID VALLE</v>
          </cell>
          <cell r="C1272">
            <v>3431609</v>
          </cell>
          <cell r="E1272">
            <v>3206373563</v>
          </cell>
          <cell r="K1272" t="str">
            <v>X</v>
          </cell>
        </row>
        <row r="1273">
          <cell r="A1273" t="str">
            <v>7O430692</v>
          </cell>
          <cell r="B1273" t="str">
            <v>RAMIRODE JESUS GUISAO PUERTA</v>
          </cell>
          <cell r="C1273" t="str">
            <v>7O430692</v>
          </cell>
          <cell r="D1273" t="str">
            <v>moroto</v>
          </cell>
          <cell r="E1273">
            <v>3147854470</v>
          </cell>
          <cell r="K1273" t="str">
            <v>X</v>
          </cell>
        </row>
        <row r="1274">
          <cell r="A1274">
            <v>8309122</v>
          </cell>
          <cell r="B1274" t="str">
            <v xml:space="preserve">JOSE BERNARDO USUGA </v>
          </cell>
          <cell r="C1274">
            <v>8309122</v>
          </cell>
          <cell r="E1274">
            <v>3133567115</v>
          </cell>
          <cell r="K1274" t="str">
            <v>X</v>
          </cell>
        </row>
        <row r="1275">
          <cell r="A1275">
            <v>1035305054</v>
          </cell>
          <cell r="B1275" t="str">
            <v>HENRY ALEXANDER RUEDA RUEDA</v>
          </cell>
          <cell r="C1275">
            <v>1035305054</v>
          </cell>
          <cell r="E1275">
            <v>3165507273</v>
          </cell>
          <cell r="K1275" t="str">
            <v>X</v>
          </cell>
        </row>
        <row r="1276">
          <cell r="A1276">
            <v>43780990</v>
          </cell>
          <cell r="B1276" t="str">
            <v>GLORIA PATRICIA IBARRA QUIROZ</v>
          </cell>
          <cell r="C1276">
            <v>43780990</v>
          </cell>
          <cell r="E1276">
            <v>3145314542</v>
          </cell>
          <cell r="L1276" t="str">
            <v>X</v>
          </cell>
        </row>
        <row r="1277">
          <cell r="A1277">
            <v>3431006</v>
          </cell>
          <cell r="B1277" t="str">
            <v>JOSE ARTURO PULGARIN HIGUITA</v>
          </cell>
          <cell r="C1277">
            <v>3431006</v>
          </cell>
          <cell r="D1277" t="str">
            <v>la malena</v>
          </cell>
          <cell r="E1277">
            <v>3008009414</v>
          </cell>
          <cell r="K1277" t="str">
            <v>X</v>
          </cell>
        </row>
      </sheetData>
      <sheetData sheetId="2"/>
      <sheetData sheetId="3">
        <row r="1">
          <cell r="B1" t="str">
            <v>MINISTERIO DE VIVIENDA, CIUDAD Y TERRITORIO</v>
          </cell>
        </row>
        <row r="2">
          <cell r="B2" t="str">
            <v>RESULTADO FINAL CRUCES CON AFILIADOS A CAJAS DE COMPENSACIÓN FAMILIAR</v>
          </cell>
        </row>
        <row r="3">
          <cell r="A3" t="str">
            <v>IDENTIFICACIÓN</v>
          </cell>
          <cell r="B3" t="str">
            <v>NIT ENTIDAD</v>
          </cell>
          <cell r="C3" t="str">
            <v>NOMBRE ENTIDAD</v>
          </cell>
          <cell r="D3" t="str">
            <v>TIPO DOCUMENTO</v>
          </cell>
          <cell r="E3" t="str">
            <v>IDENTIFICACIÓN</v>
          </cell>
          <cell r="F3" t="str">
            <v>APELLIDOS</v>
          </cell>
          <cell r="G3" t="str">
            <v>NOMBRES</v>
          </cell>
        </row>
        <row r="4">
          <cell r="A4">
            <v>1010161903</v>
          </cell>
          <cell r="B4" t="str">
            <v>8600073361</v>
          </cell>
          <cell r="C4" t="str">
            <v>C.C.F. COLSUBSIDIO - BOGOTA</v>
          </cell>
          <cell r="D4" t="str">
            <v>C.C.</v>
          </cell>
          <cell r="E4" t="str">
            <v>1010161903</v>
          </cell>
          <cell r="F4" t="str">
            <v>ROJAS GARCIA</v>
          </cell>
          <cell r="G4" t="str">
            <v>IVAN DARIO</v>
          </cell>
        </row>
        <row r="5">
          <cell r="A5">
            <v>70431745</v>
          </cell>
          <cell r="B5" t="str">
            <v>8909008401</v>
          </cell>
          <cell r="C5" t="str">
            <v>C.C.F. CAMACOL - MEDELLIN</v>
          </cell>
          <cell r="D5" t="str">
            <v>C.C.</v>
          </cell>
          <cell r="E5" t="str">
            <v>70431745</v>
          </cell>
          <cell r="F5" t="str">
            <v>GOEZ SEPULVEDA</v>
          </cell>
          <cell r="G5" t="str">
            <v>RODIMIRO DE JESUS</v>
          </cell>
        </row>
        <row r="6">
          <cell r="A6">
            <v>30650089</v>
          </cell>
          <cell r="B6" t="str">
            <v>8909008401</v>
          </cell>
          <cell r="C6" t="str">
            <v>C.C.F. CAMACOL - MEDELLIN</v>
          </cell>
          <cell r="D6" t="str">
            <v>C.C.</v>
          </cell>
          <cell r="E6" t="str">
            <v>30650089</v>
          </cell>
          <cell r="F6" t="str">
            <v>VALENCIA MONTENEGRO</v>
          </cell>
          <cell r="G6" t="str">
            <v>VERENA CECILIA</v>
          </cell>
        </row>
        <row r="7">
          <cell r="A7">
            <v>43614351</v>
          </cell>
          <cell r="B7" t="str">
            <v>8909008401</v>
          </cell>
          <cell r="C7" t="str">
            <v>C.C.F. CAMACOL - MEDELLIN</v>
          </cell>
          <cell r="D7" t="str">
            <v>C.C.</v>
          </cell>
          <cell r="E7" t="str">
            <v>43614351</v>
          </cell>
          <cell r="F7" t="str">
            <v>QUINTERO FORERO</v>
          </cell>
          <cell r="G7" t="str">
            <v>MARTHA LILIANA</v>
          </cell>
        </row>
        <row r="8">
          <cell r="A8">
            <v>43780865</v>
          </cell>
          <cell r="B8" t="str">
            <v>8909008419</v>
          </cell>
          <cell r="C8" t="str">
            <v>C.C.F.DE ANTIOQUIA COMFAMA</v>
          </cell>
          <cell r="D8" t="str">
            <v>C.C.</v>
          </cell>
          <cell r="E8" t="str">
            <v>43780865</v>
          </cell>
          <cell r="F8" t="str">
            <v>SIERRA HIDALGO</v>
          </cell>
          <cell r="G8" t="str">
            <v>MARINA DEL CARMEN</v>
          </cell>
        </row>
        <row r="9">
          <cell r="A9">
            <v>43781247</v>
          </cell>
          <cell r="B9" t="str">
            <v>8909008419</v>
          </cell>
          <cell r="C9" t="str">
            <v>C.C.F.DE ANTIOQUIA COMFAMA</v>
          </cell>
          <cell r="D9" t="str">
            <v>C.C.</v>
          </cell>
          <cell r="E9" t="str">
            <v>43781247</v>
          </cell>
          <cell r="F9" t="str">
            <v>DURANGO RIANO</v>
          </cell>
          <cell r="G9" t="str">
            <v>OLGA LUCIA</v>
          </cell>
        </row>
        <row r="10">
          <cell r="A10">
            <v>43781781</v>
          </cell>
          <cell r="B10" t="str">
            <v>8909008419</v>
          </cell>
          <cell r="C10" t="str">
            <v>C.C.F.DE ANTIOQUIA COMFAMA</v>
          </cell>
          <cell r="D10" t="str">
            <v>C.C.</v>
          </cell>
          <cell r="E10" t="str">
            <v>43781781</v>
          </cell>
          <cell r="F10" t="str">
            <v>CORREA VEGA</v>
          </cell>
          <cell r="G10" t="str">
            <v>MONICA ANDREA</v>
          </cell>
        </row>
        <row r="11">
          <cell r="A11">
            <v>43782118</v>
          </cell>
          <cell r="B11" t="str">
            <v>8909008419</v>
          </cell>
          <cell r="C11" t="str">
            <v>C.C.F.DE ANTIOQUIA COMFAMA</v>
          </cell>
          <cell r="D11" t="str">
            <v>C.C.</v>
          </cell>
          <cell r="E11" t="str">
            <v>43782118</v>
          </cell>
          <cell r="F11" t="str">
            <v>ARBOLEDA CARTAGENA</v>
          </cell>
          <cell r="G11" t="str">
            <v>MARIA NOELIA</v>
          </cell>
        </row>
        <row r="12">
          <cell r="A12">
            <v>66964293</v>
          </cell>
          <cell r="B12" t="str">
            <v>8909008419</v>
          </cell>
          <cell r="C12" t="str">
            <v>C.C.F.DE ANTIOQUIA COMFAMA</v>
          </cell>
          <cell r="D12" t="str">
            <v>C.C.</v>
          </cell>
          <cell r="E12" t="str">
            <v>66964293</v>
          </cell>
          <cell r="F12" t="str">
            <v>DAVID BRAN</v>
          </cell>
          <cell r="G12" t="str">
            <v>GLORIA NANCY</v>
          </cell>
        </row>
        <row r="13">
          <cell r="A13">
            <v>8414008</v>
          </cell>
          <cell r="B13" t="str">
            <v>8909008419</v>
          </cell>
          <cell r="C13" t="str">
            <v>C.C.F.DE ANTIOQUIA COMFAMA</v>
          </cell>
          <cell r="D13" t="str">
            <v>C.C.</v>
          </cell>
          <cell r="E13" t="str">
            <v>8414008</v>
          </cell>
          <cell r="F13" t="str">
            <v>MUNOZ GONZALEZ</v>
          </cell>
          <cell r="G13" t="str">
            <v>CARLOS ANTONIO</v>
          </cell>
        </row>
        <row r="14">
          <cell r="A14">
            <v>21609455</v>
          </cell>
          <cell r="B14" t="str">
            <v>8909008419</v>
          </cell>
          <cell r="C14" t="str">
            <v>C.C.F.DE ANTIOQUIA COMFAMA</v>
          </cell>
          <cell r="D14" t="str">
            <v>C.C.</v>
          </cell>
          <cell r="E14" t="str">
            <v>21609455</v>
          </cell>
          <cell r="F14" t="str">
            <v>CORREA CARO</v>
          </cell>
          <cell r="G14" t="str">
            <v>LUZ MARIELA</v>
          </cell>
        </row>
        <row r="15">
          <cell r="A15">
            <v>21609951</v>
          </cell>
          <cell r="B15" t="str">
            <v>8909008419</v>
          </cell>
          <cell r="C15" t="str">
            <v>C.C.F.DE ANTIOQUIA COMFAMA</v>
          </cell>
          <cell r="D15" t="str">
            <v>C.C.</v>
          </cell>
          <cell r="E15" t="str">
            <v>21609951</v>
          </cell>
          <cell r="F15" t="str">
            <v>CORREA CARO</v>
          </cell>
          <cell r="G15" t="str">
            <v>MARIA ISMENIA</v>
          </cell>
        </row>
        <row r="16">
          <cell r="A16">
            <v>21610450</v>
          </cell>
          <cell r="B16" t="str">
            <v>8909008419</v>
          </cell>
          <cell r="C16" t="str">
            <v>C.C.F.DE ANTIOQUIA COMFAMA</v>
          </cell>
          <cell r="D16" t="str">
            <v>C.C.</v>
          </cell>
          <cell r="E16" t="str">
            <v>21610450</v>
          </cell>
          <cell r="F16" t="str">
            <v>VASQUEZ VEGA</v>
          </cell>
          <cell r="G16" t="str">
            <v>MARTHA INES</v>
          </cell>
        </row>
        <row r="17">
          <cell r="A17">
            <v>70432543</v>
          </cell>
          <cell r="B17" t="str">
            <v>8909008419</v>
          </cell>
          <cell r="C17" t="str">
            <v>C.C.F.DE ANTIOQUIA COMFAMA</v>
          </cell>
          <cell r="D17" t="str">
            <v>C.C.</v>
          </cell>
          <cell r="E17" t="str">
            <v>70432543</v>
          </cell>
          <cell r="F17" t="str">
            <v>GIRALDO DURANGO</v>
          </cell>
          <cell r="G17" t="str">
            <v>JHON ALONSO</v>
          </cell>
        </row>
        <row r="18">
          <cell r="A18">
            <v>70433107</v>
          </cell>
          <cell r="B18" t="str">
            <v>8909008419</v>
          </cell>
          <cell r="C18" t="str">
            <v>C.C.F.DE ANTIOQUIA COMFAMA</v>
          </cell>
          <cell r="D18" t="str">
            <v>C.C.</v>
          </cell>
          <cell r="E18" t="str">
            <v>70433107</v>
          </cell>
          <cell r="F18" t="str">
            <v>TANGARIFE GRACIANO</v>
          </cell>
          <cell r="G18" t="str">
            <v>WILDEMAN</v>
          </cell>
        </row>
        <row r="19">
          <cell r="A19">
            <v>70433126</v>
          </cell>
          <cell r="B19" t="str">
            <v>8909008419</v>
          </cell>
          <cell r="C19" t="str">
            <v>C.C.F.DE ANTIOQUIA COMFAMA</v>
          </cell>
          <cell r="D19" t="str">
            <v>C.C.</v>
          </cell>
          <cell r="E19" t="str">
            <v>70433126</v>
          </cell>
          <cell r="F19" t="str">
            <v>ALCARAZ DURANGO</v>
          </cell>
          <cell r="G19" t="str">
            <v>GUILLERMO ALONSO</v>
          </cell>
        </row>
        <row r="20">
          <cell r="A20">
            <v>70433566</v>
          </cell>
          <cell r="B20" t="str">
            <v>8909008419</v>
          </cell>
          <cell r="C20" t="str">
            <v>C.C.F.DE ANTIOQUIA COMFAMA</v>
          </cell>
          <cell r="D20" t="str">
            <v>C.C.</v>
          </cell>
          <cell r="E20" t="str">
            <v>70433566</v>
          </cell>
          <cell r="F20" t="str">
            <v>USUGA BRAN</v>
          </cell>
          <cell r="G20" t="str">
            <v>JORGE ELEAZAR</v>
          </cell>
        </row>
        <row r="21">
          <cell r="A21">
            <v>70433717</v>
          </cell>
          <cell r="B21" t="str">
            <v>8909008419</v>
          </cell>
          <cell r="C21" t="str">
            <v>C.C.F.DE ANTIOQUIA COMFAMA</v>
          </cell>
          <cell r="D21" t="str">
            <v>C.C.</v>
          </cell>
          <cell r="E21" t="str">
            <v>70433717</v>
          </cell>
          <cell r="F21" t="str">
            <v>USUGA YEPES</v>
          </cell>
          <cell r="G21" t="str">
            <v>YOBANY ANTONIO</v>
          </cell>
        </row>
        <row r="22">
          <cell r="A22">
            <v>70434928</v>
          </cell>
          <cell r="B22" t="str">
            <v>8909008419</v>
          </cell>
          <cell r="C22" t="str">
            <v>C.C.F.DE ANTIOQUIA COMFAMA</v>
          </cell>
          <cell r="D22" t="str">
            <v>C.C.</v>
          </cell>
          <cell r="E22" t="str">
            <v>70434928</v>
          </cell>
          <cell r="F22" t="str">
            <v>SOTO JIMENEZ</v>
          </cell>
          <cell r="G22" t="str">
            <v>JOSUE ANTONIO</v>
          </cell>
        </row>
        <row r="23">
          <cell r="A23">
            <v>70436071</v>
          </cell>
          <cell r="B23" t="str">
            <v>8909008419</v>
          </cell>
          <cell r="C23" t="str">
            <v>C.C.F.DE ANTIOQUIA COMFAMA</v>
          </cell>
          <cell r="D23" t="str">
            <v>C.C.</v>
          </cell>
          <cell r="E23" t="str">
            <v>70436071</v>
          </cell>
          <cell r="F23" t="str">
            <v>URIBE</v>
          </cell>
          <cell r="G23" t="str">
            <v>JUAN BAUTISTA</v>
          </cell>
        </row>
        <row r="24">
          <cell r="A24">
            <v>70436124</v>
          </cell>
          <cell r="B24" t="str">
            <v>8909008419</v>
          </cell>
          <cell r="C24" t="str">
            <v>C.C.F.DE ANTIOQUIA COMFAMA</v>
          </cell>
          <cell r="D24" t="str">
            <v>C.C.</v>
          </cell>
          <cell r="E24" t="str">
            <v>70436124</v>
          </cell>
          <cell r="F24" t="str">
            <v>HURTADO GUISAO</v>
          </cell>
          <cell r="G24" t="str">
            <v>MOISES ANTONIO</v>
          </cell>
        </row>
        <row r="25">
          <cell r="A25">
            <v>70435837</v>
          </cell>
          <cell r="B25" t="str">
            <v>8909008419</v>
          </cell>
          <cell r="C25" t="str">
            <v>C.C.F.DE ANTIOQUIA COMFAMA</v>
          </cell>
          <cell r="D25" t="str">
            <v>C.C.</v>
          </cell>
          <cell r="E25" t="str">
            <v>70435837</v>
          </cell>
          <cell r="F25" t="str">
            <v>CAMPO HIGUITA</v>
          </cell>
          <cell r="G25" t="str">
            <v>JOSE EUSEBIO</v>
          </cell>
        </row>
        <row r="26">
          <cell r="A26">
            <v>70435962</v>
          </cell>
          <cell r="B26" t="str">
            <v>8909008419</v>
          </cell>
          <cell r="C26" t="str">
            <v>C.C.F.DE ANTIOQUIA COMFAMA</v>
          </cell>
          <cell r="D26" t="str">
            <v>C.C.</v>
          </cell>
          <cell r="E26" t="str">
            <v>70435962</v>
          </cell>
          <cell r="F26" t="str">
            <v>USUGA GIRALDO</v>
          </cell>
          <cell r="G26" t="str">
            <v>EUCARIS DE JESUS</v>
          </cell>
        </row>
        <row r="27">
          <cell r="A27">
            <v>71760213</v>
          </cell>
          <cell r="B27" t="str">
            <v>8909008419</v>
          </cell>
          <cell r="C27" t="str">
            <v>C.C.F.DE ANTIOQUIA COMFAMA</v>
          </cell>
          <cell r="D27" t="str">
            <v>C.C.</v>
          </cell>
          <cell r="E27" t="str">
            <v>71760213</v>
          </cell>
          <cell r="F27" t="str">
            <v>JIMENEZ HIGUITA</v>
          </cell>
          <cell r="G27" t="str">
            <v>FRAIDE AMANDO</v>
          </cell>
        </row>
        <row r="28">
          <cell r="A28">
            <v>98694509</v>
          </cell>
          <cell r="B28" t="str">
            <v>8909008419</v>
          </cell>
          <cell r="C28" t="str">
            <v>C.C.F.DE ANTIOQUIA COMFAMA</v>
          </cell>
          <cell r="D28" t="str">
            <v>C.C.</v>
          </cell>
          <cell r="E28" t="str">
            <v>98694509</v>
          </cell>
          <cell r="F28" t="str">
            <v>URREGO LOPEZ</v>
          </cell>
          <cell r="G28" t="str">
            <v>RICAURTE</v>
          </cell>
        </row>
        <row r="29">
          <cell r="A29">
            <v>1001386115</v>
          </cell>
          <cell r="B29" t="str">
            <v>8909008419</v>
          </cell>
          <cell r="C29" t="str">
            <v>C.C.F.DE ANTIOQUIA COMFAMA</v>
          </cell>
          <cell r="D29" t="str">
            <v>C.C.</v>
          </cell>
          <cell r="E29" t="str">
            <v>1001386115</v>
          </cell>
          <cell r="F29" t="str">
            <v>CARRILLO RODRIGUEZ</v>
          </cell>
          <cell r="G29" t="str">
            <v>RAMIRO ANTONIO</v>
          </cell>
        </row>
        <row r="30">
          <cell r="A30">
            <v>70430806</v>
          </cell>
          <cell r="B30" t="str">
            <v>8909008419</v>
          </cell>
          <cell r="C30" t="str">
            <v>C.C.F.DE ANTIOQUIA COMFAMA</v>
          </cell>
          <cell r="D30" t="str">
            <v>C.C.</v>
          </cell>
          <cell r="E30" t="str">
            <v>70430806</v>
          </cell>
          <cell r="F30" t="str">
            <v>RESTREPO URIBE</v>
          </cell>
          <cell r="G30" t="str">
            <v>JORGE IVAN</v>
          </cell>
        </row>
        <row r="31">
          <cell r="A31">
            <v>1001404124</v>
          </cell>
          <cell r="B31" t="str">
            <v>8909008419</v>
          </cell>
          <cell r="C31" t="str">
            <v>C.C.F.DE ANTIOQUIA COMFAMA</v>
          </cell>
          <cell r="D31" t="str">
            <v>C.C.</v>
          </cell>
          <cell r="E31" t="str">
            <v>1001404124</v>
          </cell>
          <cell r="F31" t="str">
            <v>RODRIGUEZ</v>
          </cell>
          <cell r="G31" t="str">
            <v>JORGE ALBEIRO</v>
          </cell>
        </row>
        <row r="32">
          <cell r="A32">
            <v>1035303478</v>
          </cell>
          <cell r="B32" t="str">
            <v>8909008419</v>
          </cell>
          <cell r="C32" t="str">
            <v>C.C.F.DE ANTIOQUIA COMFAMA</v>
          </cell>
          <cell r="D32" t="str">
            <v>C.C.</v>
          </cell>
          <cell r="E32" t="str">
            <v>1035303478</v>
          </cell>
          <cell r="F32" t="str">
            <v>GONZALEZ HIGUITA</v>
          </cell>
          <cell r="G32" t="str">
            <v>MAURICIO DE JESUS</v>
          </cell>
        </row>
        <row r="33">
          <cell r="A33">
            <v>1035304992</v>
          </cell>
          <cell r="B33" t="str">
            <v>8909008419</v>
          </cell>
          <cell r="C33" t="str">
            <v>C.C.F.DE ANTIOQUIA COMFAMA</v>
          </cell>
          <cell r="D33" t="str">
            <v>C.C.</v>
          </cell>
          <cell r="E33" t="str">
            <v>1035304992</v>
          </cell>
          <cell r="F33" t="str">
            <v>URREGO GUISAO</v>
          </cell>
          <cell r="G33" t="str">
            <v>EDITH DAVIANY</v>
          </cell>
        </row>
        <row r="34">
          <cell r="A34">
            <v>1035305861</v>
          </cell>
          <cell r="B34" t="str">
            <v>8909008419</v>
          </cell>
          <cell r="C34" t="str">
            <v>C.C.F.DE ANTIOQUIA COMFAMA</v>
          </cell>
          <cell r="D34" t="str">
            <v>C.C.</v>
          </cell>
          <cell r="E34" t="str">
            <v>1035305861</v>
          </cell>
          <cell r="F34" t="str">
            <v>BORJA GARCIA</v>
          </cell>
          <cell r="G34" t="str">
            <v>JUAN PABLO</v>
          </cell>
        </row>
        <row r="35">
          <cell r="A35">
            <v>1038333330</v>
          </cell>
          <cell r="B35" t="str">
            <v>8909008419</v>
          </cell>
          <cell r="C35" t="str">
            <v>C.C.F.DE ANTIOQUIA COMFAMA</v>
          </cell>
          <cell r="D35" t="str">
            <v>C.C.</v>
          </cell>
          <cell r="E35" t="str">
            <v>1038333330</v>
          </cell>
          <cell r="F35" t="str">
            <v>ALZATE CARDONA</v>
          </cell>
          <cell r="G35" t="str">
            <v>SANDRA MILENA</v>
          </cell>
        </row>
        <row r="36">
          <cell r="A36">
            <v>1046952975</v>
          </cell>
          <cell r="B36" t="str">
            <v>8909008419</v>
          </cell>
          <cell r="C36" t="str">
            <v>C.C.F.DE ANTIOQUIA COMFAMA</v>
          </cell>
          <cell r="D36" t="str">
            <v>C.C.</v>
          </cell>
          <cell r="E36" t="str">
            <v>1046952975</v>
          </cell>
          <cell r="F36" t="str">
            <v>ESPINOSA RAMIREZ</v>
          </cell>
          <cell r="G36" t="str">
            <v>ELIDA PATRICIA</v>
          </cell>
        </row>
        <row r="37">
          <cell r="A37">
            <v>1192765859</v>
          </cell>
          <cell r="B37" t="str">
            <v>8909008419</v>
          </cell>
          <cell r="C37" t="str">
            <v>C.C.F.DE ANTIOQUIA COMFAMA</v>
          </cell>
          <cell r="D37" t="str">
            <v>C.C.</v>
          </cell>
          <cell r="E37" t="str">
            <v>1192765859</v>
          </cell>
          <cell r="F37" t="str">
            <v>HURTADO GUISAO</v>
          </cell>
          <cell r="G37" t="str">
            <v>YEIMER</v>
          </cell>
        </row>
        <row r="38">
          <cell r="A38">
            <v>1038335088</v>
          </cell>
          <cell r="B38" t="str">
            <v>8909008426</v>
          </cell>
          <cell r="C38" t="str">
            <v>COMFENALCO - ANTIOQUIA</v>
          </cell>
          <cell r="D38" t="str">
            <v>C.C.</v>
          </cell>
          <cell r="E38" t="str">
            <v>1038335088</v>
          </cell>
          <cell r="F38" t="str">
            <v>CORREA ARIAS</v>
          </cell>
          <cell r="G38" t="str">
            <v>LEIDY JOHANA</v>
          </cell>
        </row>
        <row r="39">
          <cell r="A39">
            <v>1038337600</v>
          </cell>
          <cell r="B39" t="str">
            <v>8909008426</v>
          </cell>
          <cell r="C39" t="str">
            <v>COMFENALCO - ANTIOQUIA</v>
          </cell>
          <cell r="D39" t="str">
            <v>C.C.</v>
          </cell>
          <cell r="E39" t="str">
            <v>1038337600</v>
          </cell>
          <cell r="F39" t="str">
            <v>CARDONA DURANGO</v>
          </cell>
          <cell r="G39" t="str">
            <v>SEBASTIAN</v>
          </cell>
        </row>
        <row r="40">
          <cell r="A40">
            <v>1040350793</v>
          </cell>
          <cell r="B40" t="str">
            <v>8909008426</v>
          </cell>
          <cell r="C40" t="str">
            <v>COMFENALCO - ANTIOQUIA</v>
          </cell>
          <cell r="D40" t="str">
            <v>C.C.</v>
          </cell>
          <cell r="E40" t="str">
            <v>1040350793</v>
          </cell>
          <cell r="F40" t="str">
            <v>HIDALGO DURANGO</v>
          </cell>
          <cell r="G40" t="str">
            <v>MARTHA EUGENIA</v>
          </cell>
        </row>
        <row r="41">
          <cell r="A41">
            <v>1040375728</v>
          </cell>
          <cell r="B41" t="str">
            <v>8909008426</v>
          </cell>
          <cell r="C41" t="str">
            <v>COMFENALCO - ANTIOQUIA</v>
          </cell>
          <cell r="D41" t="str">
            <v>C.C.</v>
          </cell>
          <cell r="E41" t="str">
            <v>1040375728</v>
          </cell>
          <cell r="F41" t="str">
            <v>CAVADIA NEGRETE</v>
          </cell>
          <cell r="G41" t="str">
            <v>DEINER ENRIQUE</v>
          </cell>
        </row>
        <row r="42">
          <cell r="A42">
            <v>1046952074</v>
          </cell>
          <cell r="B42" t="str">
            <v>8909008426</v>
          </cell>
          <cell r="C42" t="str">
            <v>COMFENALCO - ANTIOQUIA</v>
          </cell>
          <cell r="D42" t="str">
            <v>C.C.</v>
          </cell>
          <cell r="E42" t="str">
            <v>1046952074</v>
          </cell>
          <cell r="F42" t="str">
            <v>TORRES FLOREZ</v>
          </cell>
          <cell r="G42" t="str">
            <v>RODILSON</v>
          </cell>
        </row>
        <row r="43">
          <cell r="A43">
            <v>1035700423</v>
          </cell>
          <cell r="B43" t="str">
            <v>8909008426</v>
          </cell>
          <cell r="C43" t="str">
            <v>COMFENALCO - ANTIOQUIA</v>
          </cell>
          <cell r="D43" t="str">
            <v>C.C.</v>
          </cell>
          <cell r="E43" t="str">
            <v>1035700423</v>
          </cell>
          <cell r="F43" t="str">
            <v>MORALES GUTIERREZ</v>
          </cell>
          <cell r="G43" t="str">
            <v>LEIDY YULIANA</v>
          </cell>
        </row>
        <row r="44">
          <cell r="A44">
            <v>1035305208</v>
          </cell>
          <cell r="B44" t="str">
            <v>8909008426</v>
          </cell>
          <cell r="C44" t="str">
            <v>COMFENALCO - ANTIOQUIA</v>
          </cell>
          <cell r="D44" t="str">
            <v>C.C.</v>
          </cell>
          <cell r="E44" t="str">
            <v>1035305208</v>
          </cell>
          <cell r="F44" t="str">
            <v>OQUENDO RIVERA</v>
          </cell>
          <cell r="G44" t="str">
            <v>SANTIAGO</v>
          </cell>
        </row>
        <row r="45">
          <cell r="A45">
            <v>1035305363</v>
          </cell>
          <cell r="B45" t="str">
            <v>8909008426</v>
          </cell>
          <cell r="C45" t="str">
            <v>COMFENALCO - ANTIOQUIA</v>
          </cell>
          <cell r="D45" t="str">
            <v>C.C.</v>
          </cell>
          <cell r="E45" t="str">
            <v>1035305363</v>
          </cell>
          <cell r="F45" t="str">
            <v>URREGO LONDOÑO</v>
          </cell>
          <cell r="G45" t="str">
            <v>DIANA MARCELA</v>
          </cell>
        </row>
        <row r="46">
          <cell r="A46">
            <v>1035303732</v>
          </cell>
          <cell r="B46" t="str">
            <v>8909008426</v>
          </cell>
          <cell r="C46" t="str">
            <v>COMFENALCO - ANTIOQUIA</v>
          </cell>
          <cell r="D46" t="str">
            <v>C.C.</v>
          </cell>
          <cell r="E46" t="str">
            <v>1035303732</v>
          </cell>
          <cell r="F46" t="str">
            <v>BENITEZ BENITEZ</v>
          </cell>
          <cell r="G46" t="str">
            <v>OSBAN ASDRUBAL</v>
          </cell>
        </row>
        <row r="47">
          <cell r="A47">
            <v>1035303800</v>
          </cell>
          <cell r="B47" t="str">
            <v>8909008426</v>
          </cell>
          <cell r="C47" t="str">
            <v>COMFENALCO - ANTIOQUIA</v>
          </cell>
          <cell r="D47" t="str">
            <v>C.C.</v>
          </cell>
          <cell r="E47" t="str">
            <v>1035303800</v>
          </cell>
          <cell r="F47" t="str">
            <v>CORREA HIGUITA</v>
          </cell>
          <cell r="G47" t="str">
            <v>SERGIO ALEXIS</v>
          </cell>
        </row>
        <row r="48">
          <cell r="A48">
            <v>1035303897</v>
          </cell>
          <cell r="B48" t="str">
            <v>8909008426</v>
          </cell>
          <cell r="C48" t="str">
            <v>COMFENALCO - ANTIOQUIA</v>
          </cell>
          <cell r="D48" t="str">
            <v>C.C.</v>
          </cell>
          <cell r="E48" t="str">
            <v>1035303897</v>
          </cell>
          <cell r="F48" t="str">
            <v>RESTREPO TORRES</v>
          </cell>
          <cell r="G48" t="str">
            <v>NORBEY YOBANY</v>
          </cell>
        </row>
        <row r="49">
          <cell r="A49">
            <v>1035303957</v>
          </cell>
          <cell r="B49" t="str">
            <v>8909008426</v>
          </cell>
          <cell r="C49" t="str">
            <v>COMFENALCO - ANTIOQUIA</v>
          </cell>
          <cell r="D49" t="str">
            <v>C.C.</v>
          </cell>
          <cell r="E49" t="str">
            <v>1035303957</v>
          </cell>
          <cell r="F49" t="str">
            <v>VASQUEZ GOEZ</v>
          </cell>
          <cell r="G49" t="str">
            <v>JORGE MAURICIO</v>
          </cell>
        </row>
        <row r="50">
          <cell r="A50">
            <v>1035304023</v>
          </cell>
          <cell r="B50" t="str">
            <v>8909008426</v>
          </cell>
          <cell r="C50" t="str">
            <v>COMFENALCO - ANTIOQUIA</v>
          </cell>
          <cell r="D50" t="str">
            <v>C.C.</v>
          </cell>
          <cell r="E50" t="str">
            <v>1035304023</v>
          </cell>
          <cell r="F50" t="str">
            <v>LOPERA MUÑOZ</v>
          </cell>
          <cell r="G50" t="str">
            <v>ADRIANA YULIE</v>
          </cell>
        </row>
        <row r="51">
          <cell r="A51">
            <v>1035304755</v>
          </cell>
          <cell r="B51" t="str">
            <v>8909008426</v>
          </cell>
          <cell r="C51" t="str">
            <v>COMFENALCO - ANTIOQUIA</v>
          </cell>
          <cell r="D51" t="str">
            <v>C.C.</v>
          </cell>
          <cell r="E51" t="str">
            <v>1035304755</v>
          </cell>
          <cell r="F51" t="str">
            <v>CAMPO USUGA</v>
          </cell>
          <cell r="G51" t="str">
            <v>JHOAN ESTEBAN</v>
          </cell>
        </row>
        <row r="52">
          <cell r="A52">
            <v>1035304979</v>
          </cell>
          <cell r="B52" t="str">
            <v>8909008426</v>
          </cell>
          <cell r="C52" t="str">
            <v>COMFENALCO - ANTIOQUIA</v>
          </cell>
          <cell r="D52" t="str">
            <v>C.C.</v>
          </cell>
          <cell r="E52" t="str">
            <v>1035304979</v>
          </cell>
          <cell r="F52" t="str">
            <v>FLOREZ CORREA</v>
          </cell>
          <cell r="G52" t="str">
            <v>MARIA DAMARIS</v>
          </cell>
        </row>
        <row r="53">
          <cell r="A53">
            <v>1001403732</v>
          </cell>
          <cell r="B53" t="str">
            <v>8909008426</v>
          </cell>
          <cell r="C53" t="str">
            <v>COMFENALCO - ANTIOQUIA</v>
          </cell>
          <cell r="D53" t="str">
            <v>C.C.</v>
          </cell>
          <cell r="E53" t="str">
            <v>1001403732</v>
          </cell>
          <cell r="F53" t="str">
            <v>FLOREZ FLOREZ</v>
          </cell>
          <cell r="G53" t="str">
            <v>JHONATAN</v>
          </cell>
        </row>
        <row r="54">
          <cell r="A54">
            <v>1035303086</v>
          </cell>
          <cell r="B54" t="str">
            <v>8909008426</v>
          </cell>
          <cell r="C54" t="str">
            <v>COMFENALCO - ANTIOQUIA</v>
          </cell>
          <cell r="D54" t="str">
            <v>C.C.</v>
          </cell>
          <cell r="E54" t="str">
            <v>1035303086</v>
          </cell>
          <cell r="F54" t="str">
            <v>TUBERQUIA BUILES</v>
          </cell>
          <cell r="G54" t="str">
            <v>MARIA CLAUDIA</v>
          </cell>
        </row>
        <row r="55">
          <cell r="A55">
            <v>1035303097</v>
          </cell>
          <cell r="B55" t="str">
            <v>8909008426</v>
          </cell>
          <cell r="C55" t="str">
            <v>COMFENALCO - ANTIOQUIA</v>
          </cell>
          <cell r="D55" t="str">
            <v>C.C.</v>
          </cell>
          <cell r="E55" t="str">
            <v>1035303097</v>
          </cell>
          <cell r="F55" t="str">
            <v>DURANGO PRESIGA</v>
          </cell>
          <cell r="G55" t="str">
            <v>CLAUDIA CRISTINA</v>
          </cell>
        </row>
        <row r="56">
          <cell r="A56">
            <v>1035303404</v>
          </cell>
          <cell r="B56" t="str">
            <v>8909008426</v>
          </cell>
          <cell r="C56" t="str">
            <v>COMFENALCO - ANTIOQUIA</v>
          </cell>
          <cell r="D56" t="str">
            <v>C.C.</v>
          </cell>
          <cell r="E56" t="str">
            <v>1035303404</v>
          </cell>
          <cell r="F56" t="str">
            <v>LOPERA MUÑOZ</v>
          </cell>
          <cell r="G56" t="str">
            <v>HECTOR ARNULFO</v>
          </cell>
        </row>
        <row r="57">
          <cell r="A57">
            <v>1000546852</v>
          </cell>
          <cell r="B57" t="str">
            <v>8909008426</v>
          </cell>
          <cell r="C57" t="str">
            <v>COMFENALCO - ANTIOQUIA</v>
          </cell>
          <cell r="D57" t="str">
            <v>C.C.</v>
          </cell>
          <cell r="E57" t="str">
            <v>1000546852</v>
          </cell>
          <cell r="F57" t="str">
            <v>ARBOLEDA CANO</v>
          </cell>
          <cell r="G57" t="str">
            <v>MELISA</v>
          </cell>
        </row>
        <row r="58">
          <cell r="A58">
            <v>70435988</v>
          </cell>
          <cell r="B58" t="str">
            <v>8909008426</v>
          </cell>
          <cell r="C58" t="str">
            <v>COMFENALCO - ANTIOQUIA</v>
          </cell>
          <cell r="D58" t="str">
            <v>C.C.</v>
          </cell>
          <cell r="E58" t="str">
            <v>70435988</v>
          </cell>
          <cell r="F58" t="str">
            <v>MANCO CARVAJAL</v>
          </cell>
          <cell r="G58" t="str">
            <v>JUAN FELIPE</v>
          </cell>
        </row>
        <row r="59">
          <cell r="A59">
            <v>70907542</v>
          </cell>
          <cell r="B59" t="str">
            <v>8909008426</v>
          </cell>
          <cell r="C59" t="str">
            <v>COMFENALCO - ANTIOQUIA</v>
          </cell>
          <cell r="D59" t="str">
            <v>C.C.</v>
          </cell>
          <cell r="E59" t="str">
            <v>70907542</v>
          </cell>
          <cell r="F59" t="str">
            <v>MUÑOZ LONDOÑO</v>
          </cell>
          <cell r="G59" t="str">
            <v>JOHN FREDY</v>
          </cell>
        </row>
        <row r="60">
          <cell r="A60">
            <v>71022113</v>
          </cell>
          <cell r="B60" t="str">
            <v>8909008426</v>
          </cell>
          <cell r="C60" t="str">
            <v>COMFENALCO - ANTIOQUIA</v>
          </cell>
          <cell r="D60" t="str">
            <v>C.C.</v>
          </cell>
          <cell r="E60" t="str">
            <v>71022113</v>
          </cell>
          <cell r="F60" t="str">
            <v>GUERRA BRAN</v>
          </cell>
          <cell r="G60" t="str">
            <v>NICOLAS DE JESUS</v>
          </cell>
        </row>
        <row r="61">
          <cell r="A61">
            <v>70435557</v>
          </cell>
          <cell r="B61" t="str">
            <v>8909008426</v>
          </cell>
          <cell r="C61" t="str">
            <v>COMFENALCO - ANTIOQUIA</v>
          </cell>
          <cell r="D61" t="str">
            <v>C.C.</v>
          </cell>
          <cell r="E61" t="str">
            <v>70435557</v>
          </cell>
          <cell r="F61" t="str">
            <v>MUÑOZ</v>
          </cell>
          <cell r="G61" t="str">
            <v>ROBEIRO DE JESUS</v>
          </cell>
        </row>
        <row r="62">
          <cell r="A62">
            <v>70435747</v>
          </cell>
          <cell r="B62" t="str">
            <v>8909008426</v>
          </cell>
          <cell r="C62" t="str">
            <v>COMFENALCO - ANTIOQUIA</v>
          </cell>
          <cell r="D62" t="str">
            <v>C.C.</v>
          </cell>
          <cell r="E62" t="str">
            <v>70435747</v>
          </cell>
          <cell r="F62" t="str">
            <v>RAMIREZ MALDONADO</v>
          </cell>
          <cell r="G62" t="str">
            <v>JAIDER ALEXANDER</v>
          </cell>
        </row>
        <row r="63">
          <cell r="A63">
            <v>70434285</v>
          </cell>
          <cell r="B63" t="str">
            <v>8909008426</v>
          </cell>
          <cell r="C63" t="str">
            <v>COMFENALCO - ANTIOQUIA</v>
          </cell>
          <cell r="D63" t="str">
            <v>C.C.</v>
          </cell>
          <cell r="E63" t="str">
            <v>70434285</v>
          </cell>
          <cell r="F63" t="str">
            <v>URIBE MUÑOZ</v>
          </cell>
          <cell r="G63" t="str">
            <v>ARGIRO ANTONIO</v>
          </cell>
        </row>
        <row r="64">
          <cell r="A64">
            <v>70433312</v>
          </cell>
          <cell r="B64" t="str">
            <v>8909008426</v>
          </cell>
          <cell r="C64" t="str">
            <v>COMFENALCO - ANTIOQUIA</v>
          </cell>
          <cell r="D64" t="str">
            <v>C.C.</v>
          </cell>
          <cell r="E64" t="str">
            <v>70433312</v>
          </cell>
          <cell r="F64" t="str">
            <v>LOPEZ HIGUITA</v>
          </cell>
          <cell r="G64" t="str">
            <v>AICARDO ANTONIO</v>
          </cell>
        </row>
        <row r="65">
          <cell r="A65">
            <v>70433539</v>
          </cell>
          <cell r="B65" t="str">
            <v>8909008426</v>
          </cell>
          <cell r="C65" t="str">
            <v>COMFENALCO - ANTIOQUIA</v>
          </cell>
          <cell r="D65" t="str">
            <v>C.C.</v>
          </cell>
          <cell r="E65" t="str">
            <v>70433539</v>
          </cell>
          <cell r="F65" t="str">
            <v>GONZALEZ PALACIO</v>
          </cell>
          <cell r="G65" t="str">
            <v>IVAN DARIO</v>
          </cell>
        </row>
        <row r="66">
          <cell r="A66">
            <v>21610634</v>
          </cell>
          <cell r="B66" t="str">
            <v>8909008426</v>
          </cell>
          <cell r="C66" t="str">
            <v>COMFENALCO - ANTIOQUIA</v>
          </cell>
          <cell r="D66" t="str">
            <v>C.C.</v>
          </cell>
          <cell r="E66" t="str">
            <v>21610634</v>
          </cell>
          <cell r="F66" t="str">
            <v>HIGUITA HIGUITA</v>
          </cell>
          <cell r="G66" t="str">
            <v>ROSA ADELA</v>
          </cell>
        </row>
        <row r="67">
          <cell r="A67">
            <v>21610690</v>
          </cell>
          <cell r="B67" t="str">
            <v>8909008426</v>
          </cell>
          <cell r="C67" t="str">
            <v>COMFENALCO - ANTIOQUIA</v>
          </cell>
          <cell r="D67" t="str">
            <v>C.C.</v>
          </cell>
          <cell r="E67" t="str">
            <v>21610690</v>
          </cell>
          <cell r="F67" t="str">
            <v>VILLA USUGA</v>
          </cell>
          <cell r="G67" t="str">
            <v>LUZ DARY</v>
          </cell>
        </row>
        <row r="68">
          <cell r="A68">
            <v>21611304</v>
          </cell>
          <cell r="B68" t="str">
            <v>8909008426</v>
          </cell>
          <cell r="C68" t="str">
            <v>COMFENALCO - ANTIOQUIA</v>
          </cell>
          <cell r="D68" t="str">
            <v>C.C.</v>
          </cell>
          <cell r="E68" t="str">
            <v>21611304</v>
          </cell>
          <cell r="F68" t="str">
            <v>RESTREPO VALLE</v>
          </cell>
          <cell r="G68" t="str">
            <v>MARIA LIGIA</v>
          </cell>
        </row>
        <row r="69">
          <cell r="A69">
            <v>21611431</v>
          </cell>
          <cell r="B69" t="str">
            <v>8909008426</v>
          </cell>
          <cell r="C69" t="str">
            <v>COMFENALCO - ANTIOQUIA</v>
          </cell>
          <cell r="D69" t="str">
            <v>C.C.</v>
          </cell>
          <cell r="E69" t="str">
            <v>21611431</v>
          </cell>
          <cell r="F69" t="str">
            <v>DURANGO ZAPATA</v>
          </cell>
          <cell r="G69" t="str">
            <v>EDELMIRA</v>
          </cell>
        </row>
        <row r="70">
          <cell r="A70">
            <v>21697243</v>
          </cell>
          <cell r="B70" t="str">
            <v>8909008426</v>
          </cell>
          <cell r="C70" t="str">
            <v>COMFENALCO - ANTIOQUIA</v>
          </cell>
          <cell r="D70" t="str">
            <v>C.C.</v>
          </cell>
          <cell r="E70" t="str">
            <v>21697243</v>
          </cell>
          <cell r="F70" t="str">
            <v>CORTES</v>
          </cell>
          <cell r="G70" t="str">
            <v>SILVIA MILENA</v>
          </cell>
        </row>
        <row r="71">
          <cell r="A71">
            <v>21608763</v>
          </cell>
          <cell r="B71" t="str">
            <v>8909008426</v>
          </cell>
          <cell r="C71" t="str">
            <v>COMFENALCO - ANTIOQUIA</v>
          </cell>
          <cell r="D71" t="str">
            <v>C.C.</v>
          </cell>
          <cell r="E71" t="str">
            <v>21608763</v>
          </cell>
          <cell r="F71" t="str">
            <v>DURANGO USUGA</v>
          </cell>
          <cell r="G71" t="str">
            <v>MARIA ELICENIA</v>
          </cell>
        </row>
        <row r="72">
          <cell r="A72">
            <v>6705145</v>
          </cell>
          <cell r="B72" t="str">
            <v>8909008426</v>
          </cell>
          <cell r="C72" t="str">
            <v>COMFENALCO - ANTIOQUIA</v>
          </cell>
          <cell r="D72" t="str">
            <v>C.C.</v>
          </cell>
          <cell r="E72" t="str">
            <v>6705145</v>
          </cell>
          <cell r="F72" t="str">
            <v>GUISAO</v>
          </cell>
          <cell r="G72" t="str">
            <v>MARIO DE JESUS</v>
          </cell>
        </row>
        <row r="73">
          <cell r="A73">
            <v>8317161</v>
          </cell>
          <cell r="B73" t="str">
            <v>8909008426</v>
          </cell>
          <cell r="C73" t="str">
            <v>COMFENALCO - ANTIOQUIA</v>
          </cell>
          <cell r="D73" t="str">
            <v>C.C.</v>
          </cell>
          <cell r="E73" t="str">
            <v>8317161</v>
          </cell>
          <cell r="F73" t="str">
            <v>SEPULVEDA</v>
          </cell>
          <cell r="G73" t="str">
            <v>ANTONIO MARIA</v>
          </cell>
        </row>
        <row r="74">
          <cell r="A74">
            <v>606457</v>
          </cell>
          <cell r="B74" t="str">
            <v>8909008426</v>
          </cell>
          <cell r="C74" t="str">
            <v>COMFENALCO - ANTIOQUIA</v>
          </cell>
          <cell r="D74" t="str">
            <v>C.C.</v>
          </cell>
          <cell r="E74" t="str">
            <v>606457</v>
          </cell>
          <cell r="F74" t="str">
            <v>HOLGUIN DURANGO</v>
          </cell>
          <cell r="G74" t="str">
            <v>GERARDO ANTONIO</v>
          </cell>
        </row>
        <row r="75">
          <cell r="A75">
            <v>610974</v>
          </cell>
          <cell r="B75" t="str">
            <v>8909008426</v>
          </cell>
          <cell r="C75" t="str">
            <v>COMFENALCO - ANTIOQUIA</v>
          </cell>
          <cell r="D75" t="str">
            <v>C.C.</v>
          </cell>
          <cell r="E75" t="str">
            <v>610974</v>
          </cell>
          <cell r="F75" t="str">
            <v>ARIAS RUEDA</v>
          </cell>
          <cell r="G75" t="str">
            <v>JOSE JULIAN</v>
          </cell>
        </row>
        <row r="76">
          <cell r="A76">
            <v>3430389</v>
          </cell>
          <cell r="B76" t="str">
            <v>8909008426</v>
          </cell>
          <cell r="C76" t="str">
            <v>COMFENALCO - ANTIOQUIA</v>
          </cell>
          <cell r="D76" t="str">
            <v>C.C.</v>
          </cell>
          <cell r="E76" t="str">
            <v>3430389</v>
          </cell>
          <cell r="F76" t="str">
            <v>DAVID ARTEAGA</v>
          </cell>
          <cell r="G76" t="str">
            <v>JUAN DE JESUS</v>
          </cell>
        </row>
        <row r="77">
          <cell r="A77">
            <v>3431373</v>
          </cell>
          <cell r="B77" t="str">
            <v>8909008426</v>
          </cell>
          <cell r="C77" t="str">
            <v>COMFENALCO - ANTIOQUIA</v>
          </cell>
          <cell r="D77" t="str">
            <v>C.C.</v>
          </cell>
          <cell r="E77" t="str">
            <v>3431373</v>
          </cell>
          <cell r="F77" t="str">
            <v>GARCIA</v>
          </cell>
          <cell r="G77" t="str">
            <v>ANIBAL DE JESUS</v>
          </cell>
        </row>
        <row r="78">
          <cell r="A78">
            <v>3431444</v>
          </cell>
          <cell r="B78" t="str">
            <v>8909008426</v>
          </cell>
          <cell r="C78" t="str">
            <v>COMFENALCO - ANTIOQUIA</v>
          </cell>
          <cell r="D78" t="str">
            <v>C.C.</v>
          </cell>
          <cell r="E78" t="str">
            <v>3431444</v>
          </cell>
          <cell r="F78" t="str">
            <v>MANCO CORREA</v>
          </cell>
          <cell r="G78" t="str">
            <v>ESMARAGDO ANTONIO</v>
          </cell>
        </row>
        <row r="79">
          <cell r="A79">
            <v>70418948</v>
          </cell>
          <cell r="B79" t="str">
            <v>8909008426</v>
          </cell>
          <cell r="C79" t="str">
            <v>COMFENALCO - ANTIOQUIA</v>
          </cell>
          <cell r="D79" t="str">
            <v>C.C.</v>
          </cell>
          <cell r="E79" t="str">
            <v>70418948</v>
          </cell>
          <cell r="F79" t="str">
            <v>URREGO CORREA</v>
          </cell>
          <cell r="G79" t="str">
            <v>JOHN JAIRO</v>
          </cell>
        </row>
        <row r="80">
          <cell r="A80">
            <v>43781431</v>
          </cell>
          <cell r="B80" t="str">
            <v>8909008426</v>
          </cell>
          <cell r="C80" t="str">
            <v>COMFENALCO - ANTIOQUIA</v>
          </cell>
          <cell r="D80" t="str">
            <v>C.C.</v>
          </cell>
          <cell r="E80" t="str">
            <v>43781431</v>
          </cell>
          <cell r="F80" t="str">
            <v>ARIAS MANCO</v>
          </cell>
          <cell r="G80" t="str">
            <v>OLGA ELENA</v>
          </cell>
        </row>
        <row r="81">
          <cell r="A81">
            <v>43781053</v>
          </cell>
          <cell r="B81" t="str">
            <v>8909008426</v>
          </cell>
          <cell r="C81" t="str">
            <v>COMFENALCO - ANTIOQUIA</v>
          </cell>
          <cell r="D81" t="str">
            <v>C.C.</v>
          </cell>
          <cell r="E81" t="str">
            <v>43781053</v>
          </cell>
          <cell r="F81" t="str">
            <v>AGUDELO GOMEZ</v>
          </cell>
          <cell r="G81" t="str">
            <v>GLADIS EUMELIA</v>
          </cell>
        </row>
        <row r="82">
          <cell r="A82">
            <v>43781206</v>
          </cell>
          <cell r="B82" t="str">
            <v>8909008426</v>
          </cell>
          <cell r="C82" t="str">
            <v>COMFENALCO - ANTIOQUIA</v>
          </cell>
          <cell r="D82" t="str">
            <v>C.C.</v>
          </cell>
          <cell r="E82" t="str">
            <v>43781206</v>
          </cell>
          <cell r="F82" t="str">
            <v>FERNANDEZ GAVIRIA</v>
          </cell>
          <cell r="G82" t="str">
            <v>LUCY YANET</v>
          </cell>
        </row>
        <row r="83">
          <cell r="A83">
            <v>43657358</v>
          </cell>
          <cell r="B83" t="str">
            <v>8909008426</v>
          </cell>
          <cell r="C83" t="str">
            <v>COMFENALCO - ANTIOQUIA</v>
          </cell>
          <cell r="D83" t="str">
            <v>C.C.</v>
          </cell>
          <cell r="E83" t="str">
            <v>43657358</v>
          </cell>
          <cell r="F83" t="str">
            <v>PULGARIN</v>
          </cell>
          <cell r="G83" t="str">
            <v>GLORIA DEL SOCORRO</v>
          </cell>
        </row>
        <row r="84">
          <cell r="A84">
            <v>43780299</v>
          </cell>
          <cell r="B84" t="str">
            <v>8909008426</v>
          </cell>
          <cell r="C84" t="str">
            <v>COMFENALCO - ANTIOQUIA</v>
          </cell>
          <cell r="D84" t="str">
            <v>C.C.</v>
          </cell>
          <cell r="E84" t="str">
            <v>43780299</v>
          </cell>
          <cell r="F84" t="str">
            <v>MONTOYA AGUDELO</v>
          </cell>
          <cell r="G84" t="str">
            <v>DIANA CECILIA</v>
          </cell>
        </row>
        <row r="85">
          <cell r="A85">
            <v>43780786</v>
          </cell>
          <cell r="B85" t="str">
            <v>8909008426</v>
          </cell>
          <cell r="C85" t="str">
            <v>COMFENALCO - ANTIOQUIA</v>
          </cell>
          <cell r="D85" t="str">
            <v>C.C.</v>
          </cell>
          <cell r="E85" t="str">
            <v>43780786</v>
          </cell>
          <cell r="F85" t="str">
            <v>BERRIO MANCO</v>
          </cell>
          <cell r="G85" t="str">
            <v>LUZ MERY</v>
          </cell>
        </row>
        <row r="86">
          <cell r="A86">
            <v>32544199</v>
          </cell>
          <cell r="B86" t="str">
            <v>8909008426</v>
          </cell>
          <cell r="C86" t="str">
            <v>COMFENALCO - ANTIOQUIA</v>
          </cell>
          <cell r="D86" t="str">
            <v>C.C.</v>
          </cell>
          <cell r="E86" t="str">
            <v>32544199</v>
          </cell>
          <cell r="F86" t="str">
            <v>UPEGUI DE CHAVARRIA</v>
          </cell>
          <cell r="G86" t="str">
            <v>GLORIA MARIA</v>
          </cell>
        </row>
        <row r="87">
          <cell r="A87">
            <v>43079030</v>
          </cell>
          <cell r="B87" t="str">
            <v>8909008426</v>
          </cell>
          <cell r="C87" t="str">
            <v>COMFENALCO - ANTIOQUIA</v>
          </cell>
          <cell r="D87" t="str">
            <v>C.C.</v>
          </cell>
          <cell r="E87" t="str">
            <v>43079030</v>
          </cell>
          <cell r="F87" t="str">
            <v>HIGUITA BERRIO</v>
          </cell>
          <cell r="G87" t="str">
            <v>LUZ ELENA</v>
          </cell>
        </row>
        <row r="88">
          <cell r="A88">
            <v>43485897</v>
          </cell>
          <cell r="B88" t="str">
            <v>8909008426</v>
          </cell>
          <cell r="C88" t="str">
            <v>COMFENALCO - ANTIOQUIA</v>
          </cell>
          <cell r="D88" t="str">
            <v>C.C.</v>
          </cell>
          <cell r="E88" t="str">
            <v>43485897</v>
          </cell>
          <cell r="F88" t="str">
            <v>HIGUITA VALDERRAMA</v>
          </cell>
          <cell r="G88" t="str">
            <v>MARIBEL</v>
          </cell>
        </row>
        <row r="89">
          <cell r="A89">
            <v>4378284</v>
          </cell>
          <cell r="B89" t="str">
            <v>8914800001</v>
          </cell>
          <cell r="C89" t="str">
            <v>C.C.F. DE RISARALDA - PEREIRA</v>
          </cell>
          <cell r="D89" t="str">
            <v>C.C.</v>
          </cell>
          <cell r="E89" t="str">
            <v>4378284</v>
          </cell>
          <cell r="F89" t="str">
            <v xml:space="preserve">AGUDELO LOPEZ       </v>
          </cell>
          <cell r="G89" t="str">
            <v xml:space="preserve">LUIS ANDRES         </v>
          </cell>
        </row>
      </sheetData>
      <sheetData sheetId="4"/>
      <sheetData sheetId="5"/>
      <sheetData sheetId="6">
        <row r="2">
          <cell r="B2" t="str">
            <v>RESULTADO FINAL CRUCES CON CATASTROS</v>
          </cell>
        </row>
        <row r="3">
          <cell r="A3" t="str">
            <v>IDENTIFICACIÓN</v>
          </cell>
          <cell r="B3" t="str">
            <v>NIT ENTIDAD</v>
          </cell>
          <cell r="C3" t="str">
            <v>NOMBRE ENTIDAD</v>
          </cell>
          <cell r="D3" t="str">
            <v>TIPO DOCUMENTO</v>
          </cell>
          <cell r="E3" t="str">
            <v>IDENTIFICACIÓN</v>
          </cell>
          <cell r="F3" t="str">
            <v>APELLIDOS Y NOMBRES</v>
          </cell>
          <cell r="G3" t="str">
            <v>MAS DE DOS PREDIOS</v>
          </cell>
          <cell r="H3" t="str">
            <v>CEDULA CATASTRAL</v>
          </cell>
          <cell r="I3" t="str">
            <v>DIRECCIÓN</v>
          </cell>
          <cell r="J3" t="str">
            <v>MATRICULA INMOBILIARIA</v>
          </cell>
          <cell r="K3" t="str">
            <v>DPTO.</v>
          </cell>
          <cell r="L3" t="str">
            <v>MPIO.</v>
          </cell>
        </row>
        <row r="4">
          <cell r="A4">
            <v>70430058</v>
          </cell>
          <cell r="B4" t="str">
            <v>8909002860</v>
          </cell>
          <cell r="C4" t="str">
            <v>CATASTRO ANTIOQUIA.</v>
          </cell>
          <cell r="D4" t="str">
            <v>C.C.</v>
          </cell>
          <cell r="E4" t="str">
            <v>70430058</v>
          </cell>
          <cell r="F4" t="str">
            <v xml:space="preserve">VARGAS GIRALDO                 JOSE DE JESUS       </v>
          </cell>
          <cell r="G4">
            <v>0</v>
          </cell>
          <cell r="H4" t="str">
            <v>0451002002000100038000000000</v>
          </cell>
          <cell r="I4" t="str">
            <v xml:space="preserve">CR 108 N 30-13 LT A                              </v>
          </cell>
          <cell r="J4" t="str">
            <v xml:space="preserve">008-57245      </v>
          </cell>
          <cell r="K4" t="str">
            <v>ANTIOQUIA</v>
          </cell>
          <cell r="L4" t="str">
            <v>APARTADO</v>
          </cell>
        </row>
        <row r="5">
          <cell r="A5">
            <v>98614069</v>
          </cell>
          <cell r="B5" t="str">
            <v>8909002860</v>
          </cell>
          <cell r="C5" t="str">
            <v>CATASTRO ANTIOQUIA.</v>
          </cell>
          <cell r="D5" t="str">
            <v>C.C.</v>
          </cell>
          <cell r="E5" t="str">
            <v>98614069</v>
          </cell>
          <cell r="F5" t="str">
            <v xml:space="preserve">USUGA URIBE                    HERMIS              </v>
          </cell>
          <cell r="G5">
            <v>0</v>
          </cell>
          <cell r="H5" t="str">
            <v>0452004000001700019000000000</v>
          </cell>
          <cell r="I5" t="str">
            <v xml:space="preserve">S.D.                                             </v>
          </cell>
          <cell r="J5" t="str">
            <v/>
          </cell>
          <cell r="K5" t="str">
            <v>ANTIOQUIA</v>
          </cell>
          <cell r="L5" t="str">
            <v>APARTADO</v>
          </cell>
        </row>
        <row r="6">
          <cell r="A6">
            <v>1040350793</v>
          </cell>
          <cell r="B6" t="str">
            <v>8909002860</v>
          </cell>
          <cell r="C6" t="str">
            <v>CATASTRO ANTIOQUIA.</v>
          </cell>
          <cell r="D6" t="str">
            <v>R. C.</v>
          </cell>
          <cell r="E6" t="str">
            <v>1040350793</v>
          </cell>
          <cell r="F6" t="str">
            <v xml:space="preserve">HIDALGO DURANGO                MARTHA EUGENIA      </v>
          </cell>
          <cell r="G6">
            <v>0</v>
          </cell>
          <cell r="H6" t="str">
            <v>0452003001001600009000000000</v>
          </cell>
          <cell r="I6" t="str">
            <v xml:space="preserve">CL 36 N 95A-23 AP 94 AP 7                        </v>
          </cell>
          <cell r="J6" t="str">
            <v xml:space="preserve">008-59919      </v>
          </cell>
          <cell r="K6" t="str">
            <v>ANTIOQUIA</v>
          </cell>
          <cell r="L6" t="str">
            <v>APARTADO</v>
          </cell>
        </row>
        <row r="7">
          <cell r="A7">
            <v>70432981</v>
          </cell>
          <cell r="B7" t="str">
            <v>8909002860</v>
          </cell>
          <cell r="C7" t="str">
            <v>CATASTRO ANTIOQUIA.</v>
          </cell>
          <cell r="D7" t="str">
            <v>C.C.</v>
          </cell>
          <cell r="E7" t="str">
            <v>70432981</v>
          </cell>
          <cell r="F7" t="str">
            <v xml:space="preserve">GUISAO ALCARAZ                 NOVARO ANTONIO      </v>
          </cell>
          <cell r="G7">
            <v>0</v>
          </cell>
          <cell r="H7" t="str">
            <v>0881001068001900022000000000</v>
          </cell>
          <cell r="I7" t="str">
            <v xml:space="preserve">CL 80 N 63B-50                                   </v>
          </cell>
          <cell r="J7" t="str">
            <v xml:space="preserve">01N-5252862    </v>
          </cell>
          <cell r="K7" t="str">
            <v>ANTIOQUIA</v>
          </cell>
          <cell r="L7" t="str">
            <v>BELLO</v>
          </cell>
        </row>
        <row r="8">
          <cell r="A8">
            <v>21612464</v>
          </cell>
          <cell r="B8" t="str">
            <v>8909002860</v>
          </cell>
          <cell r="C8" t="str">
            <v>CATASTRO ANTIOQUIA.</v>
          </cell>
          <cell r="D8" t="str">
            <v>C.C.</v>
          </cell>
          <cell r="E8" t="str">
            <v>21612464</v>
          </cell>
          <cell r="F8" t="str">
            <v xml:space="preserve">GIRALDO USUGA                  OLGA DE JESUS       </v>
          </cell>
          <cell r="G8">
            <v>0</v>
          </cell>
          <cell r="H8" t="str">
            <v>0881001093001200014000000000</v>
          </cell>
          <cell r="I8" t="str">
            <v xml:space="preserve">CL 26 N 80-13                                    </v>
          </cell>
          <cell r="J8" t="str">
            <v/>
          </cell>
          <cell r="K8" t="str">
            <v>ANTIOQUIA</v>
          </cell>
          <cell r="L8" t="str">
            <v>BELLO</v>
          </cell>
        </row>
        <row r="9">
          <cell r="A9">
            <v>43485733</v>
          </cell>
          <cell r="B9" t="str">
            <v>8909002860</v>
          </cell>
          <cell r="C9" t="str">
            <v>CATASTRO ANTIOQUIA.</v>
          </cell>
          <cell r="D9" t="str">
            <v>C.C.</v>
          </cell>
          <cell r="E9" t="str">
            <v>43485733</v>
          </cell>
          <cell r="F9" t="str">
            <v xml:space="preserve">CARVAJAL JARAMILLO             LUZ MARY            </v>
          </cell>
          <cell r="G9">
            <v>0</v>
          </cell>
          <cell r="H9" t="str">
            <v>0881001011003000006000000000</v>
          </cell>
          <cell r="I9" t="str">
            <v xml:space="preserve">CL 30D N 41-50                                   </v>
          </cell>
          <cell r="J9" t="str">
            <v/>
          </cell>
          <cell r="K9" t="str">
            <v>ANTIOQUIA</v>
          </cell>
          <cell r="L9" t="str">
            <v>BELLO</v>
          </cell>
        </row>
        <row r="10">
          <cell r="A10">
            <v>43780465</v>
          </cell>
          <cell r="B10" t="str">
            <v>8909002860</v>
          </cell>
          <cell r="C10" t="str">
            <v>CATASTRO ANTIOQUIA.</v>
          </cell>
          <cell r="D10" t="str">
            <v>C.C.</v>
          </cell>
          <cell r="E10" t="str">
            <v>43780465</v>
          </cell>
          <cell r="F10" t="str">
            <v xml:space="preserve">RUIZ DAVID                     NORFA NIDIA         </v>
          </cell>
          <cell r="G10">
            <v>0</v>
          </cell>
          <cell r="H10" t="str">
            <v>0882001000000300005000000000</v>
          </cell>
          <cell r="I10" t="str">
            <v xml:space="preserve">S.N                                              </v>
          </cell>
          <cell r="J10" t="str">
            <v/>
          </cell>
          <cell r="K10" t="str">
            <v>ANTIOQUIA</v>
          </cell>
          <cell r="L10" t="str">
            <v>BELLO</v>
          </cell>
        </row>
        <row r="11">
          <cell r="A11">
            <v>70433696</v>
          </cell>
          <cell r="B11" t="str">
            <v>8909002860</v>
          </cell>
          <cell r="C11" t="str">
            <v>CATASTRO ANTIOQUIA.</v>
          </cell>
          <cell r="D11" t="str">
            <v>C.C.</v>
          </cell>
          <cell r="E11" t="str">
            <v>70433696</v>
          </cell>
          <cell r="F11" t="str">
            <v xml:space="preserve">GARCIA SUAREZ                  HERNAN DE JESUS     </v>
          </cell>
          <cell r="G11">
            <v>0</v>
          </cell>
          <cell r="H11" t="str">
            <v>0881001093000900027000100001</v>
          </cell>
          <cell r="I11" t="str">
            <v xml:space="preserve">CR 79 N 21-13                                    </v>
          </cell>
          <cell r="J11" t="str">
            <v xml:space="preserve">01N-5296971    </v>
          </cell>
          <cell r="K11" t="str">
            <v>ANTIOQUIA</v>
          </cell>
          <cell r="L11" t="str">
            <v>BELLO</v>
          </cell>
        </row>
        <row r="12">
          <cell r="A12">
            <v>3413569</v>
          </cell>
          <cell r="B12" t="str">
            <v>8909002860</v>
          </cell>
          <cell r="C12" t="str">
            <v>CATASTRO ANTIOQUIA.</v>
          </cell>
          <cell r="D12" t="str">
            <v>C.C.</v>
          </cell>
          <cell r="E12" t="str">
            <v>3413569</v>
          </cell>
          <cell r="F12" t="str">
            <v xml:space="preserve">LOZANO                         HUMBERTO DE JESUS   </v>
          </cell>
          <cell r="G12">
            <v>0</v>
          </cell>
          <cell r="H12" t="str">
            <v>0932004000000100034000000000</v>
          </cell>
          <cell r="I12" t="str">
            <v xml:space="preserve">CANGREJO                                         </v>
          </cell>
          <cell r="J12" t="str">
            <v/>
          </cell>
          <cell r="K12" t="str">
            <v>ANTIOQUIA</v>
          </cell>
          <cell r="L12" t="str">
            <v>BETULIA</v>
          </cell>
        </row>
        <row r="13">
          <cell r="A13">
            <v>345599</v>
          </cell>
          <cell r="B13" t="str">
            <v>8999990619</v>
          </cell>
          <cell r="C13" t="str">
            <v>CATASTRO BOGOTA</v>
          </cell>
          <cell r="D13" t="str">
            <v>Tipo Documento No Reportado</v>
          </cell>
          <cell r="E13" t="str">
            <v>345599</v>
          </cell>
          <cell r="F13" t="str">
            <v>ROA MELO AN CLEOTILDE</v>
          </cell>
          <cell r="G13">
            <v>0</v>
          </cell>
          <cell r="H13" t="str">
            <v>202243222000000000</v>
          </cell>
          <cell r="I13" t="str">
            <v xml:space="preserve">CL 75A SUR 14C 19 ESTE                            </v>
          </cell>
          <cell r="J13" t="str">
            <v>050S40238923</v>
          </cell>
          <cell r="K13" t="str">
            <v>BOGOTA D. C.</v>
          </cell>
          <cell r="L13" t="str">
            <v>BOGOTA</v>
          </cell>
        </row>
        <row r="14">
          <cell r="A14">
            <v>21610634</v>
          </cell>
          <cell r="B14" t="str">
            <v>8909002860</v>
          </cell>
          <cell r="C14" t="str">
            <v>CATASTRO ANTIOQUIA.</v>
          </cell>
          <cell r="D14" t="str">
            <v>C.C.</v>
          </cell>
          <cell r="E14" t="str">
            <v>21610634</v>
          </cell>
          <cell r="F14" t="str">
            <v xml:space="preserve">HIGUITA HIGUITA                ROSA ADELA          </v>
          </cell>
          <cell r="G14">
            <v>0</v>
          </cell>
          <cell r="H14" t="str">
            <v>1131001001000100014000000000</v>
          </cell>
          <cell r="I14" t="str">
            <v xml:space="preserve">KR 4 N 4-24                                      </v>
          </cell>
          <cell r="J14" t="str">
            <v xml:space="preserve">024-9722       </v>
          </cell>
          <cell r="K14" t="str">
            <v>ANTIOQUIA</v>
          </cell>
          <cell r="L14" t="str">
            <v>BURITICA</v>
          </cell>
        </row>
        <row r="15">
          <cell r="A15">
            <v>3421199</v>
          </cell>
          <cell r="B15" t="str">
            <v>8909002860</v>
          </cell>
          <cell r="C15" t="str">
            <v>CATASTRO ANTIOQUIA.</v>
          </cell>
          <cell r="D15" t="str">
            <v>C.C.</v>
          </cell>
          <cell r="E15" t="str">
            <v>3421199</v>
          </cell>
          <cell r="F15" t="str">
            <v xml:space="preserve">TANGARIFE DURANGO              LEONARDO            </v>
          </cell>
          <cell r="G15">
            <v>0</v>
          </cell>
          <cell r="H15" t="str">
            <v>1132005000000600003000000000</v>
          </cell>
          <cell r="I15" t="str">
            <v xml:space="preserve">LLANO CHIQUITO                                   </v>
          </cell>
          <cell r="J15" t="str">
            <v/>
          </cell>
          <cell r="K15" t="str">
            <v>ANTIOQUIA</v>
          </cell>
          <cell r="L15" t="str">
            <v>BURITICA</v>
          </cell>
        </row>
        <row r="16">
          <cell r="A16">
            <v>6205889</v>
          </cell>
          <cell r="B16" t="str">
            <v>8903990113</v>
          </cell>
          <cell r="C16" t="str">
            <v>CATASTRO_CALI</v>
          </cell>
          <cell r="D16" t="str">
            <v>Tipo Documento No Reportado</v>
          </cell>
          <cell r="E16" t="str">
            <v>6205889</v>
          </cell>
          <cell r="F16" t="str">
            <v xml:space="preserve"> BAENA VARGAS JAIR ANTONIO</v>
          </cell>
          <cell r="G16">
            <v>0</v>
          </cell>
          <cell r="H16" t="str">
            <v>760010100149801020012000000012</v>
          </cell>
          <cell r="I16" t="str">
            <v>CL 96 A # 26 G 2 - 08</v>
          </cell>
          <cell r="J16" t="str">
            <v>417892</v>
          </cell>
          <cell r="K16" t="str">
            <v>VALLE DEL CAUCA</v>
          </cell>
          <cell r="L16" t="str">
            <v>CALI</v>
          </cell>
        </row>
        <row r="17">
          <cell r="A17">
            <v>6379999</v>
          </cell>
          <cell r="B17" t="str">
            <v>8903990113</v>
          </cell>
          <cell r="C17" t="str">
            <v>CATASTRO_CALI</v>
          </cell>
          <cell r="D17" t="str">
            <v>Tipo Documento No Reportado</v>
          </cell>
          <cell r="E17" t="str">
            <v>6379999</v>
          </cell>
          <cell r="F17" t="str">
            <v xml:space="preserve"> OLAYA CAICEDO PEDRO LUIS</v>
          </cell>
          <cell r="G17">
            <v>0</v>
          </cell>
          <cell r="H17" t="str">
            <v>760010100050301010029000000029</v>
          </cell>
          <cell r="I17" t="str">
            <v>KR 2 C # 69 - 12</v>
          </cell>
          <cell r="J17" t="str">
            <v>52865</v>
          </cell>
          <cell r="K17" t="str">
            <v>VALLE DEL CAUCA</v>
          </cell>
          <cell r="L17" t="str">
            <v>CALI</v>
          </cell>
        </row>
        <row r="18">
          <cell r="A18">
            <v>6379999</v>
          </cell>
          <cell r="B18" t="str">
            <v>8903990113</v>
          </cell>
          <cell r="C18" t="str">
            <v>CATASTRO_CALI</v>
          </cell>
          <cell r="D18" t="str">
            <v>Tipo Documento No Reportado</v>
          </cell>
          <cell r="E18" t="str">
            <v>6379999</v>
          </cell>
          <cell r="F18" t="str">
            <v xml:space="preserve"> OLAYA CAICEDO PEDRO LUIS</v>
          </cell>
          <cell r="G18">
            <v>0</v>
          </cell>
          <cell r="H18" t="str">
            <v>760010100069700690001907010121</v>
          </cell>
          <cell r="I18" t="str">
            <v>C 84 # 1 A 5 C BIS - 56 BG1 01P</v>
          </cell>
          <cell r="J18" t="str">
            <v>498310</v>
          </cell>
          <cell r="K18" t="str">
            <v>VALLE DEL CAUCA</v>
          </cell>
          <cell r="L18" t="str">
            <v>CALI</v>
          </cell>
        </row>
        <row r="19">
          <cell r="A19">
            <v>1001403850</v>
          </cell>
          <cell r="B19" t="str">
            <v>8903990113</v>
          </cell>
          <cell r="C19" t="str">
            <v>CATASTRO_CALI</v>
          </cell>
          <cell r="D19" t="str">
            <v>Tipo Documento No Reportado</v>
          </cell>
          <cell r="E19" t="str">
            <v>1001403850</v>
          </cell>
          <cell r="F19" t="str">
            <v>CALDAS ANA MILENA</v>
          </cell>
          <cell r="G19">
            <v>0</v>
          </cell>
          <cell r="H19" t="str">
            <v>760010100031300070019000000019</v>
          </cell>
          <cell r="I19" t="str">
            <v>KR 1 # 18 - 16</v>
          </cell>
          <cell r="J19" t="str">
            <v>503050</v>
          </cell>
          <cell r="K19" t="str">
            <v>VALLE DEL CAUCA</v>
          </cell>
          <cell r="L19" t="str">
            <v>CALI</v>
          </cell>
        </row>
        <row r="20">
          <cell r="A20">
            <v>613426</v>
          </cell>
          <cell r="B20" t="str">
            <v>8909002860</v>
          </cell>
          <cell r="C20" t="str">
            <v>CATASTRO ANTIOQUIA.</v>
          </cell>
          <cell r="D20" t="str">
            <v>C.C.</v>
          </cell>
          <cell r="E20" t="str">
            <v>613426</v>
          </cell>
          <cell r="F20" t="str">
            <v xml:space="preserve">QUIROZ HIGUITA                 ARGEMIRO            </v>
          </cell>
          <cell r="G20">
            <v>0</v>
          </cell>
          <cell r="H20" t="str">
            <v>1381003001000800030000000000</v>
          </cell>
          <cell r="I20" t="str">
            <v xml:space="preserve">CR 20 N 17-57/61                                 </v>
          </cell>
          <cell r="J20" t="str">
            <v xml:space="preserve">011-13689      </v>
          </cell>
          <cell r="K20" t="str">
            <v>ANTIOQUIA</v>
          </cell>
          <cell r="L20" t="str">
            <v>CAÑASGORDAS</v>
          </cell>
        </row>
        <row r="21">
          <cell r="A21">
            <v>613426</v>
          </cell>
          <cell r="B21" t="str">
            <v>8909002860</v>
          </cell>
          <cell r="C21" t="str">
            <v>CATASTRO ANTIOQUIA.</v>
          </cell>
          <cell r="D21" t="str">
            <v>C.C.</v>
          </cell>
          <cell r="E21" t="str">
            <v>613426</v>
          </cell>
          <cell r="F21" t="str">
            <v xml:space="preserve">QUIROZ HIGUITA                 ARGEMIRO            </v>
          </cell>
          <cell r="G21">
            <v>0</v>
          </cell>
          <cell r="H21" t="str">
            <v>1382003000000300020000000000</v>
          </cell>
          <cell r="I21" t="str">
            <v xml:space="preserve">S.N.                                             </v>
          </cell>
          <cell r="J21" t="str">
            <v xml:space="preserve">000-87         </v>
          </cell>
          <cell r="K21" t="str">
            <v>ANTIOQUIA</v>
          </cell>
          <cell r="L21" t="str">
            <v>CAÑASGORDAS</v>
          </cell>
        </row>
        <row r="22">
          <cell r="A22">
            <v>3423281</v>
          </cell>
          <cell r="B22" t="str">
            <v>8909002860</v>
          </cell>
          <cell r="C22" t="str">
            <v>CATASTRO ANTIOQUIA.</v>
          </cell>
          <cell r="D22" t="str">
            <v>C.C.</v>
          </cell>
          <cell r="E22" t="str">
            <v>3423281</v>
          </cell>
          <cell r="F22" t="str">
            <v xml:space="preserve">HERNANDEZ JARAMILLO            JAVIER ARTURO       </v>
          </cell>
          <cell r="G22">
            <v>0</v>
          </cell>
          <cell r="H22" t="str">
            <v>1382001000000400002000000000</v>
          </cell>
          <cell r="I22" t="str">
            <v xml:space="preserve">EL BOSQUE                                        </v>
          </cell>
          <cell r="J22" t="str">
            <v xml:space="preserve">011-17096      </v>
          </cell>
          <cell r="K22" t="str">
            <v>ANTIOQUIA</v>
          </cell>
          <cell r="L22" t="str">
            <v>CAÑASGORDAS</v>
          </cell>
        </row>
        <row r="23">
          <cell r="A23">
            <v>3423281</v>
          </cell>
          <cell r="B23" t="str">
            <v>8909002860</v>
          </cell>
          <cell r="C23" t="str">
            <v>CATASTRO ANTIOQUIA.</v>
          </cell>
          <cell r="D23" t="str">
            <v>C.C.</v>
          </cell>
          <cell r="E23" t="str">
            <v>3423281</v>
          </cell>
          <cell r="F23" t="str">
            <v xml:space="preserve">HERNANDEZ JARAMILLO            JAVIER ARTURO       </v>
          </cell>
          <cell r="G23">
            <v>0</v>
          </cell>
          <cell r="H23" t="str">
            <v>1382002000001300023000000000</v>
          </cell>
          <cell r="I23" t="str">
            <v xml:space="preserve">EL ALTO DE LA CRUZ                               </v>
          </cell>
          <cell r="J23" t="str">
            <v xml:space="preserve">011-13836      </v>
          </cell>
          <cell r="K23" t="str">
            <v>ANTIOQUIA</v>
          </cell>
          <cell r="L23" t="str">
            <v>CAÑASGORDAS</v>
          </cell>
        </row>
        <row r="24">
          <cell r="A24">
            <v>3429928</v>
          </cell>
          <cell r="B24" t="str">
            <v>8909002860</v>
          </cell>
          <cell r="C24" t="str">
            <v>CATASTRO ANTIOQUIA.</v>
          </cell>
          <cell r="D24" t="str">
            <v>C.C.</v>
          </cell>
          <cell r="E24" t="str">
            <v>3429928</v>
          </cell>
          <cell r="F24" t="str">
            <v xml:space="preserve">PULGARIN GUZMAN                ANTONIO MARIA       </v>
          </cell>
          <cell r="G24">
            <v>0</v>
          </cell>
          <cell r="H24" t="str">
            <v>1381001001004000006000000000</v>
          </cell>
          <cell r="I24" t="str">
            <v xml:space="preserve">CR 30 N 34-61                                    </v>
          </cell>
          <cell r="J24" t="str">
            <v xml:space="preserve">011-19810      </v>
          </cell>
          <cell r="K24" t="str">
            <v>ANTIOQUIA</v>
          </cell>
          <cell r="L24" t="str">
            <v>CAÑASGORDAS</v>
          </cell>
        </row>
        <row r="25">
          <cell r="A25">
            <v>3429928</v>
          </cell>
          <cell r="B25" t="str">
            <v>8909002860</v>
          </cell>
          <cell r="C25" t="str">
            <v>CATASTRO ANTIOQUIA.</v>
          </cell>
          <cell r="D25" t="str">
            <v>C.C.</v>
          </cell>
          <cell r="E25" t="str">
            <v>3429928</v>
          </cell>
          <cell r="F25" t="str">
            <v xml:space="preserve">PULGARIN GUZMAN                ANTONIO MARIA       </v>
          </cell>
          <cell r="G25">
            <v>0</v>
          </cell>
          <cell r="H25" t="str">
            <v>1382001000002800028000000000</v>
          </cell>
          <cell r="I25" t="str">
            <v xml:space="preserve">LA PE?A                                          </v>
          </cell>
          <cell r="J25" t="str">
            <v xml:space="preserve">011-14576      </v>
          </cell>
          <cell r="K25" t="str">
            <v>ANTIOQUIA</v>
          </cell>
          <cell r="L25" t="str">
            <v>CAÑASGORDAS</v>
          </cell>
        </row>
        <row r="26">
          <cell r="A26">
            <v>3429928</v>
          </cell>
          <cell r="B26" t="str">
            <v>8909002860</v>
          </cell>
          <cell r="C26" t="str">
            <v>CATASTRO ANTIOQUIA.</v>
          </cell>
          <cell r="D26" t="str">
            <v>C.C.</v>
          </cell>
          <cell r="E26" t="str">
            <v>3429928</v>
          </cell>
          <cell r="F26" t="str">
            <v xml:space="preserve">PULGARIN GUZMAN                ANTONIO MARIA       </v>
          </cell>
          <cell r="G26">
            <v>0</v>
          </cell>
          <cell r="H26" t="str">
            <v>1382004000000100014000000000</v>
          </cell>
          <cell r="I26" t="str">
            <v xml:space="preserve">EL  ENCANTO                                      </v>
          </cell>
          <cell r="J26" t="str">
            <v xml:space="preserve">011-14803      </v>
          </cell>
          <cell r="K26" t="str">
            <v>ANTIOQUIA</v>
          </cell>
          <cell r="L26" t="str">
            <v>CAÑASGORDAS</v>
          </cell>
        </row>
        <row r="27">
          <cell r="A27">
            <v>3430406</v>
          </cell>
          <cell r="B27" t="str">
            <v>8909002860</v>
          </cell>
          <cell r="C27" t="str">
            <v>CATASTRO ANTIOQUIA.</v>
          </cell>
          <cell r="D27" t="str">
            <v>C.C.</v>
          </cell>
          <cell r="E27" t="str">
            <v>3430406</v>
          </cell>
          <cell r="F27" t="str">
            <v xml:space="preserve">DURANGO USUGA                  REYNALDO ANTONIO    </v>
          </cell>
          <cell r="G27">
            <v>0</v>
          </cell>
          <cell r="H27" t="str">
            <v>1381001001004200013000000000</v>
          </cell>
          <cell r="I27" t="str">
            <v xml:space="preserve">CR 28 N 34-66                                    </v>
          </cell>
          <cell r="J27" t="str">
            <v xml:space="preserve">011-15215      </v>
          </cell>
          <cell r="K27" t="str">
            <v>ANTIOQUIA</v>
          </cell>
          <cell r="L27" t="str">
            <v>CAÑASGORDAS</v>
          </cell>
        </row>
        <row r="28">
          <cell r="A28">
            <v>3430406</v>
          </cell>
          <cell r="B28" t="str">
            <v>8909002860</v>
          </cell>
          <cell r="C28" t="str">
            <v>CATASTRO ANTIOQUIA.</v>
          </cell>
          <cell r="D28" t="str">
            <v>C.C.</v>
          </cell>
          <cell r="E28" t="str">
            <v>3430406</v>
          </cell>
          <cell r="F28" t="str">
            <v xml:space="preserve">DURANGO USUGA                  REYNALDO ANTONIO    </v>
          </cell>
          <cell r="G28">
            <v>0</v>
          </cell>
          <cell r="H28" t="str">
            <v>1382001000002400245000000000</v>
          </cell>
          <cell r="I28" t="str">
            <v xml:space="preserve">LA ESTRELLA LOTE # 1                             </v>
          </cell>
          <cell r="J28" t="str">
            <v xml:space="preserve">006-20348      </v>
          </cell>
          <cell r="K28" t="str">
            <v>ANTIOQUIA</v>
          </cell>
          <cell r="L28" t="str">
            <v>CAÑASGORDAS</v>
          </cell>
        </row>
        <row r="29">
          <cell r="A29">
            <v>3430600</v>
          </cell>
          <cell r="B29" t="str">
            <v>8909002860</v>
          </cell>
          <cell r="C29" t="str">
            <v>CATASTRO ANTIOQUIA.</v>
          </cell>
          <cell r="D29" t="str">
            <v>C.C.</v>
          </cell>
          <cell r="E29" t="str">
            <v>3430600</v>
          </cell>
          <cell r="F29" t="str">
            <v xml:space="preserve">DURANGO USUGA                  CARLOS ANTONIO      </v>
          </cell>
          <cell r="G29">
            <v>0</v>
          </cell>
          <cell r="H29" t="str">
            <v>1381001001004500004000000000</v>
          </cell>
          <cell r="I29" t="str">
            <v xml:space="preserve">CL 36 N 30-50                                    </v>
          </cell>
          <cell r="J29" t="str">
            <v/>
          </cell>
          <cell r="K29" t="str">
            <v>ANTIOQUIA</v>
          </cell>
          <cell r="L29" t="str">
            <v>CAÑASGORDAS</v>
          </cell>
        </row>
        <row r="30">
          <cell r="A30">
            <v>3430600</v>
          </cell>
          <cell r="B30" t="str">
            <v>8909002860</v>
          </cell>
          <cell r="C30" t="str">
            <v>CATASTRO ANTIOQUIA.</v>
          </cell>
          <cell r="D30" t="str">
            <v>C.C.</v>
          </cell>
          <cell r="E30" t="str">
            <v>3430600</v>
          </cell>
          <cell r="F30" t="str">
            <v xml:space="preserve">DURANGO USUGA                  CARLOS ANTONIO      </v>
          </cell>
          <cell r="G30">
            <v>0</v>
          </cell>
          <cell r="H30" t="str">
            <v>1382001000000800106000000000</v>
          </cell>
          <cell r="I30" t="str">
            <v xml:space="preserve">LA PRIMAVERA                                     </v>
          </cell>
          <cell r="J30" t="str">
            <v/>
          </cell>
          <cell r="K30" t="str">
            <v>ANTIOQUIA</v>
          </cell>
          <cell r="L30" t="str">
            <v>CAÑASGORDAS</v>
          </cell>
        </row>
        <row r="31">
          <cell r="A31">
            <v>3430670</v>
          </cell>
          <cell r="B31" t="str">
            <v>8909002860</v>
          </cell>
          <cell r="C31" t="str">
            <v>CATASTRO ANTIOQUIA.</v>
          </cell>
          <cell r="D31" t="str">
            <v>C.C.</v>
          </cell>
          <cell r="E31" t="str">
            <v>3430670</v>
          </cell>
          <cell r="F31" t="str">
            <v xml:space="preserve">TUBERQUIA                      JULIO EMILIO        </v>
          </cell>
          <cell r="G31">
            <v>0</v>
          </cell>
          <cell r="H31" t="str">
            <v>1382001000001000137000000000</v>
          </cell>
          <cell r="I31" t="str">
            <v xml:space="preserve">CL 30 N 30 - 65                                  </v>
          </cell>
          <cell r="J31" t="str">
            <v xml:space="preserve">011-19702      </v>
          </cell>
          <cell r="K31" t="str">
            <v>ANTIOQUIA</v>
          </cell>
          <cell r="L31" t="str">
            <v>CAÑASGORDAS</v>
          </cell>
        </row>
        <row r="32">
          <cell r="A32">
            <v>3430670</v>
          </cell>
          <cell r="B32" t="str">
            <v>8909002860</v>
          </cell>
          <cell r="C32" t="str">
            <v>CATASTRO ANTIOQUIA.</v>
          </cell>
          <cell r="D32" t="str">
            <v>C.C.</v>
          </cell>
          <cell r="E32" t="str">
            <v>3430670</v>
          </cell>
          <cell r="F32" t="str">
            <v xml:space="preserve">TUBERQUIA                      JULIO EMILIO        </v>
          </cell>
          <cell r="G32">
            <v>0</v>
          </cell>
          <cell r="H32" t="str">
            <v>1382001000001000138000000000</v>
          </cell>
          <cell r="I32" t="str">
            <v xml:space="preserve">S.N.                                             </v>
          </cell>
          <cell r="J32" t="str">
            <v/>
          </cell>
          <cell r="K32" t="str">
            <v>ANTIOQUIA</v>
          </cell>
          <cell r="L32" t="str">
            <v>CAÑASGORDAS</v>
          </cell>
        </row>
        <row r="33">
          <cell r="A33">
            <v>3430908</v>
          </cell>
          <cell r="B33" t="str">
            <v>8909002860</v>
          </cell>
          <cell r="C33" t="str">
            <v>CATASTRO ANTIOQUIA.</v>
          </cell>
          <cell r="D33" t="str">
            <v>C.C.</v>
          </cell>
          <cell r="E33" t="str">
            <v>3430908</v>
          </cell>
          <cell r="F33" t="str">
            <v xml:space="preserve">OSORIO HURTADO                 HERNAN ANTONIO      </v>
          </cell>
          <cell r="G33">
            <v>0</v>
          </cell>
          <cell r="H33" t="str">
            <v>1382004000000100018000000000</v>
          </cell>
          <cell r="I33" t="str">
            <v xml:space="preserve">SANTA  ELENA                                     </v>
          </cell>
          <cell r="J33" t="str">
            <v/>
          </cell>
          <cell r="K33" t="str">
            <v>ANTIOQUIA</v>
          </cell>
          <cell r="L33" t="str">
            <v>CAÑASGORDAS</v>
          </cell>
        </row>
        <row r="34">
          <cell r="A34">
            <v>3430908</v>
          </cell>
          <cell r="B34" t="str">
            <v>8909002860</v>
          </cell>
          <cell r="C34" t="str">
            <v>CATASTRO ANTIOQUIA.</v>
          </cell>
          <cell r="D34" t="str">
            <v>C.C.</v>
          </cell>
          <cell r="E34" t="str">
            <v>3430908</v>
          </cell>
          <cell r="F34" t="str">
            <v xml:space="preserve">OSORIO HURTADO                 HERNAN ANTONIO      </v>
          </cell>
          <cell r="G34">
            <v>0</v>
          </cell>
          <cell r="H34" t="str">
            <v>1382004000000100029000000000</v>
          </cell>
          <cell r="I34" t="str">
            <v xml:space="preserve">LA  ESPERANZA                                    </v>
          </cell>
          <cell r="J34" t="str">
            <v xml:space="preserve">006-62227      </v>
          </cell>
          <cell r="K34" t="str">
            <v>ANTIOQUIA</v>
          </cell>
          <cell r="L34" t="str">
            <v>CAÑASGORDAS</v>
          </cell>
        </row>
        <row r="35">
          <cell r="A35">
            <v>3431574</v>
          </cell>
          <cell r="B35" t="str">
            <v>8909002860</v>
          </cell>
          <cell r="C35" t="str">
            <v>CATASTRO ANTIOQUIA.</v>
          </cell>
          <cell r="D35" t="str">
            <v>C.C.</v>
          </cell>
          <cell r="E35" t="str">
            <v>3431574</v>
          </cell>
          <cell r="F35" t="str">
            <v xml:space="preserve">GRACIANO                       LUIS CARLOS         </v>
          </cell>
          <cell r="G35">
            <v>0</v>
          </cell>
          <cell r="H35" t="str">
            <v>1382002000001200011000000000</v>
          </cell>
          <cell r="I35" t="str">
            <v xml:space="preserve">S.N.                                             </v>
          </cell>
          <cell r="J35" t="str">
            <v xml:space="preserve">000-250        </v>
          </cell>
          <cell r="K35" t="str">
            <v>ANTIOQUIA</v>
          </cell>
          <cell r="L35" t="str">
            <v>CAÑASGORDAS</v>
          </cell>
        </row>
        <row r="36">
          <cell r="A36">
            <v>3431574</v>
          </cell>
          <cell r="B36" t="str">
            <v>8909002860</v>
          </cell>
          <cell r="C36" t="str">
            <v>CATASTRO ANTIOQUIA.</v>
          </cell>
          <cell r="D36" t="str">
            <v>C.C.</v>
          </cell>
          <cell r="E36" t="str">
            <v>3431574</v>
          </cell>
          <cell r="F36" t="str">
            <v xml:space="preserve">GRACIANO                       LUIS CARLOS         </v>
          </cell>
          <cell r="G36">
            <v>0</v>
          </cell>
          <cell r="H36" t="str">
            <v>1382002000001200017000000000</v>
          </cell>
          <cell r="I36" t="str">
            <v xml:space="preserve">LA  ASOMADERA                                    </v>
          </cell>
          <cell r="J36" t="str">
            <v/>
          </cell>
          <cell r="K36" t="str">
            <v>ANTIOQUIA</v>
          </cell>
          <cell r="L36" t="str">
            <v>CAÑASGORDAS</v>
          </cell>
        </row>
        <row r="37">
          <cell r="A37">
            <v>3431776</v>
          </cell>
          <cell r="B37" t="str">
            <v>8909002860</v>
          </cell>
          <cell r="C37" t="str">
            <v>CATASTRO ANTIOQUIA.</v>
          </cell>
          <cell r="D37" t="str">
            <v>C.C.</v>
          </cell>
          <cell r="E37" t="str">
            <v>3431776</v>
          </cell>
          <cell r="F37" t="str">
            <v xml:space="preserve">MONSALVE PUERTA                JUAN PABLO          </v>
          </cell>
          <cell r="G37">
            <v>0</v>
          </cell>
          <cell r="H37" t="str">
            <v>1381002001000700019000000000</v>
          </cell>
          <cell r="I37" t="str">
            <v xml:space="preserve">CR 20 N 23-28/30/34                              </v>
          </cell>
          <cell r="J37" t="str">
            <v xml:space="preserve">011-15964      </v>
          </cell>
          <cell r="K37" t="str">
            <v>ANTIOQUIA</v>
          </cell>
          <cell r="L37" t="str">
            <v>CAÑASGORDAS</v>
          </cell>
        </row>
        <row r="38">
          <cell r="A38">
            <v>3431776</v>
          </cell>
          <cell r="B38" t="str">
            <v>8909002860</v>
          </cell>
          <cell r="C38" t="str">
            <v>CATASTRO ANTIOQUIA.</v>
          </cell>
          <cell r="D38" t="str">
            <v>C.C.</v>
          </cell>
          <cell r="E38" t="str">
            <v>3431776</v>
          </cell>
          <cell r="F38" t="str">
            <v xml:space="preserve">MONSALVE PUERTA                JUAN PABLO          </v>
          </cell>
          <cell r="G38">
            <v>0</v>
          </cell>
          <cell r="H38" t="str">
            <v>1382003000000300046000000000</v>
          </cell>
          <cell r="I38" t="str">
            <v xml:space="preserve">SANTO DOMINGO                                    </v>
          </cell>
          <cell r="J38" t="str">
            <v xml:space="preserve">011-16242      </v>
          </cell>
          <cell r="K38" t="str">
            <v>ANTIOQUIA</v>
          </cell>
          <cell r="L38" t="str">
            <v>CAÑASGORDAS</v>
          </cell>
        </row>
        <row r="39">
          <cell r="A39">
            <v>3463519</v>
          </cell>
          <cell r="B39" t="str">
            <v>8909002860</v>
          </cell>
          <cell r="C39" t="str">
            <v>CATASTRO ANTIOQUIA.</v>
          </cell>
          <cell r="D39" t="str">
            <v>C.C.</v>
          </cell>
          <cell r="E39" t="str">
            <v>3463519</v>
          </cell>
          <cell r="F39" t="str">
            <v xml:space="preserve">DAVID           DAVID          MANUEL              </v>
          </cell>
          <cell r="G39">
            <v>0</v>
          </cell>
          <cell r="H39" t="str">
            <v>1382004000001000210000000000</v>
          </cell>
          <cell r="I39" t="str">
            <v xml:space="preserve">S.N.                                             </v>
          </cell>
          <cell r="J39" t="str">
            <v/>
          </cell>
          <cell r="K39" t="str">
            <v>ANTIOQUIA</v>
          </cell>
          <cell r="L39" t="str">
            <v>CAÑASGORDAS</v>
          </cell>
        </row>
        <row r="40">
          <cell r="A40">
            <v>3463519</v>
          </cell>
          <cell r="B40" t="str">
            <v>8909002860</v>
          </cell>
          <cell r="C40" t="str">
            <v>CATASTRO ANTIOQUIA.</v>
          </cell>
          <cell r="D40" t="str">
            <v>C.C.</v>
          </cell>
          <cell r="E40" t="str">
            <v>3463519</v>
          </cell>
          <cell r="F40" t="str">
            <v xml:space="preserve">DAVID           DAVID          MANUEL              </v>
          </cell>
          <cell r="G40">
            <v>0</v>
          </cell>
          <cell r="H40" t="str">
            <v>1382004000001000215000000000</v>
          </cell>
          <cell r="I40" t="str">
            <v xml:space="preserve">LA ILUCION                                       </v>
          </cell>
          <cell r="J40" t="str">
            <v xml:space="preserve">006-19679      </v>
          </cell>
          <cell r="K40" t="str">
            <v>ANTIOQUIA</v>
          </cell>
          <cell r="L40" t="str">
            <v>CAÑASGORDAS</v>
          </cell>
        </row>
        <row r="41">
          <cell r="A41">
            <v>8412259</v>
          </cell>
          <cell r="B41" t="str">
            <v>8909002860</v>
          </cell>
          <cell r="C41" t="str">
            <v>CATASTRO ANTIOQUIA.</v>
          </cell>
          <cell r="D41" t="str">
            <v>C.C.</v>
          </cell>
          <cell r="E41" t="str">
            <v>8412259</v>
          </cell>
          <cell r="F41" t="str">
            <v xml:space="preserve">CARVAJAL CARTAGENA             ALIRIO              </v>
          </cell>
          <cell r="G41">
            <v>0</v>
          </cell>
          <cell r="H41" t="str">
            <v>1381003001001800004000000000</v>
          </cell>
          <cell r="I41" t="str">
            <v xml:space="preserve">CR 19 N 17-04                                    </v>
          </cell>
          <cell r="J41" t="str">
            <v/>
          </cell>
          <cell r="K41" t="str">
            <v>ANTIOQUIA</v>
          </cell>
          <cell r="L41" t="str">
            <v>CAÑASGORDAS</v>
          </cell>
        </row>
        <row r="42">
          <cell r="A42">
            <v>21608763</v>
          </cell>
          <cell r="B42" t="str">
            <v>8909002860</v>
          </cell>
          <cell r="C42" t="str">
            <v>CATASTRO ANTIOQUIA.</v>
          </cell>
          <cell r="D42" t="str">
            <v>C.C.</v>
          </cell>
          <cell r="E42" t="str">
            <v>21608763</v>
          </cell>
          <cell r="F42" t="str">
            <v xml:space="preserve">DURANGO         DE GOEZ        MARIA ELISENIA      </v>
          </cell>
          <cell r="G42">
            <v>0</v>
          </cell>
          <cell r="H42" t="str">
            <v>1382004000001000203000000000</v>
          </cell>
          <cell r="I42" t="str">
            <v xml:space="preserve">S.N.                                             </v>
          </cell>
          <cell r="J42" t="str">
            <v/>
          </cell>
          <cell r="K42" t="str">
            <v>ANTIOQUIA</v>
          </cell>
          <cell r="L42" t="str">
            <v>CAÑASGORDAS</v>
          </cell>
        </row>
        <row r="43">
          <cell r="A43">
            <v>21608889</v>
          </cell>
          <cell r="B43" t="str">
            <v>8909002860</v>
          </cell>
          <cell r="C43" t="str">
            <v>CATASTRO ANTIOQUIA.</v>
          </cell>
          <cell r="D43" t="str">
            <v>C.C.</v>
          </cell>
          <cell r="E43" t="str">
            <v>21608889</v>
          </cell>
          <cell r="F43" t="str">
            <v xml:space="preserve">PEREZ           DE GARCIA      MARIA SANTOS        </v>
          </cell>
          <cell r="G43">
            <v>0</v>
          </cell>
          <cell r="H43" t="str">
            <v>1381001001005000001000000000</v>
          </cell>
          <cell r="I43" t="str">
            <v xml:space="preserve">CR 26 N 47-04                                    </v>
          </cell>
          <cell r="J43" t="str">
            <v xml:space="preserve">011-14989      </v>
          </cell>
          <cell r="K43" t="str">
            <v>ANTIOQUIA</v>
          </cell>
          <cell r="L43" t="str">
            <v>CAÑASGORDAS</v>
          </cell>
        </row>
        <row r="44">
          <cell r="A44">
            <v>21608889</v>
          </cell>
          <cell r="B44" t="str">
            <v>8909002860</v>
          </cell>
          <cell r="C44" t="str">
            <v>CATASTRO ANTIOQUIA.</v>
          </cell>
          <cell r="D44" t="str">
            <v>C.C.</v>
          </cell>
          <cell r="E44" t="str">
            <v>21608889</v>
          </cell>
          <cell r="F44" t="str">
            <v xml:space="preserve">PEREZ           DE GARCIA      MARIA SANTOS        </v>
          </cell>
          <cell r="G44">
            <v>0</v>
          </cell>
          <cell r="H44" t="str">
            <v>1382001000001900057000000000</v>
          </cell>
          <cell r="I44" t="str">
            <v xml:space="preserve">EL PASO                                          </v>
          </cell>
          <cell r="J44" t="str">
            <v/>
          </cell>
          <cell r="K44" t="str">
            <v>ANTIOQUIA</v>
          </cell>
          <cell r="L44" t="str">
            <v>CAÑASGORDAS</v>
          </cell>
        </row>
        <row r="45">
          <cell r="A45">
            <v>21609095</v>
          </cell>
          <cell r="B45" t="str">
            <v>8909002860</v>
          </cell>
          <cell r="C45" t="str">
            <v>CATASTRO ANTIOQUIA.</v>
          </cell>
          <cell r="D45" t="str">
            <v>C.C.</v>
          </cell>
          <cell r="E45" t="str">
            <v>21609095</v>
          </cell>
          <cell r="F45" t="str">
            <v xml:space="preserve">USUGA DE CAMPO                 ROSA MARIA          </v>
          </cell>
          <cell r="G45">
            <v>0</v>
          </cell>
          <cell r="H45" t="str">
            <v>1382002000001100003000000000</v>
          </cell>
          <cell r="I45" t="str">
            <v xml:space="preserve">EL  CIPRES                                       </v>
          </cell>
          <cell r="J45" t="str">
            <v xml:space="preserve">011-15895      </v>
          </cell>
          <cell r="K45" t="str">
            <v>ANTIOQUIA</v>
          </cell>
          <cell r="L45" t="str">
            <v>CAÑASGORDAS</v>
          </cell>
        </row>
        <row r="46">
          <cell r="A46">
            <v>21609148</v>
          </cell>
          <cell r="B46" t="str">
            <v>8909002860</v>
          </cell>
          <cell r="C46" t="str">
            <v>CATASTRO ANTIOQUIA.</v>
          </cell>
          <cell r="D46" t="str">
            <v>C.C.</v>
          </cell>
          <cell r="E46" t="str">
            <v>21609148</v>
          </cell>
          <cell r="F46" t="str">
            <v xml:space="preserve">HIGUITA VELASQUEZ              MARIA BERTHA        </v>
          </cell>
          <cell r="G46">
            <v>0</v>
          </cell>
          <cell r="H46" t="str">
            <v>1381001001001600010000000000</v>
          </cell>
          <cell r="I46" t="str">
            <v xml:space="preserve">CL 26 N 26-71                                    </v>
          </cell>
          <cell r="J46" t="str">
            <v xml:space="preserve">011-14084      </v>
          </cell>
          <cell r="K46" t="str">
            <v>ANTIOQUIA</v>
          </cell>
          <cell r="L46" t="str">
            <v>CAÑASGORDAS</v>
          </cell>
        </row>
        <row r="47">
          <cell r="A47">
            <v>21609148</v>
          </cell>
          <cell r="B47" t="str">
            <v>8909002860</v>
          </cell>
          <cell r="C47" t="str">
            <v>CATASTRO ANTIOQUIA.</v>
          </cell>
          <cell r="D47" t="str">
            <v>C.C.</v>
          </cell>
          <cell r="E47" t="str">
            <v>21609148</v>
          </cell>
          <cell r="F47" t="str">
            <v xml:space="preserve">HIGUITA VELASQUEZ              MARIA BERTHA        </v>
          </cell>
          <cell r="G47">
            <v>0</v>
          </cell>
          <cell r="H47" t="str">
            <v>1382001000001100026000000000</v>
          </cell>
          <cell r="I47" t="str">
            <v xml:space="preserve">LA LOMITA                                        </v>
          </cell>
          <cell r="J47" t="str">
            <v/>
          </cell>
          <cell r="K47" t="str">
            <v>ANTIOQUIA</v>
          </cell>
          <cell r="L47" t="str">
            <v>CAÑASGORDAS</v>
          </cell>
        </row>
        <row r="48">
          <cell r="A48">
            <v>21609456</v>
          </cell>
          <cell r="B48" t="str">
            <v>8909002860</v>
          </cell>
          <cell r="C48" t="str">
            <v>CATASTRO ANTIOQUIA.</v>
          </cell>
          <cell r="D48" t="str">
            <v>C.C.</v>
          </cell>
          <cell r="E48" t="str">
            <v>21609456</v>
          </cell>
          <cell r="F48" t="str">
            <v xml:space="preserve">GOEZ SEPULVEDA                 NOHEMY DE JESUS     </v>
          </cell>
          <cell r="G48">
            <v>0</v>
          </cell>
          <cell r="H48" t="str">
            <v>1382002000000300012000000000</v>
          </cell>
          <cell r="I48" t="str">
            <v xml:space="preserve">FANGADO                                          </v>
          </cell>
          <cell r="J48" t="str">
            <v xml:space="preserve">011-17732      </v>
          </cell>
          <cell r="K48" t="str">
            <v>ANTIOQUIA</v>
          </cell>
          <cell r="L48" t="str">
            <v>CAÑASGORDAS</v>
          </cell>
        </row>
        <row r="49">
          <cell r="A49">
            <v>21609743</v>
          </cell>
          <cell r="B49" t="str">
            <v>8909002860</v>
          </cell>
          <cell r="C49" t="str">
            <v>CATASTRO ANTIOQUIA.</v>
          </cell>
          <cell r="D49" t="str">
            <v>C.C.</v>
          </cell>
          <cell r="E49" t="str">
            <v>21609743</v>
          </cell>
          <cell r="F49" t="str">
            <v xml:space="preserve">DAVID           DE MANCO       MARIA GRACIELA      </v>
          </cell>
          <cell r="G49">
            <v>0</v>
          </cell>
          <cell r="H49" t="str">
            <v>1382001000002500081000000000</v>
          </cell>
          <cell r="I49" t="str">
            <v xml:space="preserve">LA FRANCIA                                       </v>
          </cell>
          <cell r="J49" t="str">
            <v xml:space="preserve">011-18777      </v>
          </cell>
          <cell r="K49" t="str">
            <v>ANTIOQUIA</v>
          </cell>
          <cell r="L49" t="str">
            <v>CAÑASGORDAS</v>
          </cell>
        </row>
        <row r="50">
          <cell r="A50">
            <v>21611140</v>
          </cell>
          <cell r="B50" t="str">
            <v>8909002860</v>
          </cell>
          <cell r="C50" t="str">
            <v>CATASTRO ANTIOQUIA.</v>
          </cell>
          <cell r="D50" t="str">
            <v>C.C.</v>
          </cell>
          <cell r="E50" t="str">
            <v>21611140</v>
          </cell>
          <cell r="F50" t="str">
            <v xml:space="preserve">LOPEZ USUGA                    LUZ MARINA          </v>
          </cell>
          <cell r="G50">
            <v>0</v>
          </cell>
          <cell r="H50" t="str">
            <v>1382001000002000004000000000</v>
          </cell>
          <cell r="I50" t="str">
            <v xml:space="preserve">EL HORMIGUERO                                    </v>
          </cell>
          <cell r="J50" t="str">
            <v xml:space="preserve">011-17165      </v>
          </cell>
          <cell r="K50" t="str">
            <v>ANTIOQUIA</v>
          </cell>
          <cell r="L50" t="str">
            <v>CAÑASGORDAS</v>
          </cell>
        </row>
        <row r="51">
          <cell r="A51">
            <v>21611140</v>
          </cell>
          <cell r="B51" t="str">
            <v>8909002860</v>
          </cell>
          <cell r="C51" t="str">
            <v>CATASTRO ANTIOQUIA.</v>
          </cell>
          <cell r="D51" t="str">
            <v>C.C.</v>
          </cell>
          <cell r="E51" t="str">
            <v>21611140</v>
          </cell>
          <cell r="F51" t="str">
            <v xml:space="preserve">LOPEZ USUGA                    LUZ MARINA          </v>
          </cell>
          <cell r="G51">
            <v>0</v>
          </cell>
          <cell r="H51" t="str">
            <v>1382002000000100005000000000</v>
          </cell>
          <cell r="I51" t="str">
            <v xml:space="preserve">BUENA  VISTA                                     </v>
          </cell>
          <cell r="J51" t="str">
            <v xml:space="preserve">011-14054      </v>
          </cell>
          <cell r="K51" t="str">
            <v>ANTIOQUIA</v>
          </cell>
          <cell r="L51" t="str">
            <v>CAÑASGORDAS</v>
          </cell>
        </row>
        <row r="52">
          <cell r="A52">
            <v>21612321</v>
          </cell>
          <cell r="B52" t="str">
            <v>8909002860</v>
          </cell>
          <cell r="C52" t="str">
            <v>CATASTRO ANTIOQUIA.</v>
          </cell>
          <cell r="D52" t="str">
            <v>C.C.</v>
          </cell>
          <cell r="E52" t="str">
            <v>21612321</v>
          </cell>
          <cell r="F52" t="str">
            <v xml:space="preserve">LOAIZA          DE URREGO      MARIA ELENA         </v>
          </cell>
          <cell r="G52">
            <v>0</v>
          </cell>
          <cell r="H52" t="str">
            <v>1382002000001300032000000000</v>
          </cell>
          <cell r="I52" t="str">
            <v xml:space="preserve">SANTO  DOMINGO                                   </v>
          </cell>
          <cell r="J52" t="str">
            <v/>
          </cell>
          <cell r="K52" t="str">
            <v>ANTIOQUIA</v>
          </cell>
          <cell r="L52" t="str">
            <v>CAÑASGORDAS</v>
          </cell>
        </row>
        <row r="53">
          <cell r="A53">
            <v>21612321</v>
          </cell>
          <cell r="B53" t="str">
            <v>8909002860</v>
          </cell>
          <cell r="C53" t="str">
            <v>CATASTRO ANTIOQUIA.</v>
          </cell>
          <cell r="D53" t="str">
            <v>C.C.</v>
          </cell>
          <cell r="E53" t="str">
            <v>21612321</v>
          </cell>
          <cell r="F53" t="str">
            <v xml:space="preserve">LOAIZA          DE URREGO      MARIA ELENA         </v>
          </cell>
          <cell r="G53">
            <v>0</v>
          </cell>
          <cell r="H53" t="str">
            <v>1382002000001300105000000000</v>
          </cell>
          <cell r="I53" t="str">
            <v xml:space="preserve">S.N.                                             </v>
          </cell>
          <cell r="J53" t="str">
            <v/>
          </cell>
          <cell r="K53" t="str">
            <v>ANTIOQUIA</v>
          </cell>
          <cell r="L53" t="str">
            <v>CAÑASGORDAS</v>
          </cell>
        </row>
        <row r="54">
          <cell r="A54">
            <v>21612349</v>
          </cell>
          <cell r="B54" t="str">
            <v>8909002860</v>
          </cell>
          <cell r="C54" t="str">
            <v>CATASTRO ANTIOQUIA.</v>
          </cell>
          <cell r="D54" t="str">
            <v>C.C.</v>
          </cell>
          <cell r="E54" t="str">
            <v>21612349</v>
          </cell>
          <cell r="F54" t="str">
            <v xml:space="preserve">MANCO           DE DAVID       ROSMIRA             </v>
          </cell>
          <cell r="G54">
            <v>0</v>
          </cell>
          <cell r="H54" t="str">
            <v>1382004000000700118000000000</v>
          </cell>
          <cell r="I54" t="str">
            <v xml:space="preserve">S.N.                                             </v>
          </cell>
          <cell r="J54" t="str">
            <v/>
          </cell>
          <cell r="K54" t="str">
            <v>ANTIOQUIA</v>
          </cell>
          <cell r="L54" t="str">
            <v>CAÑASGORDAS</v>
          </cell>
        </row>
        <row r="55">
          <cell r="A55">
            <v>21612349</v>
          </cell>
          <cell r="B55" t="str">
            <v>8909002860</v>
          </cell>
          <cell r="C55" t="str">
            <v>CATASTRO ANTIOQUIA.</v>
          </cell>
          <cell r="D55" t="str">
            <v>C.C.</v>
          </cell>
          <cell r="E55" t="str">
            <v>21612349</v>
          </cell>
          <cell r="F55" t="str">
            <v xml:space="preserve">MANCO           DE DAVID       ROSMIRA             </v>
          </cell>
          <cell r="G55">
            <v>0</v>
          </cell>
          <cell r="H55" t="str">
            <v>1382004000000700146000000000</v>
          </cell>
          <cell r="I55" t="str">
            <v xml:space="preserve">S.N.                                             </v>
          </cell>
          <cell r="J55" t="str">
            <v/>
          </cell>
          <cell r="K55" t="str">
            <v>ANTIOQUIA</v>
          </cell>
          <cell r="L55" t="str">
            <v>CAÑASGORDAS</v>
          </cell>
        </row>
        <row r="56">
          <cell r="A56">
            <v>21612454</v>
          </cell>
          <cell r="B56" t="str">
            <v>8909002860</v>
          </cell>
          <cell r="C56" t="str">
            <v>CATASTRO ANTIOQUIA.</v>
          </cell>
          <cell r="D56" t="str">
            <v>C.C.</v>
          </cell>
          <cell r="E56" t="str">
            <v>21612454</v>
          </cell>
          <cell r="F56" t="str">
            <v xml:space="preserve">MONROY DE MONROY               DELIA ROSA          </v>
          </cell>
          <cell r="G56">
            <v>0</v>
          </cell>
          <cell r="H56" t="str">
            <v>1382002000001000006000000000</v>
          </cell>
          <cell r="I56" t="str">
            <v xml:space="preserve">S.N.                                             </v>
          </cell>
          <cell r="J56" t="str">
            <v/>
          </cell>
          <cell r="K56" t="str">
            <v>ANTIOQUIA</v>
          </cell>
          <cell r="L56" t="str">
            <v>CAÑASGORDAS</v>
          </cell>
        </row>
        <row r="57">
          <cell r="A57">
            <v>21614345</v>
          </cell>
          <cell r="B57" t="str">
            <v>8909002860</v>
          </cell>
          <cell r="C57" t="str">
            <v>CATASTRO ANTIOQUIA.</v>
          </cell>
          <cell r="D57" t="str">
            <v>C.C.</v>
          </cell>
          <cell r="E57" t="str">
            <v>21614345</v>
          </cell>
          <cell r="F57" t="str">
            <v xml:space="preserve">LONDO?O URIBE                  ROSMIRA             </v>
          </cell>
          <cell r="G57">
            <v>0</v>
          </cell>
          <cell r="H57" t="str">
            <v>1381003001000800021000000000</v>
          </cell>
          <cell r="I57" t="str">
            <v xml:space="preserve">CR 21 N 17-93/95                                 </v>
          </cell>
          <cell r="J57" t="str">
            <v/>
          </cell>
          <cell r="K57" t="str">
            <v>ANTIOQUIA</v>
          </cell>
          <cell r="L57" t="str">
            <v>CAÑASGORDAS</v>
          </cell>
        </row>
        <row r="58">
          <cell r="A58">
            <v>21969442</v>
          </cell>
          <cell r="B58" t="str">
            <v>8909002860</v>
          </cell>
          <cell r="C58" t="str">
            <v>CATASTRO ANTIOQUIA.</v>
          </cell>
          <cell r="D58" t="str">
            <v>C.C.</v>
          </cell>
          <cell r="E58" t="str">
            <v>21969442</v>
          </cell>
          <cell r="F58" t="str">
            <v xml:space="preserve">VALENCIA ROJAS                 ORFA LIDIA          </v>
          </cell>
          <cell r="G58">
            <v>0</v>
          </cell>
          <cell r="H58" t="str">
            <v>1382001000000800084000000000</v>
          </cell>
          <cell r="I58" t="str">
            <v xml:space="preserve">LA SIBERIA                                       </v>
          </cell>
          <cell r="J58" t="str">
            <v xml:space="preserve">011-18746      </v>
          </cell>
          <cell r="K58" t="str">
            <v>ANTIOQUIA</v>
          </cell>
          <cell r="L58" t="str">
            <v>CAÑASGORDAS</v>
          </cell>
        </row>
        <row r="59">
          <cell r="A59">
            <v>39295184</v>
          </cell>
          <cell r="B59" t="str">
            <v>8909002860</v>
          </cell>
          <cell r="C59" t="str">
            <v>CATASTRO ANTIOQUIA.</v>
          </cell>
          <cell r="D59" t="str">
            <v>C.C.</v>
          </cell>
          <cell r="E59" t="str">
            <v>39295184</v>
          </cell>
          <cell r="F59" t="str">
            <v xml:space="preserve">URIBE URIBE                    ALICIA  DE JESUS    </v>
          </cell>
          <cell r="G59">
            <v>0</v>
          </cell>
          <cell r="H59" t="str">
            <v>1381001001007400004000100019</v>
          </cell>
          <cell r="I59" t="str">
            <v xml:space="preserve">KR 23 N 51-40 AP 103 TORRE 2                     </v>
          </cell>
          <cell r="J59" t="str">
            <v xml:space="preserve">011-20174      </v>
          </cell>
          <cell r="K59" t="str">
            <v>ANTIOQUIA</v>
          </cell>
          <cell r="L59" t="str">
            <v>CAÑASGORDAS</v>
          </cell>
        </row>
        <row r="60">
          <cell r="A60">
            <v>43780654</v>
          </cell>
          <cell r="B60" t="str">
            <v>8909002860</v>
          </cell>
          <cell r="C60" t="str">
            <v>CATASTRO ANTIOQUIA.</v>
          </cell>
          <cell r="D60" t="str">
            <v>C.C.</v>
          </cell>
          <cell r="E60" t="str">
            <v>43780654</v>
          </cell>
          <cell r="F60" t="str">
            <v xml:space="preserve">QUINTERO        DAVID          MARTA ISABEL        </v>
          </cell>
          <cell r="G60">
            <v>0</v>
          </cell>
          <cell r="H60" t="str">
            <v>1382001000001400021000000000</v>
          </cell>
          <cell r="I60" t="str">
            <v xml:space="preserve">EL PASO                                          </v>
          </cell>
          <cell r="J60" t="str">
            <v/>
          </cell>
          <cell r="K60" t="str">
            <v>ANTIOQUIA</v>
          </cell>
          <cell r="L60" t="str">
            <v>CAÑASGORDAS</v>
          </cell>
        </row>
        <row r="61">
          <cell r="A61">
            <v>43780654</v>
          </cell>
          <cell r="B61" t="str">
            <v>8909002860</v>
          </cell>
          <cell r="C61" t="str">
            <v>CATASTRO ANTIOQUIA.</v>
          </cell>
          <cell r="D61" t="str">
            <v>C.C.</v>
          </cell>
          <cell r="E61" t="str">
            <v>43780654</v>
          </cell>
          <cell r="F61" t="str">
            <v xml:space="preserve">QUINTERO        DAVID          MARTA ISABEL        </v>
          </cell>
          <cell r="G61">
            <v>0</v>
          </cell>
          <cell r="H61" t="str">
            <v>1382001000001400047000000000</v>
          </cell>
          <cell r="I61" t="str">
            <v xml:space="preserve">EL ROBLE                                         </v>
          </cell>
          <cell r="J61" t="str">
            <v/>
          </cell>
          <cell r="K61" t="str">
            <v>ANTIOQUIA</v>
          </cell>
          <cell r="L61" t="str">
            <v>CAÑASGORDAS</v>
          </cell>
        </row>
        <row r="62">
          <cell r="A62">
            <v>43780798</v>
          </cell>
          <cell r="B62" t="str">
            <v>8909002860</v>
          </cell>
          <cell r="C62" t="str">
            <v>CATASTRO ANTIOQUIA.</v>
          </cell>
          <cell r="D62" t="str">
            <v>C.C.</v>
          </cell>
          <cell r="E62" t="str">
            <v>43780798</v>
          </cell>
          <cell r="F62" t="str">
            <v xml:space="preserve">DIAZ AGUDELO                   GLORIA MARIA        </v>
          </cell>
          <cell r="G62">
            <v>0</v>
          </cell>
          <cell r="H62" t="str">
            <v>1382001000001900009000000000</v>
          </cell>
          <cell r="I62" t="str">
            <v xml:space="preserve">LA  GRACIELITA                                   </v>
          </cell>
          <cell r="J62" t="str">
            <v xml:space="preserve">011-16653      </v>
          </cell>
          <cell r="K62" t="str">
            <v>ANTIOQUIA</v>
          </cell>
          <cell r="L62" t="str">
            <v>CAÑASGORDAS</v>
          </cell>
        </row>
        <row r="63">
          <cell r="A63">
            <v>43780798</v>
          </cell>
          <cell r="B63" t="str">
            <v>8909002860</v>
          </cell>
          <cell r="C63" t="str">
            <v>CATASTRO ANTIOQUIA.</v>
          </cell>
          <cell r="D63" t="str">
            <v>C.C.</v>
          </cell>
          <cell r="E63" t="str">
            <v>43780798</v>
          </cell>
          <cell r="F63" t="str">
            <v xml:space="preserve">DIAZ AGUDELO                   GLORIA MARIA        </v>
          </cell>
          <cell r="G63">
            <v>0</v>
          </cell>
          <cell r="H63" t="str">
            <v>1382001000001900013000000000</v>
          </cell>
          <cell r="I63" t="str">
            <v xml:space="preserve">CHONTADURO                                       </v>
          </cell>
          <cell r="J63" t="str">
            <v xml:space="preserve">011-17072      </v>
          </cell>
          <cell r="K63" t="str">
            <v>ANTIOQUIA</v>
          </cell>
          <cell r="L63" t="str">
            <v>CAÑASGORDAS</v>
          </cell>
        </row>
        <row r="64">
          <cell r="A64">
            <v>43780896</v>
          </cell>
          <cell r="B64" t="str">
            <v>8909002860</v>
          </cell>
          <cell r="C64" t="str">
            <v>CATASTRO ANTIOQUIA.</v>
          </cell>
          <cell r="D64" t="str">
            <v>C.C.</v>
          </cell>
          <cell r="E64" t="str">
            <v>43780896</v>
          </cell>
          <cell r="F64" t="str">
            <v xml:space="preserve">GIRALDO         GOMEZ          MARTA ELENA         </v>
          </cell>
          <cell r="G64">
            <v>0</v>
          </cell>
          <cell r="H64" t="str">
            <v>1382002000001000012000000000</v>
          </cell>
          <cell r="I64" t="str">
            <v xml:space="preserve">BOTIJA                                           </v>
          </cell>
          <cell r="J64" t="str">
            <v/>
          </cell>
          <cell r="K64" t="str">
            <v>ANTIOQUIA</v>
          </cell>
          <cell r="L64" t="str">
            <v>CAÑASGORDAS</v>
          </cell>
        </row>
        <row r="65">
          <cell r="A65">
            <v>43780896</v>
          </cell>
          <cell r="B65" t="str">
            <v>8909002860</v>
          </cell>
          <cell r="C65" t="str">
            <v>CATASTRO ANTIOQUIA.</v>
          </cell>
          <cell r="D65" t="str">
            <v>C.C.</v>
          </cell>
          <cell r="E65" t="str">
            <v>43780896</v>
          </cell>
          <cell r="F65" t="str">
            <v xml:space="preserve">GIRALDO         GOMEZ          MARTA ELENA         </v>
          </cell>
          <cell r="G65">
            <v>0</v>
          </cell>
          <cell r="H65" t="str">
            <v>1382002000001000024000000000</v>
          </cell>
          <cell r="I65" t="str">
            <v xml:space="preserve">LA ESPERANZA                                     </v>
          </cell>
          <cell r="J65" t="str">
            <v xml:space="preserve">011-15554      </v>
          </cell>
          <cell r="K65" t="str">
            <v>ANTIOQUIA</v>
          </cell>
          <cell r="L65" t="str">
            <v>CAÑASGORDAS</v>
          </cell>
        </row>
        <row r="66">
          <cell r="A66">
            <v>43780896</v>
          </cell>
          <cell r="B66" t="str">
            <v>8909002860</v>
          </cell>
          <cell r="C66" t="str">
            <v>CATASTRO ANTIOQUIA.</v>
          </cell>
          <cell r="D66" t="str">
            <v>C.C.</v>
          </cell>
          <cell r="E66" t="str">
            <v>43780896</v>
          </cell>
          <cell r="F66" t="str">
            <v xml:space="preserve">GIRALDO         GOMEZ          MARTA ELENA         </v>
          </cell>
          <cell r="G66">
            <v>0</v>
          </cell>
          <cell r="H66" t="str">
            <v>1382002000001000025000000000</v>
          </cell>
          <cell r="I66" t="str">
            <v xml:space="preserve">ALTO BONITO                                      </v>
          </cell>
          <cell r="J66" t="str">
            <v xml:space="preserve">011-15738      </v>
          </cell>
          <cell r="K66" t="str">
            <v>ANTIOQUIA</v>
          </cell>
          <cell r="L66" t="str">
            <v>CAÑASGORDAS</v>
          </cell>
        </row>
        <row r="67">
          <cell r="A67">
            <v>70430072</v>
          </cell>
          <cell r="B67" t="str">
            <v>8909002860</v>
          </cell>
          <cell r="C67" t="str">
            <v>CATASTRO ANTIOQUIA.</v>
          </cell>
          <cell r="D67" t="str">
            <v>C.C.</v>
          </cell>
          <cell r="E67" t="str">
            <v>70430072</v>
          </cell>
          <cell r="F67" t="str">
            <v xml:space="preserve">OCAMPO          MORENO         OSCAR DE JESUS      </v>
          </cell>
          <cell r="G67">
            <v>0</v>
          </cell>
          <cell r="H67" t="str">
            <v>1382001000001800055000000000</v>
          </cell>
          <cell r="I67" t="str">
            <v xml:space="preserve">PERNILLA                                         </v>
          </cell>
          <cell r="J67" t="str">
            <v/>
          </cell>
          <cell r="K67" t="str">
            <v>ANTIOQUIA</v>
          </cell>
          <cell r="L67" t="str">
            <v>CAÑASGORDAS</v>
          </cell>
        </row>
        <row r="68">
          <cell r="A68">
            <v>70430075</v>
          </cell>
          <cell r="B68" t="str">
            <v>8909002860</v>
          </cell>
          <cell r="C68" t="str">
            <v>CATASTRO ANTIOQUIA.</v>
          </cell>
          <cell r="D68" t="str">
            <v>C.C.</v>
          </cell>
          <cell r="E68" t="str">
            <v>70430075</v>
          </cell>
          <cell r="F68" t="str">
            <v xml:space="preserve">HIGUITA         ZAPATA         GILDARDO DE JESUS   </v>
          </cell>
          <cell r="G68">
            <v>0</v>
          </cell>
          <cell r="H68" t="str">
            <v>1382001000001300016000000000</v>
          </cell>
          <cell r="I68" t="str">
            <v xml:space="preserve">LA PALMA                                         </v>
          </cell>
          <cell r="J68" t="str">
            <v/>
          </cell>
          <cell r="K68" t="str">
            <v>ANTIOQUIA</v>
          </cell>
          <cell r="L68" t="str">
            <v>CAÑASGORDAS</v>
          </cell>
        </row>
        <row r="69">
          <cell r="A69">
            <v>70430075</v>
          </cell>
          <cell r="B69" t="str">
            <v>8909002860</v>
          </cell>
          <cell r="C69" t="str">
            <v>CATASTRO ANTIOQUIA.</v>
          </cell>
          <cell r="D69" t="str">
            <v>C.C.</v>
          </cell>
          <cell r="E69" t="str">
            <v>70430075</v>
          </cell>
          <cell r="F69" t="str">
            <v xml:space="preserve">HIGUITA         ZAPATA         GILDARDO DE JESUS   </v>
          </cell>
          <cell r="G69">
            <v>0</v>
          </cell>
          <cell r="H69" t="str">
            <v>1382001000001300016000000000</v>
          </cell>
          <cell r="I69" t="str">
            <v xml:space="preserve">LA PALMA                                         </v>
          </cell>
          <cell r="J69" t="str">
            <v xml:space="preserve">011-15960      </v>
          </cell>
          <cell r="K69" t="str">
            <v>ANTIOQUIA</v>
          </cell>
          <cell r="L69" t="str">
            <v>CAÑASGORDAS</v>
          </cell>
        </row>
        <row r="70">
          <cell r="A70">
            <v>70430444</v>
          </cell>
          <cell r="B70" t="str">
            <v>8909002860</v>
          </cell>
          <cell r="C70" t="str">
            <v>CATASTRO ANTIOQUIA.</v>
          </cell>
          <cell r="D70" t="str">
            <v>C.C.</v>
          </cell>
          <cell r="E70" t="str">
            <v>70430444</v>
          </cell>
          <cell r="F70" t="str">
            <v xml:space="preserve">USUGA                          HERNANDO DE JESUS   </v>
          </cell>
          <cell r="G70">
            <v>0</v>
          </cell>
          <cell r="H70" t="str">
            <v>1382004000000700105000000000</v>
          </cell>
          <cell r="I70" t="str">
            <v xml:space="preserve">LA  CABA?A                                       </v>
          </cell>
          <cell r="J70" t="str">
            <v/>
          </cell>
          <cell r="K70" t="str">
            <v>ANTIOQUIA</v>
          </cell>
          <cell r="L70" t="str">
            <v>CAÑASGORDAS</v>
          </cell>
        </row>
        <row r="71">
          <cell r="A71">
            <v>70430444</v>
          </cell>
          <cell r="B71" t="str">
            <v>8909002860</v>
          </cell>
          <cell r="C71" t="str">
            <v>CATASTRO ANTIOQUIA.</v>
          </cell>
          <cell r="D71" t="str">
            <v>C.C.</v>
          </cell>
          <cell r="E71" t="str">
            <v>70430444</v>
          </cell>
          <cell r="F71" t="str">
            <v xml:space="preserve">USUGA                          HERNANDO DE JESUS   </v>
          </cell>
          <cell r="G71">
            <v>0</v>
          </cell>
          <cell r="H71" t="str">
            <v>1382004000001000195000000000</v>
          </cell>
          <cell r="I71" t="str">
            <v xml:space="preserve">S.N.                                             </v>
          </cell>
          <cell r="J71" t="str">
            <v/>
          </cell>
          <cell r="K71" t="str">
            <v>ANTIOQUIA</v>
          </cell>
          <cell r="L71" t="str">
            <v>CAÑASGORDAS</v>
          </cell>
        </row>
        <row r="72">
          <cell r="A72">
            <v>70430866</v>
          </cell>
          <cell r="B72" t="str">
            <v>8909002860</v>
          </cell>
          <cell r="C72" t="str">
            <v>CATASTRO ANTIOQUIA.</v>
          </cell>
          <cell r="D72" t="str">
            <v>C.C.</v>
          </cell>
          <cell r="E72" t="str">
            <v>70430866</v>
          </cell>
          <cell r="F72" t="str">
            <v xml:space="preserve">USUGA                          LUIS ANGEL          </v>
          </cell>
          <cell r="G72">
            <v>0</v>
          </cell>
          <cell r="H72" t="str">
            <v>1382003000000700002000000000</v>
          </cell>
          <cell r="I72" t="str">
            <v xml:space="preserve">LAS  CAMELIAS                                    </v>
          </cell>
          <cell r="J72" t="str">
            <v/>
          </cell>
          <cell r="K72" t="str">
            <v>ANTIOQUIA</v>
          </cell>
          <cell r="L72" t="str">
            <v>CAÑASGORDAS</v>
          </cell>
        </row>
        <row r="73">
          <cell r="A73">
            <v>70430866</v>
          </cell>
          <cell r="B73" t="str">
            <v>8909002860</v>
          </cell>
          <cell r="C73" t="str">
            <v>CATASTRO ANTIOQUIA.</v>
          </cell>
          <cell r="D73" t="str">
            <v>C.C.</v>
          </cell>
          <cell r="E73" t="str">
            <v>70430866</v>
          </cell>
          <cell r="F73" t="str">
            <v xml:space="preserve">USUGA                          LUIS ANGEL          </v>
          </cell>
          <cell r="G73">
            <v>0</v>
          </cell>
          <cell r="H73" t="str">
            <v>1382004000000900075000000000</v>
          </cell>
          <cell r="I73" t="str">
            <v xml:space="preserve">LA  MANGA                                        </v>
          </cell>
          <cell r="J73" t="str">
            <v/>
          </cell>
          <cell r="K73" t="str">
            <v>ANTIOQUIA</v>
          </cell>
          <cell r="L73" t="str">
            <v>CAÑASGORDAS</v>
          </cell>
        </row>
        <row r="74">
          <cell r="A74">
            <v>70431616</v>
          </cell>
          <cell r="B74" t="str">
            <v>8909002860</v>
          </cell>
          <cell r="C74" t="str">
            <v>CATASTRO ANTIOQUIA.</v>
          </cell>
          <cell r="D74" t="str">
            <v>C.C.</v>
          </cell>
          <cell r="E74" t="str">
            <v>70431616</v>
          </cell>
          <cell r="F74" t="str">
            <v xml:space="preserve">BRAN DURANGO                   ISRAEL ANTONIO      </v>
          </cell>
          <cell r="G74">
            <v>0</v>
          </cell>
          <cell r="H74" t="str">
            <v>1382002000000100058000000000</v>
          </cell>
          <cell r="I74" t="str">
            <v xml:space="preserve">S.N.                                             </v>
          </cell>
          <cell r="J74" t="str">
            <v/>
          </cell>
          <cell r="K74" t="str">
            <v>ANTIOQUIA</v>
          </cell>
          <cell r="L74" t="str">
            <v>CAÑASGORDAS</v>
          </cell>
        </row>
        <row r="75">
          <cell r="A75">
            <v>70431616</v>
          </cell>
          <cell r="B75" t="str">
            <v>8909002860</v>
          </cell>
          <cell r="C75" t="str">
            <v>CATASTRO ANTIOQUIA.</v>
          </cell>
          <cell r="D75" t="str">
            <v>C.C.</v>
          </cell>
          <cell r="E75" t="str">
            <v>70431616</v>
          </cell>
          <cell r="F75" t="str">
            <v xml:space="preserve">BRAN DURANGO                   ISRAEL ANTONIO      </v>
          </cell>
          <cell r="G75">
            <v>0</v>
          </cell>
          <cell r="H75" t="str">
            <v>1382002000000200011000000000</v>
          </cell>
          <cell r="I75" t="str">
            <v xml:space="preserve">EL RECUERDO                                      </v>
          </cell>
          <cell r="J75" t="str">
            <v xml:space="preserve">011-14195      </v>
          </cell>
          <cell r="K75" t="str">
            <v>ANTIOQUIA</v>
          </cell>
          <cell r="L75" t="str">
            <v>CAÑASGORDAS</v>
          </cell>
        </row>
        <row r="76">
          <cell r="A76">
            <v>70431745</v>
          </cell>
          <cell r="B76" t="str">
            <v>8909002860</v>
          </cell>
          <cell r="C76" t="str">
            <v>CATASTRO ANTIOQUIA.</v>
          </cell>
          <cell r="D76" t="str">
            <v>C.C.</v>
          </cell>
          <cell r="E76" t="str">
            <v>70431745</v>
          </cell>
          <cell r="F76" t="str">
            <v xml:space="preserve">GOEZ            SEPULVEDA      RODIMIRO DE JESUS   </v>
          </cell>
          <cell r="G76">
            <v>0</v>
          </cell>
          <cell r="H76" t="str">
            <v>1382002000000300012000000000</v>
          </cell>
          <cell r="I76" t="str">
            <v xml:space="preserve">FANGADO                                          </v>
          </cell>
          <cell r="J76" t="str">
            <v/>
          </cell>
          <cell r="K76" t="str">
            <v>ANTIOQUIA</v>
          </cell>
          <cell r="L76" t="str">
            <v>CAÑASGORDAS</v>
          </cell>
        </row>
        <row r="77">
          <cell r="A77">
            <v>70431745</v>
          </cell>
          <cell r="B77" t="str">
            <v>8909002860</v>
          </cell>
          <cell r="C77" t="str">
            <v>CATASTRO ANTIOQUIA.</v>
          </cell>
          <cell r="D77" t="str">
            <v>C.C.</v>
          </cell>
          <cell r="E77" t="str">
            <v>70431745</v>
          </cell>
          <cell r="F77" t="str">
            <v xml:space="preserve">GOEZ            SEPULVEDA      RODIMIRO DE JESUS   </v>
          </cell>
          <cell r="G77">
            <v>0</v>
          </cell>
          <cell r="H77" t="str">
            <v>1382002000000300012000000000</v>
          </cell>
          <cell r="I77" t="str">
            <v xml:space="preserve">FANGADO                                          </v>
          </cell>
          <cell r="J77" t="str">
            <v xml:space="preserve">011-17732      </v>
          </cell>
          <cell r="K77" t="str">
            <v>ANTIOQUIA</v>
          </cell>
          <cell r="L77" t="str">
            <v>CAÑASGORDAS</v>
          </cell>
        </row>
        <row r="78">
          <cell r="A78">
            <v>70432033</v>
          </cell>
          <cell r="B78" t="str">
            <v>8909002860</v>
          </cell>
          <cell r="C78" t="str">
            <v>CATASTRO ANTIOQUIA.</v>
          </cell>
          <cell r="D78" t="str">
            <v>C.C.</v>
          </cell>
          <cell r="E78" t="str">
            <v>70432033</v>
          </cell>
          <cell r="F78" t="str">
            <v xml:space="preserve">LOAIZA GOMEZ                   ANTONIO JOSE        </v>
          </cell>
          <cell r="G78">
            <v>0</v>
          </cell>
          <cell r="H78" t="str">
            <v>1382002000001400084000000000</v>
          </cell>
          <cell r="I78" t="str">
            <v xml:space="preserve">S.N.                                             </v>
          </cell>
          <cell r="J78" t="str">
            <v/>
          </cell>
          <cell r="K78" t="str">
            <v>ANTIOQUIA</v>
          </cell>
          <cell r="L78" t="str">
            <v>CAÑASGORDAS</v>
          </cell>
        </row>
        <row r="79">
          <cell r="A79">
            <v>70432033</v>
          </cell>
          <cell r="B79" t="str">
            <v>8909002860</v>
          </cell>
          <cell r="C79" t="str">
            <v>CATASTRO ANTIOQUIA.</v>
          </cell>
          <cell r="D79" t="str">
            <v>C.C.</v>
          </cell>
          <cell r="E79" t="str">
            <v>70432033</v>
          </cell>
          <cell r="F79" t="str">
            <v xml:space="preserve">LOAIZA GOMEZ                   ANTONIO JOSE        </v>
          </cell>
          <cell r="G79">
            <v>0</v>
          </cell>
          <cell r="H79" t="str">
            <v>1382004000001000019000000000</v>
          </cell>
          <cell r="I79" t="str">
            <v xml:space="preserve">S.N.                                             </v>
          </cell>
          <cell r="J79" t="str">
            <v xml:space="preserve">006-2282       </v>
          </cell>
          <cell r="K79" t="str">
            <v>ANTIOQUIA</v>
          </cell>
          <cell r="L79" t="str">
            <v>CAÑASGORDAS</v>
          </cell>
        </row>
        <row r="80">
          <cell r="A80">
            <v>70432144</v>
          </cell>
          <cell r="B80" t="str">
            <v>8909002860</v>
          </cell>
          <cell r="C80" t="str">
            <v>CATASTRO ANTIOQUIA.</v>
          </cell>
          <cell r="D80" t="str">
            <v>C.C.</v>
          </cell>
          <cell r="E80" t="str">
            <v>70432144</v>
          </cell>
          <cell r="F80" t="str">
            <v xml:space="preserve">CASTA?O GARCIA                 GUSTAVO ENRIQUE     </v>
          </cell>
          <cell r="G80">
            <v>0</v>
          </cell>
          <cell r="H80" t="str">
            <v>1381003001001100008000000000</v>
          </cell>
          <cell r="I80" t="str">
            <v xml:space="preserve">CR 20 N 18-50/52/46                              </v>
          </cell>
          <cell r="J80" t="str">
            <v xml:space="preserve">011-15765      </v>
          </cell>
          <cell r="K80" t="str">
            <v>ANTIOQUIA</v>
          </cell>
          <cell r="L80" t="str">
            <v>CAÑASGORDAS</v>
          </cell>
        </row>
        <row r="81">
          <cell r="A81">
            <v>70432144</v>
          </cell>
          <cell r="B81" t="str">
            <v>8909002860</v>
          </cell>
          <cell r="C81" t="str">
            <v>CATASTRO ANTIOQUIA.</v>
          </cell>
          <cell r="D81" t="str">
            <v>C.C.</v>
          </cell>
          <cell r="E81" t="str">
            <v>70432144</v>
          </cell>
          <cell r="F81" t="str">
            <v xml:space="preserve">CASTA?O GARCIA                 GUSTAVO ENRIQUE     </v>
          </cell>
          <cell r="G81">
            <v>0</v>
          </cell>
          <cell r="H81" t="str">
            <v>1382003000000700028000000000</v>
          </cell>
          <cell r="I81" t="str">
            <v xml:space="preserve">LA  FRANQUELINA                                  </v>
          </cell>
          <cell r="J81" t="str">
            <v xml:space="preserve">011-18666      </v>
          </cell>
          <cell r="K81" t="str">
            <v>ANTIOQUIA</v>
          </cell>
          <cell r="L81" t="str">
            <v>CAÑASGORDAS</v>
          </cell>
        </row>
        <row r="82">
          <cell r="A82">
            <v>70432981</v>
          </cell>
          <cell r="B82" t="str">
            <v>8909002860</v>
          </cell>
          <cell r="C82" t="str">
            <v>CATASTRO ANTIOQUIA.</v>
          </cell>
          <cell r="D82" t="str">
            <v>C.C.</v>
          </cell>
          <cell r="E82" t="str">
            <v>70432981</v>
          </cell>
          <cell r="F82" t="str">
            <v xml:space="preserve">GUISAO ALCARAZ                 NOVARO ANTONIO      </v>
          </cell>
          <cell r="G82">
            <v>0</v>
          </cell>
          <cell r="H82" t="str">
            <v>1382003000000800054000000000</v>
          </cell>
          <cell r="I82" t="str">
            <v xml:space="preserve">PATIO RICO                                       </v>
          </cell>
          <cell r="J82" t="str">
            <v/>
          </cell>
          <cell r="K82" t="str">
            <v>ANTIOQUIA</v>
          </cell>
          <cell r="L82" t="str">
            <v>CAÑASGORDAS</v>
          </cell>
        </row>
        <row r="83">
          <cell r="A83">
            <v>70433055</v>
          </cell>
          <cell r="B83" t="str">
            <v>8909002860</v>
          </cell>
          <cell r="C83" t="str">
            <v>CATASTRO ANTIOQUIA.</v>
          </cell>
          <cell r="D83" t="str">
            <v>C.C.</v>
          </cell>
          <cell r="E83" t="str">
            <v>70433055</v>
          </cell>
          <cell r="F83" t="str">
            <v xml:space="preserve">VELASQUEZ GUERRA               JAVIER ANTONIO      </v>
          </cell>
          <cell r="G83">
            <v>0</v>
          </cell>
          <cell r="H83" t="str">
            <v>1382001000001900001000000000</v>
          </cell>
          <cell r="I83" t="str">
            <v xml:space="preserve">CHONTADURO  VIEJO                                </v>
          </cell>
          <cell r="J83" t="str">
            <v xml:space="preserve">011-14061      </v>
          </cell>
          <cell r="K83" t="str">
            <v>ANTIOQUIA</v>
          </cell>
          <cell r="L83" t="str">
            <v>CAÑASGORDAS</v>
          </cell>
        </row>
        <row r="84">
          <cell r="A84">
            <v>70433055</v>
          </cell>
          <cell r="B84" t="str">
            <v>8909002860</v>
          </cell>
          <cell r="C84" t="str">
            <v>CATASTRO ANTIOQUIA.</v>
          </cell>
          <cell r="D84" t="str">
            <v>C.C.</v>
          </cell>
          <cell r="E84" t="str">
            <v>70433055</v>
          </cell>
          <cell r="F84" t="str">
            <v xml:space="preserve">VELASQUEZ GUERRA               JAVIER ANTONIO      </v>
          </cell>
          <cell r="G84">
            <v>0</v>
          </cell>
          <cell r="H84" t="str">
            <v>1382001000001900012000000000</v>
          </cell>
          <cell r="I84" t="str">
            <v xml:space="preserve">CHONTADURO                                       </v>
          </cell>
          <cell r="J84" t="str">
            <v xml:space="preserve">011-15179      </v>
          </cell>
          <cell r="K84" t="str">
            <v>ANTIOQUIA</v>
          </cell>
          <cell r="L84" t="str">
            <v>CAÑASGORDAS</v>
          </cell>
        </row>
        <row r="85">
          <cell r="A85">
            <v>70433055</v>
          </cell>
          <cell r="B85" t="str">
            <v>8909002860</v>
          </cell>
          <cell r="C85" t="str">
            <v>CATASTRO ANTIOQUIA.</v>
          </cell>
          <cell r="D85" t="str">
            <v>C.C.</v>
          </cell>
          <cell r="E85" t="str">
            <v>70433055</v>
          </cell>
          <cell r="F85" t="str">
            <v xml:space="preserve">VELASQUEZ GUERRA               JAVIER ANTONIO      </v>
          </cell>
          <cell r="G85">
            <v>0</v>
          </cell>
          <cell r="H85" t="str">
            <v>1382001000002700018000000000</v>
          </cell>
          <cell r="I85" t="str">
            <v xml:space="preserve">VILLA SOCORRO                                    </v>
          </cell>
          <cell r="J85" t="str">
            <v xml:space="preserve">011-17308      </v>
          </cell>
          <cell r="K85" t="str">
            <v>ANTIOQUIA</v>
          </cell>
          <cell r="L85" t="str">
            <v>CAÑASGORDAS</v>
          </cell>
        </row>
        <row r="86">
          <cell r="A86">
            <v>70433363</v>
          </cell>
          <cell r="B86" t="str">
            <v>8909002860</v>
          </cell>
          <cell r="C86" t="str">
            <v>CATASTRO ANTIOQUIA.</v>
          </cell>
          <cell r="D86" t="str">
            <v>C.C.</v>
          </cell>
          <cell r="E86" t="str">
            <v>70433363</v>
          </cell>
          <cell r="F86" t="str">
            <v xml:space="preserve">HOLGUIN DURANGO                IVAN DE JESUS       </v>
          </cell>
          <cell r="G86">
            <v>0</v>
          </cell>
          <cell r="H86" t="str">
            <v>1381001001002000011000100001</v>
          </cell>
          <cell r="I86" t="str">
            <v xml:space="preserve">DG 28 N 27-18 A 101                              </v>
          </cell>
          <cell r="J86" t="str">
            <v xml:space="preserve">011-19051      </v>
          </cell>
          <cell r="K86" t="str">
            <v>ANTIOQUIA</v>
          </cell>
          <cell r="L86" t="str">
            <v>CAÑASGORDAS</v>
          </cell>
        </row>
        <row r="87">
          <cell r="A87">
            <v>70433363</v>
          </cell>
          <cell r="B87" t="str">
            <v>8909002860</v>
          </cell>
          <cell r="C87" t="str">
            <v>CATASTRO ANTIOQUIA.</v>
          </cell>
          <cell r="D87" t="str">
            <v>C.C.</v>
          </cell>
          <cell r="E87" t="str">
            <v>70433363</v>
          </cell>
          <cell r="F87" t="str">
            <v xml:space="preserve">HOLGUIN DURANGO                IVAN DE JESUS       </v>
          </cell>
          <cell r="G87">
            <v>0</v>
          </cell>
          <cell r="H87" t="str">
            <v>1381001001002000011000100002</v>
          </cell>
          <cell r="I87" t="str">
            <v xml:space="preserve">DG 28 N 27-16 LC 1                               </v>
          </cell>
          <cell r="J87" t="str">
            <v xml:space="preserve">011-19053      </v>
          </cell>
          <cell r="K87" t="str">
            <v>ANTIOQUIA</v>
          </cell>
          <cell r="L87" t="str">
            <v>CAÑASGORDAS</v>
          </cell>
        </row>
        <row r="88">
          <cell r="A88">
            <v>70434277</v>
          </cell>
          <cell r="B88" t="str">
            <v>8909002860</v>
          </cell>
          <cell r="C88" t="str">
            <v>CATASTRO ANTIOQUIA.</v>
          </cell>
          <cell r="D88" t="str">
            <v>C.C.</v>
          </cell>
          <cell r="E88" t="str">
            <v>70434277</v>
          </cell>
          <cell r="F88" t="str">
            <v xml:space="preserve">PUERTA          GUISAO         ALIRIO DE JESUS     </v>
          </cell>
          <cell r="G88">
            <v>0</v>
          </cell>
          <cell r="H88" t="str">
            <v>1381001001001700019000000000</v>
          </cell>
          <cell r="I88" t="str">
            <v xml:space="preserve">KR 27 N 25A-31                                   </v>
          </cell>
          <cell r="J88" t="str">
            <v xml:space="preserve">011-19874      </v>
          </cell>
          <cell r="K88" t="str">
            <v>ANTIOQUIA</v>
          </cell>
          <cell r="L88" t="str">
            <v>CAÑASGORDAS</v>
          </cell>
        </row>
        <row r="89">
          <cell r="A89">
            <v>70434277</v>
          </cell>
          <cell r="B89" t="str">
            <v>8909002860</v>
          </cell>
          <cell r="C89" t="str">
            <v>CATASTRO ANTIOQUIA.</v>
          </cell>
          <cell r="D89" t="str">
            <v>C.C.</v>
          </cell>
          <cell r="E89" t="str">
            <v>70434277</v>
          </cell>
          <cell r="F89" t="str">
            <v xml:space="preserve">PUERTA          GUISAO         ALIRIO DE JESUS     </v>
          </cell>
          <cell r="G89">
            <v>0</v>
          </cell>
          <cell r="H89" t="str">
            <v>1382001000000800090000000000</v>
          </cell>
          <cell r="I89" t="str">
            <v xml:space="preserve">S.N.                                             </v>
          </cell>
          <cell r="J89" t="str">
            <v/>
          </cell>
          <cell r="K89" t="str">
            <v>ANTIOQUIA</v>
          </cell>
          <cell r="L89" t="str">
            <v>CAÑASGORDAS</v>
          </cell>
        </row>
        <row r="90">
          <cell r="A90">
            <v>70434350</v>
          </cell>
          <cell r="B90" t="str">
            <v>8909002860</v>
          </cell>
          <cell r="C90" t="str">
            <v>CATASTRO ANTIOQUIA.</v>
          </cell>
          <cell r="D90" t="str">
            <v>C.C.</v>
          </cell>
          <cell r="E90" t="str">
            <v>70434350</v>
          </cell>
          <cell r="F90" t="str">
            <v xml:space="preserve">GUISAO URREGO                  ABELARDO ANTONIO    </v>
          </cell>
          <cell r="G90">
            <v>0</v>
          </cell>
          <cell r="H90" t="str">
            <v>1381001001003700028000100001</v>
          </cell>
          <cell r="I90" t="str">
            <v xml:space="preserve">CR 30 N 33A-13                                   </v>
          </cell>
          <cell r="J90" t="str">
            <v xml:space="preserve">011-16356      </v>
          </cell>
          <cell r="K90" t="str">
            <v>ANTIOQUIA</v>
          </cell>
          <cell r="L90" t="str">
            <v>CAÑASGORDAS</v>
          </cell>
        </row>
        <row r="91">
          <cell r="A91">
            <v>70434350</v>
          </cell>
          <cell r="B91" t="str">
            <v>8909002860</v>
          </cell>
          <cell r="C91" t="str">
            <v>CATASTRO ANTIOQUIA.</v>
          </cell>
          <cell r="D91" t="str">
            <v>C.C.</v>
          </cell>
          <cell r="E91" t="str">
            <v>70434350</v>
          </cell>
          <cell r="F91" t="str">
            <v xml:space="preserve">GUISAO URREGO                  ABELARDO ANTONIO    </v>
          </cell>
          <cell r="G91">
            <v>0</v>
          </cell>
          <cell r="H91" t="str">
            <v>1381001001003700028000100004</v>
          </cell>
          <cell r="I91" t="str">
            <v xml:space="preserve">CR 30 N 33A-09                                   </v>
          </cell>
          <cell r="J91" t="str">
            <v xml:space="preserve">011-17722      </v>
          </cell>
          <cell r="K91" t="str">
            <v>ANTIOQUIA</v>
          </cell>
          <cell r="L91" t="str">
            <v>CAÑASGORDAS</v>
          </cell>
        </row>
        <row r="92">
          <cell r="A92">
            <v>70434496</v>
          </cell>
          <cell r="B92" t="str">
            <v>8909002860</v>
          </cell>
          <cell r="C92" t="str">
            <v>CATASTRO ANTIOQUIA.</v>
          </cell>
          <cell r="D92" t="str">
            <v>C.C.</v>
          </cell>
          <cell r="E92" t="str">
            <v>70434496</v>
          </cell>
          <cell r="F92" t="str">
            <v xml:space="preserve">VALDERRAMA GRACIANO            FRANCISCO JAVIER    </v>
          </cell>
          <cell r="G92">
            <v>0</v>
          </cell>
          <cell r="H92" t="str">
            <v>1381003001001100001000000000</v>
          </cell>
          <cell r="I92" t="str">
            <v xml:space="preserve">CR 20 N 18-02/04                                 </v>
          </cell>
          <cell r="J92" t="str">
            <v xml:space="preserve">011-17095      </v>
          </cell>
          <cell r="K92" t="str">
            <v>ANTIOQUIA</v>
          </cell>
          <cell r="L92" t="str">
            <v>CAÑASGORDAS</v>
          </cell>
        </row>
        <row r="93">
          <cell r="A93">
            <v>70434496</v>
          </cell>
          <cell r="B93" t="str">
            <v>8909002860</v>
          </cell>
          <cell r="C93" t="str">
            <v>CATASTRO ANTIOQUIA.</v>
          </cell>
          <cell r="D93" t="str">
            <v>C.C.</v>
          </cell>
          <cell r="E93" t="str">
            <v>70434496</v>
          </cell>
          <cell r="F93" t="str">
            <v xml:space="preserve">VALDERRAMA GRACIANO            FRANCISCO JAVIER    </v>
          </cell>
          <cell r="G93">
            <v>0</v>
          </cell>
          <cell r="H93" t="str">
            <v>1382003000000200002000000000</v>
          </cell>
          <cell r="I93" t="str">
            <v xml:space="preserve">BUENA VISTA                                      </v>
          </cell>
          <cell r="J93" t="str">
            <v/>
          </cell>
          <cell r="K93" t="str">
            <v>ANTIOQUIA</v>
          </cell>
          <cell r="L93" t="str">
            <v>CAÑASGORDAS</v>
          </cell>
        </row>
        <row r="94">
          <cell r="A94">
            <v>70434496</v>
          </cell>
          <cell r="B94" t="str">
            <v>8909002860</v>
          </cell>
          <cell r="C94" t="str">
            <v>CATASTRO ANTIOQUIA.</v>
          </cell>
          <cell r="D94" t="str">
            <v>C.C.</v>
          </cell>
          <cell r="E94" t="str">
            <v>70434496</v>
          </cell>
          <cell r="F94" t="str">
            <v xml:space="preserve">VALDERRAMA GRACIANO            FRANCISCO JAVIER    </v>
          </cell>
          <cell r="G94">
            <v>0</v>
          </cell>
          <cell r="H94" t="str">
            <v>1382003000000200014000000000</v>
          </cell>
          <cell r="I94" t="str">
            <v xml:space="preserve">S.N.                                             </v>
          </cell>
          <cell r="J94" t="str">
            <v/>
          </cell>
          <cell r="K94" t="str">
            <v>ANTIOQUIA</v>
          </cell>
          <cell r="L94" t="str">
            <v>CAÑASGORDAS</v>
          </cell>
        </row>
        <row r="95">
          <cell r="A95">
            <v>70435316</v>
          </cell>
          <cell r="B95" t="str">
            <v>8909002860</v>
          </cell>
          <cell r="C95" t="str">
            <v>CATASTRO ANTIOQUIA.</v>
          </cell>
          <cell r="D95" t="str">
            <v>C.C.</v>
          </cell>
          <cell r="E95" t="str">
            <v>70435316</v>
          </cell>
          <cell r="F95" t="str">
            <v xml:space="preserve">QUINCHIA ARIAS                 EDUAR LEDIS         </v>
          </cell>
          <cell r="G95">
            <v>0</v>
          </cell>
          <cell r="H95" t="str">
            <v>1381001001004100038000000000</v>
          </cell>
          <cell r="I95" t="str">
            <v xml:space="preserve">KR 30 N 36-50                                    </v>
          </cell>
          <cell r="J95" t="str">
            <v xml:space="preserve">011-16871      </v>
          </cell>
          <cell r="K95" t="str">
            <v>ANTIOQUIA</v>
          </cell>
          <cell r="L95" t="str">
            <v>CAÑASGORDAS</v>
          </cell>
        </row>
        <row r="96">
          <cell r="A96">
            <v>70435316</v>
          </cell>
          <cell r="B96" t="str">
            <v>8909002860</v>
          </cell>
          <cell r="C96" t="str">
            <v>CATASTRO ANTIOQUIA.</v>
          </cell>
          <cell r="D96" t="str">
            <v>C.C.</v>
          </cell>
          <cell r="E96" t="str">
            <v>70435316</v>
          </cell>
          <cell r="F96" t="str">
            <v xml:space="preserve">QUINCHIA ARIAS                 EDUAR LEDIS         </v>
          </cell>
          <cell r="G96">
            <v>0</v>
          </cell>
          <cell r="H96" t="str">
            <v>1382001000002400035000000000</v>
          </cell>
          <cell r="I96" t="str">
            <v xml:space="preserve">LA SABANITA                                      </v>
          </cell>
          <cell r="J96" t="str">
            <v xml:space="preserve">011-18557      </v>
          </cell>
          <cell r="K96" t="str">
            <v>ANTIOQUIA</v>
          </cell>
          <cell r="L96" t="str">
            <v>CAÑASGORDAS</v>
          </cell>
        </row>
        <row r="97">
          <cell r="A97">
            <v>70436075</v>
          </cell>
          <cell r="B97" t="str">
            <v>8909002860</v>
          </cell>
          <cell r="C97" t="str">
            <v>CATASTRO ANTIOQUIA.</v>
          </cell>
          <cell r="D97" t="str">
            <v>C.C.</v>
          </cell>
          <cell r="E97" t="str">
            <v>70436075</v>
          </cell>
          <cell r="F97" t="str">
            <v xml:space="preserve">ALCARAZ         CARTAGENA      IVAN DARIO          </v>
          </cell>
          <cell r="G97">
            <v>0</v>
          </cell>
          <cell r="H97" t="str">
            <v>1382004000000700148000000000</v>
          </cell>
          <cell r="I97" t="str">
            <v xml:space="preserve">S.N.                                             </v>
          </cell>
          <cell r="J97" t="str">
            <v/>
          </cell>
          <cell r="K97" t="str">
            <v>ANTIOQUIA</v>
          </cell>
          <cell r="L97" t="str">
            <v>CAÑASGORDAS</v>
          </cell>
        </row>
        <row r="98">
          <cell r="A98">
            <v>70436075</v>
          </cell>
          <cell r="B98" t="str">
            <v>8909002860</v>
          </cell>
          <cell r="C98" t="str">
            <v>CATASTRO ANTIOQUIA.</v>
          </cell>
          <cell r="D98" t="str">
            <v>C.C.</v>
          </cell>
          <cell r="E98" t="str">
            <v>70436075</v>
          </cell>
          <cell r="F98" t="str">
            <v xml:space="preserve">ALCARAZ         CARTAGENA      IVAN DARIO          </v>
          </cell>
          <cell r="G98">
            <v>0</v>
          </cell>
          <cell r="H98" t="str">
            <v>1382004000001000026000000000</v>
          </cell>
          <cell r="I98" t="str">
            <v xml:space="preserve">BELLA VISTA                                      </v>
          </cell>
          <cell r="J98" t="str">
            <v/>
          </cell>
          <cell r="K98" t="str">
            <v>ANTIOQUIA</v>
          </cell>
          <cell r="L98" t="str">
            <v>CAÑASGORDAS</v>
          </cell>
        </row>
        <row r="99">
          <cell r="A99">
            <v>71934974</v>
          </cell>
          <cell r="B99" t="str">
            <v>8909002860</v>
          </cell>
          <cell r="C99" t="str">
            <v>CATASTRO ANTIOQUIA.</v>
          </cell>
          <cell r="D99" t="str">
            <v>C.C.</v>
          </cell>
          <cell r="E99" t="str">
            <v>71934974</v>
          </cell>
          <cell r="F99" t="str">
            <v xml:space="preserve">TABARES USUGA                  JOSE LEONEL         </v>
          </cell>
          <cell r="G99">
            <v>0</v>
          </cell>
          <cell r="H99" t="str">
            <v>1381001001000500021000000000</v>
          </cell>
          <cell r="I99" t="str">
            <v xml:space="preserve">CR 30 N 23A-440                                  </v>
          </cell>
          <cell r="J99" t="str">
            <v xml:space="preserve">011-17071      </v>
          </cell>
          <cell r="K99" t="str">
            <v>ANTIOQUIA</v>
          </cell>
          <cell r="L99" t="str">
            <v>CAÑASGORDAS</v>
          </cell>
        </row>
        <row r="100">
          <cell r="A100">
            <v>71934974</v>
          </cell>
          <cell r="B100" t="str">
            <v>8909002860</v>
          </cell>
          <cell r="C100" t="str">
            <v>CATASTRO ANTIOQUIA.</v>
          </cell>
          <cell r="D100" t="str">
            <v>C.C.</v>
          </cell>
          <cell r="E100" t="str">
            <v>71934974</v>
          </cell>
          <cell r="F100" t="str">
            <v xml:space="preserve">TABARES USUGA                  JOSE LEONEL         </v>
          </cell>
          <cell r="G100">
            <v>0</v>
          </cell>
          <cell r="H100" t="str">
            <v>1382001000000500046000000000</v>
          </cell>
          <cell r="I100" t="str">
            <v xml:space="preserve">LA AMOLADORA                                     </v>
          </cell>
          <cell r="J100" t="str">
            <v xml:space="preserve">011-17395      </v>
          </cell>
          <cell r="K100" t="str">
            <v>ANTIOQUIA</v>
          </cell>
          <cell r="L100" t="str">
            <v>CAÑASGORDAS</v>
          </cell>
        </row>
        <row r="101">
          <cell r="A101">
            <v>71976025</v>
          </cell>
          <cell r="B101" t="str">
            <v>8909002860</v>
          </cell>
          <cell r="C101" t="str">
            <v>CATASTRO ANTIOQUIA.</v>
          </cell>
          <cell r="D101" t="str">
            <v>C.C.</v>
          </cell>
          <cell r="E101" t="str">
            <v>71976025</v>
          </cell>
          <cell r="F101" t="str">
            <v xml:space="preserve">RUEDA MANCO                    HORACIO DE JESUS    </v>
          </cell>
          <cell r="G101">
            <v>0</v>
          </cell>
          <cell r="H101" t="str">
            <v>1382004000000800029000000000</v>
          </cell>
          <cell r="I101" t="str">
            <v xml:space="preserve">BUENAVISTA                                       </v>
          </cell>
          <cell r="J101" t="str">
            <v xml:space="preserve">011-15486      </v>
          </cell>
          <cell r="K101" t="str">
            <v>ANTIOQUIA</v>
          </cell>
          <cell r="L101" t="str">
            <v>CAÑASGORDAS</v>
          </cell>
        </row>
        <row r="102">
          <cell r="A102">
            <v>71976025</v>
          </cell>
          <cell r="B102" t="str">
            <v>8909002860</v>
          </cell>
          <cell r="C102" t="str">
            <v>CATASTRO ANTIOQUIA.</v>
          </cell>
          <cell r="D102" t="str">
            <v>C.C.</v>
          </cell>
          <cell r="E102" t="str">
            <v>71976025</v>
          </cell>
          <cell r="F102" t="str">
            <v xml:space="preserve">RUEDA MANCO                    HORACIO DE JESUS    </v>
          </cell>
          <cell r="G102">
            <v>0</v>
          </cell>
          <cell r="H102" t="str">
            <v>1382004000000800030000000000</v>
          </cell>
          <cell r="I102" t="str">
            <v xml:space="preserve">BUENA VISTA                                      </v>
          </cell>
          <cell r="J102" t="str">
            <v/>
          </cell>
          <cell r="K102" t="str">
            <v>ANTIOQUIA</v>
          </cell>
          <cell r="L102" t="str">
            <v>CAÑASGORDAS</v>
          </cell>
        </row>
        <row r="103">
          <cell r="A103">
            <v>98529209</v>
          </cell>
          <cell r="B103" t="str">
            <v>8909002860</v>
          </cell>
          <cell r="C103" t="str">
            <v>CATASTRO ANTIOQUIA.</v>
          </cell>
          <cell r="D103" t="str">
            <v>C.C.</v>
          </cell>
          <cell r="E103" t="str">
            <v>98529209</v>
          </cell>
          <cell r="F103" t="str">
            <v xml:space="preserve">FLOREZ ZAPATA                  LEON AUGUSTO        </v>
          </cell>
          <cell r="G103">
            <v>0</v>
          </cell>
          <cell r="H103" t="str">
            <v>1382001000002900079000000000</v>
          </cell>
          <cell r="I103" t="str">
            <v xml:space="preserve">BARRANCON                                        </v>
          </cell>
          <cell r="J103" t="str">
            <v/>
          </cell>
          <cell r="K103" t="str">
            <v>ANTIOQUIA</v>
          </cell>
          <cell r="L103" t="str">
            <v>CAÑASGORDAS</v>
          </cell>
        </row>
        <row r="104">
          <cell r="A104">
            <v>98529209</v>
          </cell>
          <cell r="B104" t="str">
            <v>8909002860</v>
          </cell>
          <cell r="C104" t="str">
            <v>CATASTRO ANTIOQUIA.</v>
          </cell>
          <cell r="D104" t="str">
            <v>C.C.</v>
          </cell>
          <cell r="E104" t="str">
            <v>98529209</v>
          </cell>
          <cell r="F104" t="str">
            <v xml:space="preserve">FLOREZ ZAPATA                  LEON AUGUSTO        </v>
          </cell>
          <cell r="G104">
            <v>0</v>
          </cell>
          <cell r="H104" t="str">
            <v>1382004000000500012000000000</v>
          </cell>
          <cell r="I104" t="str">
            <v xml:space="preserve">LA  ESTERLINA                                    </v>
          </cell>
          <cell r="J104" t="str">
            <v xml:space="preserve">011-17603      </v>
          </cell>
          <cell r="K104" t="str">
            <v>ANTIOQUIA</v>
          </cell>
          <cell r="L104" t="str">
            <v>CAÑASGORDAS</v>
          </cell>
        </row>
        <row r="105">
          <cell r="A105">
            <v>1035302893</v>
          </cell>
          <cell r="B105" t="str">
            <v>8909002860</v>
          </cell>
          <cell r="C105" t="str">
            <v>CATASTRO ANTIOQUIA.</v>
          </cell>
          <cell r="D105" t="str">
            <v>R. C.</v>
          </cell>
          <cell r="E105" t="str">
            <v>1035302893</v>
          </cell>
          <cell r="F105" t="str">
            <v xml:space="preserve">MANCO VALENCIA                 URIEL ESTEBAN       </v>
          </cell>
          <cell r="G105">
            <v>0</v>
          </cell>
          <cell r="H105" t="str">
            <v>1381001001004500009000000000</v>
          </cell>
          <cell r="I105" t="str">
            <v xml:space="preserve">CL 36 N 30-42 INT 102                            </v>
          </cell>
          <cell r="J105" t="str">
            <v xml:space="preserve">011-17620      </v>
          </cell>
          <cell r="K105" t="str">
            <v>ANTIOQUIA</v>
          </cell>
          <cell r="L105" t="str">
            <v>CAÑASGORDAS</v>
          </cell>
        </row>
        <row r="106">
          <cell r="A106">
            <v>1035302893</v>
          </cell>
          <cell r="B106" t="str">
            <v>8909002860</v>
          </cell>
          <cell r="C106" t="str">
            <v>CATASTRO ANTIOQUIA.</v>
          </cell>
          <cell r="D106" t="str">
            <v>R. C.</v>
          </cell>
          <cell r="E106" t="str">
            <v>1035302893</v>
          </cell>
          <cell r="F106" t="str">
            <v xml:space="preserve">MANCO VALENCIA                 URIEL ESTEBAN       </v>
          </cell>
          <cell r="G106">
            <v>0</v>
          </cell>
          <cell r="H106" t="str">
            <v>1382001000001400052000000000</v>
          </cell>
          <cell r="I106" t="str">
            <v xml:space="preserve">EL PASO                                          </v>
          </cell>
          <cell r="J106" t="str">
            <v xml:space="preserve">011-13928      </v>
          </cell>
          <cell r="K106" t="str">
            <v>ANTIOQUIA</v>
          </cell>
          <cell r="L106" t="str">
            <v>CAÑASGORDAS</v>
          </cell>
        </row>
        <row r="107">
          <cell r="A107">
            <v>1035304027</v>
          </cell>
          <cell r="B107" t="str">
            <v>8909002860</v>
          </cell>
          <cell r="C107" t="str">
            <v>CATASTRO ANTIOQUIA.</v>
          </cell>
          <cell r="D107" t="str">
            <v>R. C.</v>
          </cell>
          <cell r="E107" t="str">
            <v>1035304027</v>
          </cell>
          <cell r="F107" t="str">
            <v xml:space="preserve">VELASQUEZ DIAZ                 EDWIN ALONSO        </v>
          </cell>
          <cell r="G107">
            <v>0</v>
          </cell>
          <cell r="H107" t="str">
            <v>1382001000001400007000000000</v>
          </cell>
          <cell r="I107" t="str">
            <v xml:space="preserve">LA LINDA                                         </v>
          </cell>
          <cell r="J107" t="str">
            <v xml:space="preserve">011-14814      </v>
          </cell>
          <cell r="K107" t="str">
            <v>ANTIOQUIA</v>
          </cell>
          <cell r="L107" t="str">
            <v>CAÑASGORDAS</v>
          </cell>
        </row>
        <row r="108">
          <cell r="A108">
            <v>1035304027</v>
          </cell>
          <cell r="B108" t="str">
            <v>8909002860</v>
          </cell>
          <cell r="C108" t="str">
            <v>CATASTRO ANTIOQUIA.</v>
          </cell>
          <cell r="D108" t="str">
            <v>R. C.</v>
          </cell>
          <cell r="E108" t="str">
            <v>1035304027</v>
          </cell>
          <cell r="F108" t="str">
            <v xml:space="preserve">VELASQUEZ DIAZ                 EDWIN ALONSO        </v>
          </cell>
          <cell r="G108">
            <v>0</v>
          </cell>
          <cell r="H108" t="str">
            <v>1382001000001900001000000000</v>
          </cell>
          <cell r="I108" t="str">
            <v xml:space="preserve">CHONTADURO  VIEJO                                </v>
          </cell>
          <cell r="J108" t="str">
            <v xml:space="preserve">011-14061      </v>
          </cell>
          <cell r="K108" t="str">
            <v>ANTIOQUIA</v>
          </cell>
          <cell r="L108" t="str">
            <v>CAÑASGORDAS</v>
          </cell>
        </row>
        <row r="109">
          <cell r="A109">
            <v>1035304027</v>
          </cell>
          <cell r="B109" t="str">
            <v>8909002860</v>
          </cell>
          <cell r="C109" t="str">
            <v>CATASTRO ANTIOQUIA.</v>
          </cell>
          <cell r="D109" t="str">
            <v>R. C.</v>
          </cell>
          <cell r="E109" t="str">
            <v>1035304027</v>
          </cell>
          <cell r="F109" t="str">
            <v xml:space="preserve">VELASQUEZ DIAZ                 EDWIN ALONSO        </v>
          </cell>
          <cell r="G109">
            <v>0</v>
          </cell>
          <cell r="H109" t="str">
            <v>1382002000000200020000000000</v>
          </cell>
          <cell r="I109" t="str">
            <v xml:space="preserve">GUADUAS                                          </v>
          </cell>
          <cell r="J109" t="str">
            <v xml:space="preserve">011-19394      </v>
          </cell>
          <cell r="K109" t="str">
            <v>ANTIOQUIA</v>
          </cell>
          <cell r="L109" t="str">
            <v>CAÑASGORDAS</v>
          </cell>
        </row>
        <row r="110">
          <cell r="A110">
            <v>1038335088</v>
          </cell>
          <cell r="B110" t="str">
            <v>8909002860</v>
          </cell>
          <cell r="C110" t="str">
            <v>CATASTRO ANTIOQUIA.</v>
          </cell>
          <cell r="D110" t="str">
            <v>R. C.</v>
          </cell>
          <cell r="E110" t="str">
            <v>1038335088</v>
          </cell>
          <cell r="F110" t="str">
            <v xml:space="preserve">CORREA ARIAS                   LEIDY JOHANA        </v>
          </cell>
          <cell r="G110">
            <v>0</v>
          </cell>
          <cell r="H110" t="str">
            <v>1382002000000200004000000000</v>
          </cell>
          <cell r="I110" t="str">
            <v xml:space="preserve">CHORORO                                          </v>
          </cell>
          <cell r="J110" t="str">
            <v xml:space="preserve">011-15123      </v>
          </cell>
          <cell r="K110" t="str">
            <v>ANTIOQUIA</v>
          </cell>
          <cell r="L110" t="str">
            <v>CAÑASGORDAS</v>
          </cell>
        </row>
        <row r="111">
          <cell r="A111">
            <v>604391</v>
          </cell>
          <cell r="B111" t="str">
            <v>8909002860</v>
          </cell>
          <cell r="C111" t="str">
            <v>CATASTRO ANTIOQUIA.</v>
          </cell>
          <cell r="D111" t="str">
            <v>C.C.</v>
          </cell>
          <cell r="E111" t="str">
            <v>604391</v>
          </cell>
          <cell r="F111" t="str">
            <v xml:space="preserve">DAVID USUGA                    ANTONIO             </v>
          </cell>
          <cell r="G111">
            <v>1</v>
          </cell>
          <cell r="H111" t="str">
            <v>1382001000000300054000000000</v>
          </cell>
          <cell r="I111" t="str">
            <v xml:space="preserve">S.N.                                             </v>
          </cell>
          <cell r="J111" t="str">
            <v/>
          </cell>
          <cell r="K111" t="str">
            <v>ANTIOQUIA</v>
          </cell>
          <cell r="L111" t="str">
            <v>CAÑASGORDAS</v>
          </cell>
        </row>
        <row r="112">
          <cell r="A112">
            <v>606457</v>
          </cell>
          <cell r="B112" t="str">
            <v>8909002860</v>
          </cell>
          <cell r="C112" t="str">
            <v>CATASTRO ANTIOQUIA.</v>
          </cell>
          <cell r="D112" t="str">
            <v>C.C.</v>
          </cell>
          <cell r="E112" t="str">
            <v>606457</v>
          </cell>
          <cell r="F112" t="str">
            <v xml:space="preserve">HOLGUIN DURANGO                GERARDO ANTONIO     </v>
          </cell>
          <cell r="G112">
            <v>1</v>
          </cell>
          <cell r="H112" t="str">
            <v>1381001001002000011000100006</v>
          </cell>
          <cell r="I112" t="str">
            <v xml:space="preserve">DG 28 N 27-20 A 202                              </v>
          </cell>
          <cell r="J112" t="str">
            <v xml:space="preserve">011-19056      </v>
          </cell>
          <cell r="K112" t="str">
            <v>ANTIOQUIA</v>
          </cell>
          <cell r="L112" t="str">
            <v>CAÑASGORDAS</v>
          </cell>
        </row>
        <row r="113">
          <cell r="A113">
            <v>610909</v>
          </cell>
          <cell r="B113" t="str">
            <v>8909002860</v>
          </cell>
          <cell r="C113" t="str">
            <v>CATASTRO ANTIOQUIA.</v>
          </cell>
          <cell r="D113" t="str">
            <v>C.C.</v>
          </cell>
          <cell r="E113" t="str">
            <v>610909</v>
          </cell>
          <cell r="F113" t="str">
            <v xml:space="preserve">GUISAO          ZAPATA         LUIS ANGEL          </v>
          </cell>
          <cell r="G113">
            <v>1</v>
          </cell>
          <cell r="H113" t="str">
            <v>1382001000001500007000000000</v>
          </cell>
          <cell r="I113" t="str">
            <v xml:space="preserve">GUADUAL                                          </v>
          </cell>
          <cell r="J113" t="str">
            <v/>
          </cell>
          <cell r="K113" t="str">
            <v>ANTIOQUIA</v>
          </cell>
          <cell r="L113" t="str">
            <v>CAÑASGORDAS</v>
          </cell>
        </row>
        <row r="114">
          <cell r="A114">
            <v>610974</v>
          </cell>
          <cell r="B114" t="str">
            <v>8909002860</v>
          </cell>
          <cell r="C114" t="str">
            <v>CATASTRO ANTIOQUIA.</v>
          </cell>
          <cell r="D114" t="str">
            <v>C.C.</v>
          </cell>
          <cell r="E114" t="str">
            <v>610974</v>
          </cell>
          <cell r="F114" t="str">
            <v xml:space="preserve">ARIAS RUEDA                    JOSE JULIAN         </v>
          </cell>
          <cell r="G114">
            <v>1</v>
          </cell>
          <cell r="H114" t="str">
            <v>1381001001000400008000000000</v>
          </cell>
          <cell r="I114" t="str">
            <v xml:space="preserve">CL 23 N 29-46                                    </v>
          </cell>
          <cell r="J114" t="str">
            <v xml:space="preserve">011-13676      </v>
          </cell>
          <cell r="K114" t="str">
            <v>ANTIOQUIA</v>
          </cell>
          <cell r="L114" t="str">
            <v>CAÑASGORDAS</v>
          </cell>
        </row>
        <row r="115">
          <cell r="A115">
            <v>613041</v>
          </cell>
          <cell r="B115" t="str">
            <v>8909002860</v>
          </cell>
          <cell r="C115" t="str">
            <v>CATASTRO ANTIOQUIA.</v>
          </cell>
          <cell r="D115" t="str">
            <v>C.C.</v>
          </cell>
          <cell r="E115" t="str">
            <v>613041</v>
          </cell>
          <cell r="F115" t="str">
            <v xml:space="preserve">VARELA RODRIGUEZ               GONZALO ANTONIO     </v>
          </cell>
          <cell r="G115">
            <v>1</v>
          </cell>
          <cell r="H115" t="str">
            <v>1381002001000200004000000000</v>
          </cell>
          <cell r="I115" t="str">
            <v xml:space="preserve">CR 20 N 17-                                      </v>
          </cell>
          <cell r="J115" t="str">
            <v xml:space="preserve">011-19747      </v>
          </cell>
          <cell r="K115" t="str">
            <v>ANTIOQUIA</v>
          </cell>
          <cell r="L115" t="str">
            <v>CAÑASGORDAS</v>
          </cell>
        </row>
        <row r="116">
          <cell r="A116">
            <v>613347</v>
          </cell>
          <cell r="B116" t="str">
            <v>8909002860</v>
          </cell>
          <cell r="C116" t="str">
            <v>CATASTRO ANTIOQUIA.</v>
          </cell>
          <cell r="D116" t="str">
            <v>C.C.</v>
          </cell>
          <cell r="E116" t="str">
            <v>613347</v>
          </cell>
          <cell r="F116" t="str">
            <v xml:space="preserve">DURANGO GUISAO                 ISRAEL              </v>
          </cell>
          <cell r="G116">
            <v>1</v>
          </cell>
          <cell r="H116" t="str">
            <v>1382003000000400011000000000</v>
          </cell>
          <cell r="I116" t="str">
            <v xml:space="preserve">BUENAVISTA                                       </v>
          </cell>
          <cell r="J116" t="str">
            <v xml:space="preserve">011-14368      </v>
          </cell>
          <cell r="K116" t="str">
            <v>ANTIOQUIA</v>
          </cell>
          <cell r="L116" t="str">
            <v>CAÑASGORDAS</v>
          </cell>
        </row>
        <row r="117">
          <cell r="A117">
            <v>613374</v>
          </cell>
          <cell r="B117" t="str">
            <v>8909002860</v>
          </cell>
          <cell r="C117" t="str">
            <v>CATASTRO ANTIOQUIA.</v>
          </cell>
          <cell r="D117" t="str">
            <v>C.C.</v>
          </cell>
          <cell r="E117" t="str">
            <v>613374</v>
          </cell>
          <cell r="F117" t="str">
            <v xml:space="preserve">LOPEZ           VARGAS         LUIS CARLOS         </v>
          </cell>
          <cell r="G117">
            <v>1</v>
          </cell>
          <cell r="H117" t="str">
            <v>1382003000000800019000000000</v>
          </cell>
          <cell r="I117" t="str">
            <v xml:space="preserve">S.N.                                             </v>
          </cell>
          <cell r="J117" t="str">
            <v/>
          </cell>
          <cell r="K117" t="str">
            <v>ANTIOQUIA</v>
          </cell>
          <cell r="L117" t="str">
            <v>CAÑASGORDAS</v>
          </cell>
        </row>
        <row r="118">
          <cell r="A118">
            <v>3363130</v>
          </cell>
          <cell r="B118" t="str">
            <v>8909002860</v>
          </cell>
          <cell r="C118" t="str">
            <v>CATASTRO ANTIOQUIA.</v>
          </cell>
          <cell r="D118" t="str">
            <v>C.C.</v>
          </cell>
          <cell r="E118" t="str">
            <v>3363130</v>
          </cell>
          <cell r="F118" t="str">
            <v xml:space="preserve">LOPERA PUERTA                  ROGER ALBERTO       </v>
          </cell>
          <cell r="G118">
            <v>1</v>
          </cell>
          <cell r="H118" t="str">
            <v>1381001001003700045000000000</v>
          </cell>
          <cell r="I118" t="str">
            <v xml:space="preserve">CR 30 N 33-67                                    </v>
          </cell>
          <cell r="J118" t="str">
            <v xml:space="preserve">011-13750      </v>
          </cell>
          <cell r="K118" t="str">
            <v>ANTIOQUIA</v>
          </cell>
          <cell r="L118" t="str">
            <v>CAÑASGORDAS</v>
          </cell>
        </row>
        <row r="119">
          <cell r="A119">
            <v>3422006</v>
          </cell>
          <cell r="B119" t="str">
            <v>8909002860</v>
          </cell>
          <cell r="C119" t="str">
            <v>CATASTRO ANTIOQUIA.</v>
          </cell>
          <cell r="D119" t="str">
            <v>C.C.</v>
          </cell>
          <cell r="E119" t="str">
            <v>3422006</v>
          </cell>
          <cell r="F119" t="str">
            <v xml:space="preserve">USUGA           ABENDA?O       ARCES ALDEMAR       </v>
          </cell>
          <cell r="G119">
            <v>1</v>
          </cell>
          <cell r="H119" t="str">
            <v>1382002000000800141000000000</v>
          </cell>
          <cell r="I119" t="str">
            <v xml:space="preserve">S.N.                                             </v>
          </cell>
          <cell r="J119" t="str">
            <v/>
          </cell>
          <cell r="K119" t="str">
            <v>ANTIOQUIA</v>
          </cell>
          <cell r="L119" t="str">
            <v>CAÑASGORDAS</v>
          </cell>
        </row>
        <row r="120">
          <cell r="A120">
            <v>3429093</v>
          </cell>
          <cell r="B120" t="str">
            <v>8909002860</v>
          </cell>
          <cell r="C120" t="str">
            <v>CATASTRO ANTIOQUIA.</v>
          </cell>
          <cell r="D120" t="str">
            <v>C.C.</v>
          </cell>
          <cell r="E120" t="str">
            <v>3429093</v>
          </cell>
          <cell r="F120" t="str">
            <v xml:space="preserve">PULGARIN GUZMAN                ANDRES AVELINO      </v>
          </cell>
          <cell r="G120">
            <v>1</v>
          </cell>
          <cell r="H120" t="str">
            <v>1382001000002800057000000000</v>
          </cell>
          <cell r="I120" t="str">
            <v xml:space="preserve">LAS BRISAS                                       </v>
          </cell>
          <cell r="J120" t="str">
            <v xml:space="preserve">011-18036      </v>
          </cell>
          <cell r="K120" t="str">
            <v>ANTIOQUIA</v>
          </cell>
          <cell r="L120" t="str">
            <v>CAÑASGORDAS</v>
          </cell>
        </row>
        <row r="121">
          <cell r="A121">
            <v>3430007</v>
          </cell>
          <cell r="B121" t="str">
            <v>8909002860</v>
          </cell>
          <cell r="C121" t="str">
            <v>CATASTRO ANTIOQUIA.</v>
          </cell>
          <cell r="D121" t="str">
            <v>C.C.</v>
          </cell>
          <cell r="E121" t="str">
            <v>3430007</v>
          </cell>
          <cell r="F121" t="str">
            <v xml:space="preserve">MAZO GUERRA                    RUBEN ANTONIO       </v>
          </cell>
          <cell r="G121">
            <v>1</v>
          </cell>
          <cell r="H121" t="str">
            <v>1381001001003200008000000000</v>
          </cell>
          <cell r="I121" t="str">
            <v xml:space="preserve">CR 32 N 31-56                                    </v>
          </cell>
          <cell r="J121" t="str">
            <v xml:space="preserve">011-14175      </v>
          </cell>
          <cell r="K121" t="str">
            <v>ANTIOQUIA</v>
          </cell>
          <cell r="L121" t="str">
            <v>CAÑASGORDAS</v>
          </cell>
        </row>
        <row r="122">
          <cell r="A122">
            <v>3430060</v>
          </cell>
          <cell r="B122" t="str">
            <v>8909002860</v>
          </cell>
          <cell r="C122" t="str">
            <v>CATASTRO ANTIOQUIA.</v>
          </cell>
          <cell r="D122" t="str">
            <v>C.C.</v>
          </cell>
          <cell r="E122" t="str">
            <v>3430060</v>
          </cell>
          <cell r="F122" t="str">
            <v xml:space="preserve">MONTOYA RODRIGUEZ              TOBIAS              </v>
          </cell>
          <cell r="G122">
            <v>1</v>
          </cell>
          <cell r="H122" t="str">
            <v>1381001001000400012000000000</v>
          </cell>
          <cell r="I122" t="str">
            <v xml:space="preserve">CL 23 N 29-80                                    </v>
          </cell>
          <cell r="J122" t="str">
            <v xml:space="preserve">011-19658      </v>
          </cell>
          <cell r="K122" t="str">
            <v>ANTIOQUIA</v>
          </cell>
          <cell r="L122" t="str">
            <v>CAÑASGORDAS</v>
          </cell>
        </row>
        <row r="123">
          <cell r="A123">
            <v>3430222</v>
          </cell>
          <cell r="B123" t="str">
            <v>8909002860</v>
          </cell>
          <cell r="C123" t="str">
            <v>CATASTRO ANTIOQUIA.</v>
          </cell>
          <cell r="D123" t="str">
            <v>C.C.</v>
          </cell>
          <cell r="E123" t="str">
            <v>3430222</v>
          </cell>
          <cell r="F123" t="str">
            <v xml:space="preserve">GOMEZ           LOAIZA         HERIBERTO           </v>
          </cell>
          <cell r="G123">
            <v>1</v>
          </cell>
          <cell r="H123" t="str">
            <v>1382001000000400019000000000</v>
          </cell>
          <cell r="I123" t="str">
            <v xml:space="preserve">LA ESPERANZA                                     </v>
          </cell>
          <cell r="J123" t="str">
            <v xml:space="preserve">011-15533      </v>
          </cell>
          <cell r="K123" t="str">
            <v>ANTIOQUIA</v>
          </cell>
          <cell r="L123" t="str">
            <v>CAÑASGORDAS</v>
          </cell>
        </row>
        <row r="124">
          <cell r="A124">
            <v>3430371</v>
          </cell>
          <cell r="B124" t="str">
            <v>8909002860</v>
          </cell>
          <cell r="C124" t="str">
            <v>CATASTRO ANTIOQUIA.</v>
          </cell>
          <cell r="D124" t="str">
            <v>C.C.</v>
          </cell>
          <cell r="E124" t="str">
            <v>3430371</v>
          </cell>
          <cell r="F124" t="str">
            <v xml:space="preserve">USUGA           CORREA         AGUSTIN             </v>
          </cell>
          <cell r="G124">
            <v>1</v>
          </cell>
          <cell r="H124" t="str">
            <v>1382002000000700001000000000</v>
          </cell>
          <cell r="I124" t="str">
            <v xml:space="preserve">S.N.                                             </v>
          </cell>
          <cell r="J124" t="str">
            <v/>
          </cell>
          <cell r="K124" t="str">
            <v>ANTIOQUIA</v>
          </cell>
          <cell r="L124" t="str">
            <v>CAÑASGORDAS</v>
          </cell>
        </row>
        <row r="125">
          <cell r="A125">
            <v>3430389</v>
          </cell>
          <cell r="B125" t="str">
            <v>8909002860</v>
          </cell>
          <cell r="C125" t="str">
            <v>CATASTRO ANTIOQUIA.</v>
          </cell>
          <cell r="D125" t="str">
            <v>C.C.</v>
          </cell>
          <cell r="E125" t="str">
            <v>3430389</v>
          </cell>
          <cell r="F125" t="str">
            <v xml:space="preserve">DAVID ARTEAGA                  JUAN DE JESUS       </v>
          </cell>
          <cell r="G125">
            <v>1</v>
          </cell>
          <cell r="H125" t="str">
            <v>1382001000002100005000000000</v>
          </cell>
          <cell r="I125" t="str">
            <v xml:space="preserve">LA ALEGRIA                                       </v>
          </cell>
          <cell r="J125" t="str">
            <v xml:space="preserve">011-18684      </v>
          </cell>
          <cell r="K125" t="str">
            <v>ANTIOQUIA</v>
          </cell>
          <cell r="L125" t="str">
            <v>CAÑASGORDAS</v>
          </cell>
        </row>
        <row r="126">
          <cell r="A126">
            <v>3430426</v>
          </cell>
          <cell r="B126" t="str">
            <v>8909002860</v>
          </cell>
          <cell r="C126" t="str">
            <v>CATASTRO ANTIOQUIA.</v>
          </cell>
          <cell r="D126" t="str">
            <v>C.C.</v>
          </cell>
          <cell r="E126" t="str">
            <v>3430426</v>
          </cell>
          <cell r="F126" t="str">
            <v xml:space="preserve">CASTA?EDA RODRIGUEZ            LIBARDO ANTONIO     </v>
          </cell>
          <cell r="G126">
            <v>1</v>
          </cell>
          <cell r="H126" t="str">
            <v>1382001000002100039000000000</v>
          </cell>
          <cell r="I126" t="str">
            <v xml:space="preserve">S.N.                                             </v>
          </cell>
          <cell r="J126" t="str">
            <v/>
          </cell>
          <cell r="K126" t="str">
            <v>ANTIOQUIA</v>
          </cell>
          <cell r="L126" t="str">
            <v>CAÑASGORDAS</v>
          </cell>
        </row>
        <row r="127">
          <cell r="A127">
            <v>3430436</v>
          </cell>
          <cell r="B127" t="str">
            <v>8909002860</v>
          </cell>
          <cell r="C127" t="str">
            <v>CATASTRO ANTIOQUIA.</v>
          </cell>
          <cell r="D127" t="str">
            <v>C.C.</v>
          </cell>
          <cell r="E127" t="str">
            <v>3430436</v>
          </cell>
          <cell r="F127" t="str">
            <v xml:space="preserve">MEDINA MARTINEZ                OCTAVIO JOSE        </v>
          </cell>
          <cell r="G127">
            <v>1</v>
          </cell>
          <cell r="H127" t="str">
            <v>1381001001005200001000000000</v>
          </cell>
          <cell r="I127" t="str">
            <v xml:space="preserve">CR 26 N 48A-22                                   </v>
          </cell>
          <cell r="J127" t="str">
            <v xml:space="preserve">011-14945      </v>
          </cell>
          <cell r="K127" t="str">
            <v>ANTIOQUIA</v>
          </cell>
          <cell r="L127" t="str">
            <v>CAÑASGORDAS</v>
          </cell>
        </row>
        <row r="128">
          <cell r="A128">
            <v>3430438</v>
          </cell>
          <cell r="B128" t="str">
            <v>8909002860</v>
          </cell>
          <cell r="C128" t="str">
            <v>CATASTRO ANTIOQUIA.</v>
          </cell>
          <cell r="D128" t="str">
            <v>C.C.</v>
          </cell>
          <cell r="E128" t="str">
            <v>3430438</v>
          </cell>
          <cell r="F128" t="str">
            <v xml:space="preserve">FLOREZ LOPERA                  FIDEL ANTONIO       </v>
          </cell>
          <cell r="G128">
            <v>1</v>
          </cell>
          <cell r="H128" t="str">
            <v>1382004000000300024000000000</v>
          </cell>
          <cell r="I128" t="str">
            <v xml:space="preserve">S.N.                                             </v>
          </cell>
          <cell r="J128" t="str">
            <v xml:space="preserve">000-48         </v>
          </cell>
          <cell r="K128" t="str">
            <v>ANTIOQUIA</v>
          </cell>
          <cell r="L128" t="str">
            <v>CAÑASGORDAS</v>
          </cell>
        </row>
        <row r="129">
          <cell r="A129">
            <v>3430579</v>
          </cell>
          <cell r="B129" t="str">
            <v>8909002860</v>
          </cell>
          <cell r="C129" t="str">
            <v>CATASTRO ANTIOQUIA.</v>
          </cell>
          <cell r="D129" t="str">
            <v>C.C.</v>
          </cell>
          <cell r="E129" t="str">
            <v>3430579</v>
          </cell>
          <cell r="F129" t="str">
            <v xml:space="preserve">SANTA CARDONA                  SEVERIANO           </v>
          </cell>
          <cell r="G129">
            <v>1</v>
          </cell>
          <cell r="H129" t="str">
            <v>1381001001001400019000000000</v>
          </cell>
          <cell r="I129" t="str">
            <v xml:space="preserve">CR 30 N 25-19                                    </v>
          </cell>
          <cell r="J129" t="str">
            <v/>
          </cell>
          <cell r="K129" t="str">
            <v>ANTIOQUIA</v>
          </cell>
          <cell r="L129" t="str">
            <v>CAÑASGORDAS</v>
          </cell>
        </row>
        <row r="130">
          <cell r="A130">
            <v>3430763</v>
          </cell>
          <cell r="B130" t="str">
            <v>8909002860</v>
          </cell>
          <cell r="C130" t="str">
            <v>CATASTRO ANTIOQUIA.</v>
          </cell>
          <cell r="D130" t="str">
            <v>C.C.</v>
          </cell>
          <cell r="E130" t="str">
            <v>3430763</v>
          </cell>
          <cell r="F130" t="str">
            <v xml:space="preserve">CORREA HIGUITA                 RAMON EMILIO        </v>
          </cell>
          <cell r="G130">
            <v>1</v>
          </cell>
          <cell r="H130" t="str">
            <v>1382004000000900010000000000</v>
          </cell>
          <cell r="I130" t="str">
            <v xml:space="preserve">S.N.                                             </v>
          </cell>
          <cell r="J130" t="str">
            <v/>
          </cell>
          <cell r="K130" t="str">
            <v>ANTIOQUIA</v>
          </cell>
          <cell r="L130" t="str">
            <v>CAÑASGORDAS</v>
          </cell>
        </row>
        <row r="131">
          <cell r="A131">
            <v>3430909</v>
          </cell>
          <cell r="B131" t="str">
            <v>8909002860</v>
          </cell>
          <cell r="C131" t="str">
            <v>CATASTRO ANTIOQUIA.</v>
          </cell>
          <cell r="D131" t="str">
            <v>C.C.</v>
          </cell>
          <cell r="E131" t="str">
            <v>3430909</v>
          </cell>
          <cell r="F131" t="str">
            <v xml:space="preserve">MANCO CORREA                   ROBERTO EMILIO      </v>
          </cell>
          <cell r="G131">
            <v>1</v>
          </cell>
          <cell r="H131" t="str">
            <v>1382001000002900014000000000</v>
          </cell>
          <cell r="I131" t="str">
            <v xml:space="preserve">EL JARDIN                                        </v>
          </cell>
          <cell r="J131" t="str">
            <v xml:space="preserve">011-17081      </v>
          </cell>
          <cell r="K131" t="str">
            <v>ANTIOQUIA</v>
          </cell>
          <cell r="L131" t="str">
            <v>CAÑASGORDAS</v>
          </cell>
        </row>
        <row r="132">
          <cell r="A132">
            <v>3430927</v>
          </cell>
          <cell r="B132" t="str">
            <v>8909002860</v>
          </cell>
          <cell r="C132" t="str">
            <v>CATASTRO ANTIOQUIA.</v>
          </cell>
          <cell r="D132" t="str">
            <v>C.C.</v>
          </cell>
          <cell r="E132" t="str">
            <v>3430927</v>
          </cell>
          <cell r="F132" t="str">
            <v xml:space="preserve">CAMPO SEPULVEDA                JESUS SALVADOR      </v>
          </cell>
          <cell r="G132">
            <v>1</v>
          </cell>
          <cell r="H132" t="str">
            <v>1382002000001100003000000000</v>
          </cell>
          <cell r="I132" t="str">
            <v xml:space="preserve">EL  CIPRES                                       </v>
          </cell>
          <cell r="J132" t="str">
            <v xml:space="preserve">011-15895      </v>
          </cell>
          <cell r="K132" t="str">
            <v>ANTIOQUIA</v>
          </cell>
          <cell r="L132" t="str">
            <v>CAÑASGORDAS</v>
          </cell>
        </row>
        <row r="133">
          <cell r="A133">
            <v>3430955</v>
          </cell>
          <cell r="B133" t="str">
            <v>8909002860</v>
          </cell>
          <cell r="C133" t="str">
            <v>CATASTRO ANTIOQUIA.</v>
          </cell>
          <cell r="D133" t="str">
            <v>C.C.</v>
          </cell>
          <cell r="E133" t="str">
            <v>3430955</v>
          </cell>
          <cell r="F133" t="str">
            <v xml:space="preserve">CORREA          QUINTERO       LUIS ANGEL          </v>
          </cell>
          <cell r="G133">
            <v>1</v>
          </cell>
          <cell r="H133" t="str">
            <v>1382001000001400033000000000</v>
          </cell>
          <cell r="I133" t="str">
            <v xml:space="preserve">EL GALLINAZO                                     </v>
          </cell>
          <cell r="J133" t="str">
            <v/>
          </cell>
          <cell r="K133" t="str">
            <v>ANTIOQUIA</v>
          </cell>
          <cell r="L133" t="str">
            <v>CAÑASGORDAS</v>
          </cell>
        </row>
        <row r="134">
          <cell r="A134">
            <v>3430999</v>
          </cell>
          <cell r="B134" t="str">
            <v>8909002860</v>
          </cell>
          <cell r="C134" t="str">
            <v>CATASTRO ANTIOQUIA.</v>
          </cell>
          <cell r="D134" t="str">
            <v>C.C.</v>
          </cell>
          <cell r="E134" t="str">
            <v>3430999</v>
          </cell>
          <cell r="F134" t="str">
            <v xml:space="preserve">HIGUITA CARMONA                LUCIO               </v>
          </cell>
          <cell r="G134">
            <v>1</v>
          </cell>
          <cell r="H134" t="str">
            <v>1382001000002500054000000000</v>
          </cell>
          <cell r="I134" t="str">
            <v xml:space="preserve">EL ROBLE                                         </v>
          </cell>
          <cell r="J134" t="str">
            <v/>
          </cell>
          <cell r="K134" t="str">
            <v>ANTIOQUIA</v>
          </cell>
          <cell r="L134" t="str">
            <v>CAÑASGORDAS</v>
          </cell>
        </row>
        <row r="135">
          <cell r="A135">
            <v>3431066</v>
          </cell>
          <cell r="B135" t="str">
            <v>8909002860</v>
          </cell>
          <cell r="C135" t="str">
            <v>CATASTRO ANTIOQUIA.</v>
          </cell>
          <cell r="D135" t="str">
            <v>C.C.</v>
          </cell>
          <cell r="E135" t="str">
            <v>3431066</v>
          </cell>
          <cell r="F135" t="str">
            <v xml:space="preserve">USUGA RAMIREZ                  JUAN DE DIOS        </v>
          </cell>
          <cell r="G135">
            <v>1</v>
          </cell>
          <cell r="H135" t="str">
            <v>1382004000000600034000000000</v>
          </cell>
          <cell r="I135" t="str">
            <v xml:space="preserve">S.N.                                             </v>
          </cell>
          <cell r="J135" t="str">
            <v/>
          </cell>
          <cell r="K135" t="str">
            <v>ANTIOQUIA</v>
          </cell>
          <cell r="L135" t="str">
            <v>CAÑASGORDAS</v>
          </cell>
        </row>
        <row r="136">
          <cell r="A136">
            <v>3431087</v>
          </cell>
          <cell r="B136" t="str">
            <v>8909002860</v>
          </cell>
          <cell r="C136" t="str">
            <v>CATASTRO ANTIOQUIA.</v>
          </cell>
          <cell r="D136" t="str">
            <v>C.C.</v>
          </cell>
          <cell r="E136" t="str">
            <v>3431087</v>
          </cell>
          <cell r="F136" t="str">
            <v xml:space="preserve">OLIVEROS        OLIVEROS       BERNARDO DE JESUS   </v>
          </cell>
          <cell r="G136">
            <v>1</v>
          </cell>
          <cell r="H136" t="str">
            <v>1382001000000800050000000000</v>
          </cell>
          <cell r="I136" t="str">
            <v xml:space="preserve">MEDIACUESTA                                      </v>
          </cell>
          <cell r="J136" t="str">
            <v/>
          </cell>
          <cell r="K136" t="str">
            <v>ANTIOQUIA</v>
          </cell>
          <cell r="L136" t="str">
            <v>CAÑASGORDAS</v>
          </cell>
        </row>
        <row r="137">
          <cell r="A137">
            <v>3431149</v>
          </cell>
          <cell r="B137" t="str">
            <v>8909002860</v>
          </cell>
          <cell r="C137" t="str">
            <v>CATASTRO ANTIOQUIA.</v>
          </cell>
          <cell r="D137" t="str">
            <v>C.C.</v>
          </cell>
          <cell r="E137" t="str">
            <v>3431149</v>
          </cell>
          <cell r="F137" t="str">
            <v xml:space="preserve">GUISAO          CARMONA        CARLOS JOSE         </v>
          </cell>
          <cell r="G137">
            <v>1</v>
          </cell>
          <cell r="H137" t="str">
            <v>1382001000002500075000000000</v>
          </cell>
          <cell r="I137" t="str">
            <v xml:space="preserve">S.N.                                             </v>
          </cell>
          <cell r="J137" t="str">
            <v/>
          </cell>
          <cell r="K137" t="str">
            <v>ANTIOQUIA</v>
          </cell>
          <cell r="L137" t="str">
            <v>CAÑASGORDAS</v>
          </cell>
        </row>
        <row r="138">
          <cell r="A138">
            <v>3431234</v>
          </cell>
          <cell r="B138" t="str">
            <v>8909002860</v>
          </cell>
          <cell r="C138" t="str">
            <v>CATASTRO ANTIOQUIA.</v>
          </cell>
          <cell r="D138" t="str">
            <v>C.C.</v>
          </cell>
          <cell r="E138" t="str">
            <v>3431234</v>
          </cell>
          <cell r="F138" t="str">
            <v xml:space="preserve">CORREA RUEDA                   JESUS EMILIO        </v>
          </cell>
          <cell r="G138">
            <v>1</v>
          </cell>
          <cell r="H138" t="str">
            <v>1382004000000800046000000000</v>
          </cell>
          <cell r="I138" t="str">
            <v xml:space="preserve">CHUZA                                            </v>
          </cell>
          <cell r="J138" t="str">
            <v xml:space="preserve">011-18520      </v>
          </cell>
          <cell r="K138" t="str">
            <v>ANTIOQUIA</v>
          </cell>
          <cell r="L138" t="str">
            <v>CAÑASGORDAS</v>
          </cell>
        </row>
        <row r="139">
          <cell r="A139">
            <v>3431248</v>
          </cell>
          <cell r="B139" t="str">
            <v>8909002860</v>
          </cell>
          <cell r="C139" t="str">
            <v>CATASTRO ANTIOQUIA.</v>
          </cell>
          <cell r="D139" t="str">
            <v>C.C.</v>
          </cell>
          <cell r="E139" t="str">
            <v>3431248</v>
          </cell>
          <cell r="F139" t="str">
            <v xml:space="preserve">CORREA MANCO                   REINALDO ANTONIO    </v>
          </cell>
          <cell r="G139">
            <v>1</v>
          </cell>
          <cell r="H139" t="str">
            <v>1382004000000700063000000000</v>
          </cell>
          <cell r="I139" t="str">
            <v xml:space="preserve">SANTA  FE                                        </v>
          </cell>
          <cell r="J139" t="str">
            <v xml:space="preserve">011-16691      </v>
          </cell>
          <cell r="K139" t="str">
            <v>ANTIOQUIA</v>
          </cell>
          <cell r="L139" t="str">
            <v>CAÑASGORDAS</v>
          </cell>
        </row>
        <row r="140">
          <cell r="A140">
            <v>3431265</v>
          </cell>
          <cell r="B140" t="str">
            <v>8909002860</v>
          </cell>
          <cell r="C140" t="str">
            <v>CATASTRO ANTIOQUIA.</v>
          </cell>
          <cell r="D140" t="str">
            <v>C.C.</v>
          </cell>
          <cell r="E140" t="str">
            <v>3431265</v>
          </cell>
          <cell r="F140" t="str">
            <v xml:space="preserve">MURILLO HIGUITA                ANTONIO JOSE        </v>
          </cell>
          <cell r="G140">
            <v>1</v>
          </cell>
          <cell r="H140" t="str">
            <v>1382001000001000051000000000</v>
          </cell>
          <cell r="I140" t="str">
            <v xml:space="preserve">EL  PRADO                                        </v>
          </cell>
          <cell r="J140" t="str">
            <v xml:space="preserve">000-552        </v>
          </cell>
          <cell r="K140" t="str">
            <v>ANTIOQUIA</v>
          </cell>
          <cell r="L140" t="str">
            <v>CAÑASGORDAS</v>
          </cell>
        </row>
        <row r="141">
          <cell r="A141">
            <v>3431279</v>
          </cell>
          <cell r="B141" t="str">
            <v>8909002860</v>
          </cell>
          <cell r="C141" t="str">
            <v>CATASTRO ANTIOQUIA.</v>
          </cell>
          <cell r="D141" t="str">
            <v>C.C.</v>
          </cell>
          <cell r="E141" t="str">
            <v>3431279</v>
          </cell>
          <cell r="F141" t="str">
            <v xml:space="preserve">HURTADO         USUGA          JOSE REINALDO       </v>
          </cell>
          <cell r="G141">
            <v>1</v>
          </cell>
          <cell r="H141" t="str">
            <v>1382004000000300049000000000</v>
          </cell>
          <cell r="I141" t="str">
            <v xml:space="preserve">S.N.                                             </v>
          </cell>
          <cell r="J141" t="str">
            <v/>
          </cell>
          <cell r="K141" t="str">
            <v>ANTIOQUIA</v>
          </cell>
          <cell r="L141" t="str">
            <v>CAÑASGORDAS</v>
          </cell>
        </row>
        <row r="142">
          <cell r="A142">
            <v>3431444</v>
          </cell>
          <cell r="B142" t="str">
            <v>8909002860</v>
          </cell>
          <cell r="C142" t="str">
            <v>CATASTRO ANTIOQUIA.</v>
          </cell>
          <cell r="D142" t="str">
            <v>C.C.</v>
          </cell>
          <cell r="E142" t="str">
            <v>3431444</v>
          </cell>
          <cell r="F142" t="str">
            <v xml:space="preserve">MANCO CORREA                   ESMARAGDO ANTONIO   </v>
          </cell>
          <cell r="G142">
            <v>1</v>
          </cell>
          <cell r="H142" t="str">
            <v>1382004000000500010000000000</v>
          </cell>
          <cell r="I142" t="str">
            <v xml:space="preserve">LAS  CRUCES                                      </v>
          </cell>
          <cell r="J142" t="str">
            <v xml:space="preserve">011-15237      </v>
          </cell>
          <cell r="K142" t="str">
            <v>ANTIOQUIA</v>
          </cell>
          <cell r="L142" t="str">
            <v>CAÑASGORDAS</v>
          </cell>
        </row>
        <row r="143">
          <cell r="A143">
            <v>3431679</v>
          </cell>
          <cell r="B143" t="str">
            <v>8909002860</v>
          </cell>
          <cell r="C143" t="str">
            <v>CATASTRO ANTIOQUIA.</v>
          </cell>
          <cell r="D143" t="str">
            <v>C.C.</v>
          </cell>
          <cell r="E143" t="str">
            <v>3431679</v>
          </cell>
          <cell r="F143" t="str">
            <v xml:space="preserve">CORREA          RUEDA          AMANDO ANTONIO      </v>
          </cell>
          <cell r="G143">
            <v>1</v>
          </cell>
          <cell r="H143" t="str">
            <v>1382004000000700137000000000</v>
          </cell>
          <cell r="I143" t="str">
            <v xml:space="preserve">EL  HOYO                                         </v>
          </cell>
          <cell r="J143" t="str">
            <v/>
          </cell>
          <cell r="K143" t="str">
            <v>ANTIOQUIA</v>
          </cell>
          <cell r="L143" t="str">
            <v>CAÑASGORDAS</v>
          </cell>
        </row>
        <row r="144">
          <cell r="A144">
            <v>3431692</v>
          </cell>
          <cell r="B144" t="str">
            <v>8909002860</v>
          </cell>
          <cell r="C144" t="str">
            <v>CATASTRO ANTIOQUIA.</v>
          </cell>
          <cell r="D144" t="str">
            <v>C.C.</v>
          </cell>
          <cell r="E144" t="str">
            <v>3431692</v>
          </cell>
          <cell r="F144" t="str">
            <v xml:space="preserve">RODRIGUEZ CAMPOS               LUIS ARTURO         </v>
          </cell>
          <cell r="G144">
            <v>1</v>
          </cell>
          <cell r="H144" t="str">
            <v>1381004001000200014000000000</v>
          </cell>
          <cell r="I144" t="str">
            <v xml:space="preserve">CL 20 N 20-281                                   </v>
          </cell>
          <cell r="J144" t="str">
            <v xml:space="preserve">011-19669      </v>
          </cell>
          <cell r="K144" t="str">
            <v>ANTIOQUIA</v>
          </cell>
          <cell r="L144" t="str">
            <v>CAÑASGORDAS</v>
          </cell>
        </row>
        <row r="145">
          <cell r="A145">
            <v>3431729</v>
          </cell>
          <cell r="B145" t="str">
            <v>8909002860</v>
          </cell>
          <cell r="C145" t="str">
            <v>CATASTRO ANTIOQUIA.</v>
          </cell>
          <cell r="D145" t="str">
            <v>C.C.</v>
          </cell>
          <cell r="E145" t="str">
            <v>3431729</v>
          </cell>
          <cell r="F145" t="str">
            <v xml:space="preserve">RODRIGUEZ OQUENDO              LEONEL DE JESUS     </v>
          </cell>
          <cell r="G145">
            <v>1</v>
          </cell>
          <cell r="H145" t="str">
            <v>1381004001000100010000000000</v>
          </cell>
          <cell r="I145" t="str">
            <v xml:space="preserve">CR 20 N 19-05                                    </v>
          </cell>
          <cell r="J145" t="str">
            <v/>
          </cell>
          <cell r="K145" t="str">
            <v>ANTIOQUIA</v>
          </cell>
          <cell r="L145" t="str">
            <v>CAÑASGORDAS</v>
          </cell>
        </row>
        <row r="146">
          <cell r="A146">
            <v>3431732</v>
          </cell>
          <cell r="B146" t="str">
            <v>8909002860</v>
          </cell>
          <cell r="C146" t="str">
            <v>CATASTRO ANTIOQUIA.</v>
          </cell>
          <cell r="D146" t="str">
            <v>C.C.</v>
          </cell>
          <cell r="E146" t="str">
            <v>3431732</v>
          </cell>
          <cell r="F146" t="str">
            <v xml:space="preserve">BERRIO CAMPO                   DARIO DE JESUS      </v>
          </cell>
          <cell r="G146">
            <v>1</v>
          </cell>
          <cell r="H146" t="str">
            <v>1381002001001000016000000000</v>
          </cell>
          <cell r="I146" t="str">
            <v xml:space="preserve">CR 20 N 23-157/167                               </v>
          </cell>
          <cell r="J146" t="str">
            <v xml:space="preserve">006-54         </v>
          </cell>
          <cell r="K146" t="str">
            <v>ANTIOQUIA</v>
          </cell>
          <cell r="L146" t="str">
            <v>CAÑASGORDAS</v>
          </cell>
        </row>
        <row r="147">
          <cell r="A147">
            <v>3431737</v>
          </cell>
          <cell r="B147" t="str">
            <v>8909002860</v>
          </cell>
          <cell r="C147" t="str">
            <v>CATASTRO ANTIOQUIA.</v>
          </cell>
          <cell r="D147" t="str">
            <v>C.C.</v>
          </cell>
          <cell r="E147" t="str">
            <v>3431737</v>
          </cell>
          <cell r="F147" t="str">
            <v xml:space="preserve">MONROY          GIRALDO        JUAN DE DIOS        </v>
          </cell>
          <cell r="G147">
            <v>1</v>
          </cell>
          <cell r="H147" t="str">
            <v>1382002000001000013000000000</v>
          </cell>
          <cell r="I147" t="str">
            <v xml:space="preserve">EL PORVENIR                                      </v>
          </cell>
          <cell r="J147" t="str">
            <v/>
          </cell>
          <cell r="K147" t="str">
            <v>ANTIOQUIA</v>
          </cell>
          <cell r="L147" t="str">
            <v>CAÑASGORDAS</v>
          </cell>
        </row>
        <row r="148">
          <cell r="A148">
            <v>3431810</v>
          </cell>
          <cell r="B148" t="str">
            <v>8909002860</v>
          </cell>
          <cell r="C148" t="str">
            <v>CATASTRO ANTIOQUIA.</v>
          </cell>
          <cell r="D148" t="str">
            <v>C.C.</v>
          </cell>
          <cell r="E148" t="str">
            <v>3431810</v>
          </cell>
          <cell r="F148" t="str">
            <v xml:space="preserve">MONROY GIRALDO                 ANTONIO DE JESUS    </v>
          </cell>
          <cell r="G148">
            <v>1</v>
          </cell>
          <cell r="H148" t="str">
            <v>1382002000001000013000000000</v>
          </cell>
          <cell r="I148" t="str">
            <v xml:space="preserve">EL PORVENIR                                      </v>
          </cell>
          <cell r="J148" t="str">
            <v/>
          </cell>
          <cell r="K148" t="str">
            <v>ANTIOQUIA</v>
          </cell>
          <cell r="L148" t="str">
            <v>CAÑASGORDAS</v>
          </cell>
        </row>
        <row r="149">
          <cell r="A149">
            <v>3431820</v>
          </cell>
          <cell r="B149" t="str">
            <v>8909002860</v>
          </cell>
          <cell r="C149" t="str">
            <v>CATASTRO ANTIOQUIA.</v>
          </cell>
          <cell r="D149" t="str">
            <v>C.C.</v>
          </cell>
          <cell r="E149" t="str">
            <v>3431820</v>
          </cell>
          <cell r="F149" t="str">
            <v xml:space="preserve">HIGUITA USUGA                  HUMBERTO            </v>
          </cell>
          <cell r="G149">
            <v>1</v>
          </cell>
          <cell r="H149" t="str">
            <v>1382002000001200019000000000</v>
          </cell>
          <cell r="I149" t="str">
            <v xml:space="preserve">SAN MIGUELITO                                    </v>
          </cell>
          <cell r="J149" t="str">
            <v/>
          </cell>
          <cell r="K149" t="str">
            <v>ANTIOQUIA</v>
          </cell>
          <cell r="L149" t="str">
            <v>CAÑASGORDAS</v>
          </cell>
        </row>
        <row r="150">
          <cell r="A150">
            <v>3431826</v>
          </cell>
          <cell r="B150" t="str">
            <v>8909002860</v>
          </cell>
          <cell r="C150" t="str">
            <v>CATASTRO ANTIOQUIA.</v>
          </cell>
          <cell r="D150" t="str">
            <v>C.C.</v>
          </cell>
          <cell r="E150" t="str">
            <v>3431826</v>
          </cell>
          <cell r="F150" t="str">
            <v xml:space="preserve">USUGA           TORRES         GERARDO ANTONIO     </v>
          </cell>
          <cell r="G150">
            <v>1</v>
          </cell>
          <cell r="H150" t="str">
            <v>1382002000000800080000000000</v>
          </cell>
          <cell r="I150" t="str">
            <v xml:space="preserve">S.N.                                             </v>
          </cell>
          <cell r="J150" t="str">
            <v/>
          </cell>
          <cell r="K150" t="str">
            <v>ANTIOQUIA</v>
          </cell>
          <cell r="L150" t="str">
            <v>CAÑASGORDAS</v>
          </cell>
        </row>
        <row r="151">
          <cell r="A151">
            <v>3432547</v>
          </cell>
          <cell r="B151" t="str">
            <v>8909002860</v>
          </cell>
          <cell r="C151" t="str">
            <v>CATASTRO ANTIOQUIA.</v>
          </cell>
          <cell r="D151" t="str">
            <v>C.C.</v>
          </cell>
          <cell r="E151" t="str">
            <v>3432547</v>
          </cell>
          <cell r="F151" t="str">
            <v xml:space="preserve">USUGA HIGUITA                  MARIO DE JESUS      </v>
          </cell>
          <cell r="G151">
            <v>1</v>
          </cell>
          <cell r="H151" t="str">
            <v>1382003000000500028000000000</v>
          </cell>
          <cell r="I151" t="str">
            <v xml:space="preserve">S.N.                                             </v>
          </cell>
          <cell r="J151" t="str">
            <v/>
          </cell>
          <cell r="K151" t="str">
            <v>ANTIOQUIA</v>
          </cell>
          <cell r="L151" t="str">
            <v>CAÑASGORDAS</v>
          </cell>
        </row>
        <row r="152">
          <cell r="A152">
            <v>3432611</v>
          </cell>
          <cell r="B152" t="str">
            <v>8909002860</v>
          </cell>
          <cell r="C152" t="str">
            <v>CATASTRO ANTIOQUIA.</v>
          </cell>
          <cell r="D152" t="str">
            <v>C.C.</v>
          </cell>
          <cell r="E152" t="str">
            <v>3432611</v>
          </cell>
          <cell r="F152" t="str">
            <v xml:space="preserve">VALDERRAMA VALDERRAMA          ANDRES EMILIO       </v>
          </cell>
          <cell r="G152">
            <v>1</v>
          </cell>
          <cell r="H152" t="str">
            <v>1381003001001300012000000000</v>
          </cell>
          <cell r="I152" t="str">
            <v xml:space="preserve">CR 20 N 20-55/57                                 </v>
          </cell>
          <cell r="J152" t="str">
            <v xml:space="preserve">006-19731      </v>
          </cell>
          <cell r="K152" t="str">
            <v>ANTIOQUIA</v>
          </cell>
          <cell r="L152" t="str">
            <v>CAÑASGORDAS</v>
          </cell>
        </row>
        <row r="153">
          <cell r="A153">
            <v>3432722</v>
          </cell>
          <cell r="B153" t="str">
            <v>8909002860</v>
          </cell>
          <cell r="C153" t="str">
            <v>CATASTRO ANTIOQUIA.</v>
          </cell>
          <cell r="D153" t="str">
            <v>C.C.</v>
          </cell>
          <cell r="E153" t="str">
            <v>3432722</v>
          </cell>
          <cell r="F153" t="str">
            <v xml:space="preserve">PEREZ           HIGUITA        HERIBERTO ANTONIO   </v>
          </cell>
          <cell r="G153">
            <v>1</v>
          </cell>
          <cell r="H153" t="str">
            <v>1382003000000200054000000000</v>
          </cell>
          <cell r="I153" t="str">
            <v xml:space="preserve">S.N.                                             </v>
          </cell>
          <cell r="J153" t="str">
            <v/>
          </cell>
          <cell r="K153" t="str">
            <v>ANTIOQUIA</v>
          </cell>
          <cell r="L153" t="str">
            <v>CAÑASGORDAS</v>
          </cell>
        </row>
        <row r="154">
          <cell r="A154">
            <v>3542765</v>
          </cell>
          <cell r="B154" t="str">
            <v>8909002860</v>
          </cell>
          <cell r="C154" t="str">
            <v>CATASTRO ANTIOQUIA.</v>
          </cell>
          <cell r="D154" t="str">
            <v>C.C.</v>
          </cell>
          <cell r="E154" t="str">
            <v>3542765</v>
          </cell>
          <cell r="F154" t="str">
            <v xml:space="preserve">HIGUITA LOPEZ                  LUIS ADAN           </v>
          </cell>
          <cell r="G154">
            <v>1</v>
          </cell>
          <cell r="H154" t="str">
            <v>1382003000000600045000000000</v>
          </cell>
          <cell r="I154" t="str">
            <v xml:space="preserve">ALTO DE BUENA VISTA                              </v>
          </cell>
          <cell r="J154" t="str">
            <v/>
          </cell>
          <cell r="K154" t="str">
            <v>ANTIOQUIA</v>
          </cell>
          <cell r="L154" t="str">
            <v>CAÑASGORDAS</v>
          </cell>
        </row>
        <row r="155">
          <cell r="A155">
            <v>6111866</v>
          </cell>
          <cell r="B155" t="str">
            <v>8909002860</v>
          </cell>
          <cell r="C155" t="str">
            <v>CATASTRO ANTIOQUIA.</v>
          </cell>
          <cell r="D155" t="str">
            <v>C.C.</v>
          </cell>
          <cell r="E155" t="str">
            <v>6111866</v>
          </cell>
          <cell r="F155" t="str">
            <v xml:space="preserve">GOEZ            HIGUITA        LUIS ANGEL          </v>
          </cell>
          <cell r="G155">
            <v>1</v>
          </cell>
          <cell r="H155" t="str">
            <v>1382002000001200019000000000</v>
          </cell>
          <cell r="I155" t="str">
            <v xml:space="preserve">SAN MIGUELITO                                    </v>
          </cell>
          <cell r="J155" t="str">
            <v/>
          </cell>
          <cell r="K155" t="str">
            <v>ANTIOQUIA</v>
          </cell>
          <cell r="L155" t="str">
            <v>CAÑASGORDAS</v>
          </cell>
        </row>
        <row r="156">
          <cell r="A156">
            <v>7231762</v>
          </cell>
          <cell r="B156" t="str">
            <v>8909002860</v>
          </cell>
          <cell r="C156" t="str">
            <v>CATASTRO ANTIOQUIA.</v>
          </cell>
          <cell r="D156" t="str">
            <v>C.C.</v>
          </cell>
          <cell r="E156" t="str">
            <v>7231762</v>
          </cell>
          <cell r="F156" t="str">
            <v xml:space="preserve">GUISAO          PELAEZ         FRANK ALEXANDER     </v>
          </cell>
          <cell r="G156">
            <v>1</v>
          </cell>
          <cell r="H156" t="str">
            <v>1382002000001000012000000000</v>
          </cell>
          <cell r="I156" t="str">
            <v xml:space="preserve">BOTIJA                                           </v>
          </cell>
          <cell r="J156" t="str">
            <v/>
          </cell>
          <cell r="K156" t="str">
            <v>ANTIOQUIA</v>
          </cell>
          <cell r="L156" t="str">
            <v>CAÑASGORDAS</v>
          </cell>
        </row>
        <row r="157">
          <cell r="A157">
            <v>8309122</v>
          </cell>
          <cell r="B157" t="str">
            <v>8909002860</v>
          </cell>
          <cell r="C157" t="str">
            <v>CATASTRO ANTIOQUIA.</v>
          </cell>
          <cell r="D157" t="str">
            <v>C.C.</v>
          </cell>
          <cell r="E157" t="str">
            <v>8309122</v>
          </cell>
          <cell r="F157" t="str">
            <v xml:space="preserve">USUGA           DAVID          JOSE BERNARDO       </v>
          </cell>
          <cell r="G157">
            <v>1</v>
          </cell>
          <cell r="H157" t="str">
            <v>1382002000000100008000000000</v>
          </cell>
          <cell r="I157" t="str">
            <v xml:space="preserve">RUBICON                                          </v>
          </cell>
          <cell r="J157" t="str">
            <v/>
          </cell>
          <cell r="K157" t="str">
            <v>ANTIOQUIA</v>
          </cell>
          <cell r="L157" t="str">
            <v>CAÑASGORDAS</v>
          </cell>
        </row>
        <row r="158">
          <cell r="A158">
            <v>8414008</v>
          </cell>
          <cell r="B158" t="str">
            <v>8909002860</v>
          </cell>
          <cell r="C158" t="str">
            <v>CATASTRO ANTIOQUIA.</v>
          </cell>
          <cell r="D158" t="str">
            <v>C.C.</v>
          </cell>
          <cell r="E158" t="str">
            <v>8414008</v>
          </cell>
          <cell r="F158" t="str">
            <v xml:space="preserve">MU?OZ GONZALEZ                 CARLOS ANTONIO      </v>
          </cell>
          <cell r="G158">
            <v>1</v>
          </cell>
          <cell r="H158" t="str">
            <v>1382001000000300017000000000</v>
          </cell>
          <cell r="I158" t="str">
            <v xml:space="preserve">FILO DEL MEDIO                                   </v>
          </cell>
          <cell r="J158" t="str">
            <v xml:space="preserve">011-15774      </v>
          </cell>
          <cell r="K158" t="str">
            <v>ANTIOQUIA</v>
          </cell>
          <cell r="L158" t="str">
            <v>CAÑASGORDAS</v>
          </cell>
        </row>
        <row r="159">
          <cell r="A159">
            <v>15402686</v>
          </cell>
          <cell r="B159" t="str">
            <v>8909002860</v>
          </cell>
          <cell r="C159" t="str">
            <v>CATASTRO ANTIOQUIA.</v>
          </cell>
          <cell r="D159" t="str">
            <v>C.C.</v>
          </cell>
          <cell r="E159" t="str">
            <v>15402686</v>
          </cell>
          <cell r="F159" t="str">
            <v xml:space="preserve">PRESIGA         GRACIANO       JAIME               </v>
          </cell>
          <cell r="G159">
            <v>1</v>
          </cell>
          <cell r="H159" t="str">
            <v>1382004000000500054000000000</v>
          </cell>
          <cell r="I159" t="str">
            <v xml:space="preserve">LOS  PINOS                                       </v>
          </cell>
          <cell r="J159" t="str">
            <v/>
          </cell>
          <cell r="K159" t="str">
            <v>ANTIOQUIA</v>
          </cell>
          <cell r="L159" t="str">
            <v>CAÑASGORDAS</v>
          </cell>
        </row>
        <row r="160">
          <cell r="A160">
            <v>18531810</v>
          </cell>
          <cell r="B160" t="str">
            <v>8909002860</v>
          </cell>
          <cell r="C160" t="str">
            <v>CATASTRO ANTIOQUIA.</v>
          </cell>
          <cell r="D160" t="str">
            <v>C.C.</v>
          </cell>
          <cell r="E160" t="str">
            <v>18531810</v>
          </cell>
          <cell r="F160" t="str">
            <v xml:space="preserve">CAMPO HIGUITA                  RODRIGO             </v>
          </cell>
          <cell r="G160">
            <v>1</v>
          </cell>
          <cell r="H160" t="str">
            <v>1382001000000500049000000000</v>
          </cell>
          <cell r="I160" t="str">
            <v xml:space="preserve">LA AMOLADORA                                     </v>
          </cell>
          <cell r="J160" t="str">
            <v/>
          </cell>
          <cell r="K160" t="str">
            <v>ANTIOQUIA</v>
          </cell>
          <cell r="L160" t="str">
            <v>CAÑASGORDAS</v>
          </cell>
        </row>
        <row r="161">
          <cell r="A161">
            <v>20916770</v>
          </cell>
          <cell r="B161" t="str">
            <v>8909002860</v>
          </cell>
          <cell r="C161" t="str">
            <v>CATASTRO ANTIOQUIA.</v>
          </cell>
          <cell r="D161" t="str">
            <v>C.C.</v>
          </cell>
          <cell r="E161" t="str">
            <v>20916770</v>
          </cell>
          <cell r="F161" t="str">
            <v xml:space="preserve">USUGA           AGUIRRE        ONEIDA MARIA        </v>
          </cell>
          <cell r="G161">
            <v>1</v>
          </cell>
          <cell r="H161" t="str">
            <v>1382004000000900075000000000</v>
          </cell>
          <cell r="I161" t="str">
            <v xml:space="preserve">LA  MANGA                                        </v>
          </cell>
          <cell r="J161" t="str">
            <v/>
          </cell>
          <cell r="K161" t="str">
            <v>ANTIOQUIA</v>
          </cell>
          <cell r="L161" t="str">
            <v>CAÑASGORDAS</v>
          </cell>
        </row>
        <row r="162">
          <cell r="A162">
            <v>21355300</v>
          </cell>
          <cell r="B162" t="str">
            <v>8909002860</v>
          </cell>
          <cell r="C162" t="str">
            <v>CATASTRO ANTIOQUIA.</v>
          </cell>
          <cell r="D162" t="str">
            <v>C.C.</v>
          </cell>
          <cell r="E162" t="str">
            <v>21355300</v>
          </cell>
          <cell r="F162" t="str">
            <v>HIDALGO         HIGUITA        MARIA DE LOS ANGELES</v>
          </cell>
          <cell r="G162">
            <v>1</v>
          </cell>
          <cell r="H162" t="str">
            <v>1382001000000800103000000000</v>
          </cell>
          <cell r="I162" t="str">
            <v xml:space="preserve">S.N.                                             </v>
          </cell>
          <cell r="J162" t="str">
            <v/>
          </cell>
          <cell r="K162" t="str">
            <v>ANTIOQUIA</v>
          </cell>
          <cell r="L162" t="str">
            <v>CAÑASGORDAS</v>
          </cell>
        </row>
        <row r="163">
          <cell r="A163">
            <v>21543056</v>
          </cell>
          <cell r="B163" t="str">
            <v>8909002860</v>
          </cell>
          <cell r="C163" t="str">
            <v>CATASTRO ANTIOQUIA.</v>
          </cell>
          <cell r="D163" t="str">
            <v>C.C.</v>
          </cell>
          <cell r="E163" t="str">
            <v>21543056</v>
          </cell>
          <cell r="F163" t="str">
            <v xml:space="preserve">CANO BUILES                    IRMA ROSA           </v>
          </cell>
          <cell r="G163">
            <v>1</v>
          </cell>
          <cell r="H163" t="str">
            <v>1382001000001500046000000000</v>
          </cell>
          <cell r="I163" t="str">
            <v xml:space="preserve">LA CORDILLERA                                    </v>
          </cell>
          <cell r="J163" t="str">
            <v xml:space="preserve">011-15562      </v>
          </cell>
          <cell r="K163" t="str">
            <v>ANTIOQUIA</v>
          </cell>
          <cell r="L163" t="str">
            <v>CAÑASGORDAS</v>
          </cell>
        </row>
        <row r="164">
          <cell r="A164">
            <v>21580453</v>
          </cell>
          <cell r="B164" t="str">
            <v>8909002860</v>
          </cell>
          <cell r="C164" t="str">
            <v>CATASTRO ANTIOQUIA.</v>
          </cell>
          <cell r="D164" t="str">
            <v>C.C.</v>
          </cell>
          <cell r="E164" t="str">
            <v>21580453</v>
          </cell>
          <cell r="F164" t="str">
            <v xml:space="preserve">TANGARIFE DE DURANGO           ROSELIA             </v>
          </cell>
          <cell r="G164">
            <v>1</v>
          </cell>
          <cell r="H164" t="str">
            <v>1382004000000300047000000000</v>
          </cell>
          <cell r="I164" t="str">
            <v xml:space="preserve">EL  CAFE                                         </v>
          </cell>
          <cell r="J164" t="str">
            <v xml:space="preserve">011-18073      </v>
          </cell>
          <cell r="K164" t="str">
            <v>ANTIOQUIA</v>
          </cell>
          <cell r="L164" t="str">
            <v>CAÑASGORDAS</v>
          </cell>
        </row>
        <row r="165">
          <cell r="A165">
            <v>21605251</v>
          </cell>
          <cell r="B165" t="str">
            <v>8909002860</v>
          </cell>
          <cell r="C165" t="str">
            <v>CATASTRO ANTIOQUIA.</v>
          </cell>
          <cell r="D165" t="str">
            <v>C.C.</v>
          </cell>
          <cell r="E165" t="str">
            <v>21605251</v>
          </cell>
          <cell r="F165" t="str">
            <v>HIGUITA DE HIGUITA             MARIA DE LAS MERCEDE</v>
          </cell>
          <cell r="G165">
            <v>1</v>
          </cell>
          <cell r="H165" t="str">
            <v>1382001000000800095000000000</v>
          </cell>
          <cell r="I165" t="str">
            <v xml:space="preserve">LA ESCALERA                                      </v>
          </cell>
          <cell r="J165" t="str">
            <v/>
          </cell>
          <cell r="K165" t="str">
            <v>ANTIOQUIA</v>
          </cell>
          <cell r="L165" t="str">
            <v>CAÑASGORDAS</v>
          </cell>
        </row>
        <row r="166">
          <cell r="A166">
            <v>21605263</v>
          </cell>
          <cell r="B166" t="str">
            <v>8909002860</v>
          </cell>
          <cell r="C166" t="str">
            <v>CATASTRO ANTIOQUIA.</v>
          </cell>
          <cell r="D166" t="str">
            <v>C.C.</v>
          </cell>
          <cell r="E166" t="str">
            <v>21605263</v>
          </cell>
          <cell r="F166" t="str">
            <v xml:space="preserve">GUTIERREZ DE VASQUEZ           MARIA               </v>
          </cell>
          <cell r="G166">
            <v>1</v>
          </cell>
          <cell r="H166" t="str">
            <v>1381001001001900005000000000</v>
          </cell>
          <cell r="I166" t="str">
            <v xml:space="preserve">CL 25B N 30-36                                   </v>
          </cell>
          <cell r="J166" t="str">
            <v xml:space="preserve">011-17315      </v>
          </cell>
          <cell r="K166" t="str">
            <v>ANTIOQUIA</v>
          </cell>
          <cell r="L166" t="str">
            <v>CAÑASGORDAS</v>
          </cell>
        </row>
        <row r="167">
          <cell r="A167">
            <v>21606024</v>
          </cell>
          <cell r="B167" t="str">
            <v>8909002860</v>
          </cell>
          <cell r="C167" t="str">
            <v>CATASTRO ANTIOQUIA.</v>
          </cell>
          <cell r="D167" t="str">
            <v>C.C.</v>
          </cell>
          <cell r="E167" t="str">
            <v>21606024</v>
          </cell>
          <cell r="F167" t="str">
            <v xml:space="preserve">MANCO DE DAVID                 AURA MARIA          </v>
          </cell>
          <cell r="G167">
            <v>1</v>
          </cell>
          <cell r="H167" t="str">
            <v>1382001000002400107000000000</v>
          </cell>
          <cell r="I167" t="str">
            <v xml:space="preserve">EL NARANJO                                       </v>
          </cell>
          <cell r="J167" t="str">
            <v xml:space="preserve">011-14506      </v>
          </cell>
          <cell r="K167" t="str">
            <v>ANTIOQUIA</v>
          </cell>
          <cell r="L167" t="str">
            <v>CAÑASGORDAS</v>
          </cell>
        </row>
        <row r="168">
          <cell r="A168">
            <v>21608075</v>
          </cell>
          <cell r="B168" t="str">
            <v>8909002860</v>
          </cell>
          <cell r="C168" t="str">
            <v>CATASTRO ANTIOQUIA.</v>
          </cell>
          <cell r="D168" t="str">
            <v>C.C.</v>
          </cell>
          <cell r="E168" t="str">
            <v>21608075</v>
          </cell>
          <cell r="F168" t="str">
            <v xml:space="preserve">RODRIGUEZ       ARIAS          MARIA ISABEL        </v>
          </cell>
          <cell r="G168">
            <v>1</v>
          </cell>
          <cell r="H168" t="str">
            <v>1382001000002000026000000000</v>
          </cell>
          <cell r="I168" t="str">
            <v xml:space="preserve">YARUMITO                                         </v>
          </cell>
          <cell r="J168" t="str">
            <v/>
          </cell>
          <cell r="K168" t="str">
            <v>ANTIOQUIA</v>
          </cell>
          <cell r="L168" t="str">
            <v>CAÑASGORDAS</v>
          </cell>
        </row>
        <row r="169">
          <cell r="A169">
            <v>21608345</v>
          </cell>
          <cell r="B169" t="str">
            <v>8909002860</v>
          </cell>
          <cell r="C169" t="str">
            <v>CATASTRO ANTIOQUIA.</v>
          </cell>
          <cell r="D169" t="str">
            <v>C.C.</v>
          </cell>
          <cell r="E169" t="str">
            <v>21608345</v>
          </cell>
          <cell r="F169" t="str">
            <v xml:space="preserve">URIBE           GONZALEZ       NURY DEL SOCORRO    </v>
          </cell>
          <cell r="G169">
            <v>1</v>
          </cell>
          <cell r="H169" t="str">
            <v>1382001000002000011000000000</v>
          </cell>
          <cell r="I169" t="str">
            <v xml:space="preserve">EL AMPARO                                        </v>
          </cell>
          <cell r="J169" t="str">
            <v/>
          </cell>
          <cell r="K169" t="str">
            <v>ANTIOQUIA</v>
          </cell>
          <cell r="L169" t="str">
            <v>CAÑASGORDAS</v>
          </cell>
        </row>
        <row r="170">
          <cell r="A170">
            <v>21608582</v>
          </cell>
          <cell r="B170" t="str">
            <v>8909002860</v>
          </cell>
          <cell r="C170" t="str">
            <v>CATASTRO ANTIOQUIA.</v>
          </cell>
          <cell r="D170" t="str">
            <v>C.C.</v>
          </cell>
          <cell r="E170" t="str">
            <v>21608582</v>
          </cell>
          <cell r="F170" t="str">
            <v>DAVID LOAIZA                   MARIA DE LOS ANGELES</v>
          </cell>
          <cell r="G170">
            <v>1</v>
          </cell>
          <cell r="H170" t="str">
            <v>1381001001004400004000000000</v>
          </cell>
          <cell r="I170" t="str">
            <v xml:space="preserve">CR 30 N 35-45/51                                 </v>
          </cell>
          <cell r="J170" t="str">
            <v xml:space="preserve">006-233        </v>
          </cell>
          <cell r="K170" t="str">
            <v>ANTIOQUIA</v>
          </cell>
          <cell r="L170" t="str">
            <v>CAÑASGORDAS</v>
          </cell>
        </row>
        <row r="171">
          <cell r="A171">
            <v>21608795</v>
          </cell>
          <cell r="B171" t="str">
            <v>8909002860</v>
          </cell>
          <cell r="C171" t="str">
            <v>CATASTRO ANTIOQUIA.</v>
          </cell>
          <cell r="D171" t="str">
            <v>C.C.</v>
          </cell>
          <cell r="E171" t="str">
            <v>21608795</v>
          </cell>
          <cell r="F171" t="str">
            <v xml:space="preserve">MANCO           DE BERRIO      FABIOLA DE JESUS    </v>
          </cell>
          <cell r="G171">
            <v>1</v>
          </cell>
          <cell r="H171" t="str">
            <v>1382004000000500011000000000</v>
          </cell>
          <cell r="I171" t="str">
            <v xml:space="preserve">VILLA  ESTHER                                    </v>
          </cell>
          <cell r="J171" t="str">
            <v/>
          </cell>
          <cell r="K171" t="str">
            <v>ANTIOQUIA</v>
          </cell>
          <cell r="L171" t="str">
            <v>CAÑASGORDAS</v>
          </cell>
        </row>
        <row r="172">
          <cell r="A172">
            <v>21608826</v>
          </cell>
          <cell r="B172" t="str">
            <v>8909002860</v>
          </cell>
          <cell r="C172" t="str">
            <v>CATASTRO ANTIOQUIA.</v>
          </cell>
          <cell r="D172" t="str">
            <v>C.C.</v>
          </cell>
          <cell r="E172" t="str">
            <v>21608826</v>
          </cell>
          <cell r="F172" t="str">
            <v xml:space="preserve">YEPES DE USUGA                 MARGARITA           </v>
          </cell>
          <cell r="G172">
            <v>1</v>
          </cell>
          <cell r="H172" t="str">
            <v>1382001000001100017000000000</v>
          </cell>
          <cell r="I172" t="str">
            <v xml:space="preserve">EL PORVENIR                                      </v>
          </cell>
          <cell r="J172" t="str">
            <v xml:space="preserve">011-15156      </v>
          </cell>
          <cell r="K172" t="str">
            <v>ANTIOQUIA</v>
          </cell>
          <cell r="L172" t="str">
            <v>CAÑASGORDAS</v>
          </cell>
        </row>
        <row r="173">
          <cell r="A173">
            <v>21608924</v>
          </cell>
          <cell r="B173" t="str">
            <v>8909002860</v>
          </cell>
          <cell r="C173" t="str">
            <v>CATASTRO ANTIOQUIA.</v>
          </cell>
          <cell r="D173" t="str">
            <v>C.C.</v>
          </cell>
          <cell r="E173" t="str">
            <v>21608924</v>
          </cell>
          <cell r="F173" t="str">
            <v xml:space="preserve">GARCES USUGA                   VIRGELINA           </v>
          </cell>
          <cell r="G173">
            <v>1</v>
          </cell>
          <cell r="H173" t="str">
            <v>1382001000002400179000000000</v>
          </cell>
          <cell r="I173" t="str">
            <v xml:space="preserve">S.N.                                             </v>
          </cell>
          <cell r="J173" t="str">
            <v xml:space="preserve">011-17904      </v>
          </cell>
          <cell r="K173" t="str">
            <v>ANTIOQUIA</v>
          </cell>
          <cell r="L173" t="str">
            <v>CAÑASGORDAS</v>
          </cell>
        </row>
        <row r="174">
          <cell r="A174">
            <v>21608986</v>
          </cell>
          <cell r="B174" t="str">
            <v>8909002860</v>
          </cell>
          <cell r="C174" t="str">
            <v>CATASTRO ANTIOQUIA.</v>
          </cell>
          <cell r="D174" t="str">
            <v>C.C.</v>
          </cell>
          <cell r="E174" t="str">
            <v>21608986</v>
          </cell>
          <cell r="F174" t="str">
            <v xml:space="preserve">DUARTE          DE VILLA       MARIA  ARGEMIRA     </v>
          </cell>
          <cell r="G174">
            <v>1</v>
          </cell>
          <cell r="H174" t="str">
            <v>1382001000002900049000000000</v>
          </cell>
          <cell r="I174" t="str">
            <v xml:space="preserve">S.N.                                             </v>
          </cell>
          <cell r="J174" t="str">
            <v/>
          </cell>
          <cell r="K174" t="str">
            <v>ANTIOQUIA</v>
          </cell>
          <cell r="L174" t="str">
            <v>CAÑASGORDAS</v>
          </cell>
        </row>
        <row r="175">
          <cell r="A175">
            <v>21609082</v>
          </cell>
          <cell r="B175" t="str">
            <v>8909002860</v>
          </cell>
          <cell r="C175" t="str">
            <v>CATASTRO ANTIOQUIA.</v>
          </cell>
          <cell r="D175" t="str">
            <v>C.C.</v>
          </cell>
          <cell r="E175" t="str">
            <v>21609082</v>
          </cell>
          <cell r="F175" t="str">
            <v xml:space="preserve">GONZALEZ VILLA                 MARIA CLEMENTINA    </v>
          </cell>
          <cell r="G175">
            <v>1</v>
          </cell>
          <cell r="H175" t="str">
            <v>1382001000001000084000000000</v>
          </cell>
          <cell r="I175" t="str">
            <v xml:space="preserve">S.N.                                             </v>
          </cell>
          <cell r="J175" t="str">
            <v/>
          </cell>
          <cell r="K175" t="str">
            <v>ANTIOQUIA</v>
          </cell>
          <cell r="L175" t="str">
            <v>CAÑASGORDAS</v>
          </cell>
        </row>
        <row r="176">
          <cell r="A176">
            <v>21609111</v>
          </cell>
          <cell r="B176" t="str">
            <v>8909002860</v>
          </cell>
          <cell r="C176" t="str">
            <v>CATASTRO ANTIOQUIA.</v>
          </cell>
          <cell r="D176" t="str">
            <v>C.C.</v>
          </cell>
          <cell r="E176" t="str">
            <v>21609111</v>
          </cell>
          <cell r="F176" t="str">
            <v xml:space="preserve">JIMENEZ DE FLOREZ              OLIVA MARGARITA     </v>
          </cell>
          <cell r="G176">
            <v>1</v>
          </cell>
          <cell r="H176" t="str">
            <v>1381001001004000023000000000</v>
          </cell>
          <cell r="I176" t="str">
            <v xml:space="preserve">CR 31 N 34-66                                    </v>
          </cell>
          <cell r="J176" t="str">
            <v/>
          </cell>
          <cell r="K176" t="str">
            <v>ANTIOQUIA</v>
          </cell>
          <cell r="L176" t="str">
            <v>CAÑASGORDAS</v>
          </cell>
        </row>
        <row r="177">
          <cell r="A177">
            <v>21609153</v>
          </cell>
          <cell r="B177" t="str">
            <v>8909002860</v>
          </cell>
          <cell r="C177" t="str">
            <v>CATASTRO ANTIOQUIA.</v>
          </cell>
          <cell r="D177" t="str">
            <v>C.C.</v>
          </cell>
          <cell r="E177" t="str">
            <v>21609153</v>
          </cell>
          <cell r="F177" t="str">
            <v xml:space="preserve">BEDOYA TORRES                  OLIVA DE JESUS      </v>
          </cell>
          <cell r="G177">
            <v>1</v>
          </cell>
          <cell r="H177" t="str">
            <v>1381001001007400004000100061</v>
          </cell>
          <cell r="I177" t="str">
            <v xml:space="preserve">KR 23 N 51-70 AP 201 TORRE 5                     </v>
          </cell>
          <cell r="J177" t="str">
            <v xml:space="preserve">011-20216      </v>
          </cell>
          <cell r="K177" t="str">
            <v>ANTIOQUIA</v>
          </cell>
          <cell r="L177" t="str">
            <v>CAÑASGORDAS</v>
          </cell>
        </row>
        <row r="178">
          <cell r="A178">
            <v>21609214</v>
          </cell>
          <cell r="B178" t="str">
            <v>8909002860</v>
          </cell>
          <cell r="C178" t="str">
            <v>CATASTRO ANTIOQUIA.</v>
          </cell>
          <cell r="D178" t="str">
            <v>C.C.</v>
          </cell>
          <cell r="E178" t="str">
            <v>21609214</v>
          </cell>
          <cell r="F178" t="str">
            <v xml:space="preserve">ROJAS DE GUISAO                MARIA NOHELY        </v>
          </cell>
          <cell r="G178">
            <v>1</v>
          </cell>
          <cell r="H178" t="str">
            <v>1382001000001500114000000000</v>
          </cell>
          <cell r="I178" t="str">
            <v xml:space="preserve">LA MERCED                                        </v>
          </cell>
          <cell r="J178" t="str">
            <v/>
          </cell>
          <cell r="K178" t="str">
            <v>ANTIOQUIA</v>
          </cell>
          <cell r="L178" t="str">
            <v>CAÑASGORDAS</v>
          </cell>
        </row>
        <row r="179">
          <cell r="A179">
            <v>21609232</v>
          </cell>
          <cell r="B179" t="str">
            <v>8909002860</v>
          </cell>
          <cell r="C179" t="str">
            <v>CATASTRO ANTIOQUIA.</v>
          </cell>
          <cell r="D179" t="str">
            <v>C.C.</v>
          </cell>
          <cell r="E179" t="str">
            <v>21609232</v>
          </cell>
          <cell r="F179" t="str">
            <v xml:space="preserve">QUINTERO DE QUICENO            LUZ ELENA           </v>
          </cell>
          <cell r="G179">
            <v>1</v>
          </cell>
          <cell r="H179" t="str">
            <v>1382003000000300016000000000</v>
          </cell>
          <cell r="I179" t="str">
            <v xml:space="preserve">SANTO DOMINGO                                    </v>
          </cell>
          <cell r="J179" t="str">
            <v xml:space="preserve">011-14424      </v>
          </cell>
          <cell r="K179" t="str">
            <v>ANTIOQUIA</v>
          </cell>
          <cell r="L179" t="str">
            <v>CAÑASGORDAS</v>
          </cell>
        </row>
        <row r="180">
          <cell r="A180">
            <v>21609250</v>
          </cell>
          <cell r="B180" t="str">
            <v>8909002860</v>
          </cell>
          <cell r="C180" t="str">
            <v>CATASTRO ANTIOQUIA.</v>
          </cell>
          <cell r="D180" t="str">
            <v>C.C.</v>
          </cell>
          <cell r="E180" t="str">
            <v>21609250</v>
          </cell>
          <cell r="F180" t="str">
            <v>GARCES          USUGA          MARIA DE LOS ANGELES</v>
          </cell>
          <cell r="G180">
            <v>1</v>
          </cell>
          <cell r="H180" t="str">
            <v>1382001000001100032000000000</v>
          </cell>
          <cell r="I180" t="str">
            <v xml:space="preserve">S.N.                                             </v>
          </cell>
          <cell r="J180" t="str">
            <v/>
          </cell>
          <cell r="K180" t="str">
            <v>ANTIOQUIA</v>
          </cell>
          <cell r="L180" t="str">
            <v>CAÑASGORDAS</v>
          </cell>
        </row>
        <row r="181">
          <cell r="A181">
            <v>21609280</v>
          </cell>
          <cell r="B181" t="str">
            <v>8909002860</v>
          </cell>
          <cell r="C181" t="str">
            <v>CATASTRO ANTIOQUIA.</v>
          </cell>
          <cell r="D181" t="str">
            <v>C.C.</v>
          </cell>
          <cell r="E181" t="str">
            <v>21609280</v>
          </cell>
          <cell r="F181" t="str">
            <v xml:space="preserve">BEDOYA DE SIERRA               ARGEMIRA            </v>
          </cell>
          <cell r="G181">
            <v>1</v>
          </cell>
          <cell r="H181" t="str">
            <v>1382001000001400035000000000</v>
          </cell>
          <cell r="I181" t="str">
            <v xml:space="preserve">EL ROBLE                                         </v>
          </cell>
          <cell r="J181" t="str">
            <v xml:space="preserve">011-15092      </v>
          </cell>
          <cell r="K181" t="str">
            <v>ANTIOQUIA</v>
          </cell>
          <cell r="L181" t="str">
            <v>CAÑASGORDAS</v>
          </cell>
        </row>
        <row r="182">
          <cell r="A182">
            <v>21609344</v>
          </cell>
          <cell r="B182" t="str">
            <v>8909002860</v>
          </cell>
          <cell r="C182" t="str">
            <v>CATASTRO ANTIOQUIA.</v>
          </cell>
          <cell r="D182" t="str">
            <v>C.C.</v>
          </cell>
          <cell r="E182" t="str">
            <v>21609344</v>
          </cell>
          <cell r="F182" t="str">
            <v xml:space="preserve">RUEDA           DE CAMPO       MARIA ROSANA        </v>
          </cell>
          <cell r="G182">
            <v>1</v>
          </cell>
          <cell r="H182" t="str">
            <v>1382002000001300086000000000</v>
          </cell>
          <cell r="I182" t="str">
            <v xml:space="preserve">S.N.                                             </v>
          </cell>
          <cell r="J182" t="str">
            <v/>
          </cell>
          <cell r="K182" t="str">
            <v>ANTIOQUIA</v>
          </cell>
          <cell r="L182" t="str">
            <v>CAÑASGORDAS</v>
          </cell>
        </row>
        <row r="183">
          <cell r="A183">
            <v>21609380</v>
          </cell>
          <cell r="B183" t="str">
            <v>8909002860</v>
          </cell>
          <cell r="C183" t="str">
            <v>CATASTRO ANTIOQUIA.</v>
          </cell>
          <cell r="D183" t="str">
            <v>C.C.</v>
          </cell>
          <cell r="E183" t="str">
            <v>21609380</v>
          </cell>
          <cell r="F183" t="str">
            <v xml:space="preserve">CARDONA DE USUGA               MARIA FRANCISCA     </v>
          </cell>
          <cell r="G183">
            <v>1</v>
          </cell>
          <cell r="H183" t="str">
            <v>1382001000000100027000000000</v>
          </cell>
          <cell r="I183" t="str">
            <v xml:space="preserve">LA SAMARIA                                       </v>
          </cell>
          <cell r="J183" t="str">
            <v xml:space="preserve">011-16385      </v>
          </cell>
          <cell r="K183" t="str">
            <v>ANTIOQUIA</v>
          </cell>
          <cell r="L183" t="str">
            <v>CAÑASGORDAS</v>
          </cell>
        </row>
        <row r="184">
          <cell r="A184">
            <v>21609402</v>
          </cell>
          <cell r="B184" t="str">
            <v>8909002860</v>
          </cell>
          <cell r="C184" t="str">
            <v>CATASTRO ANTIOQUIA.</v>
          </cell>
          <cell r="D184" t="str">
            <v>C.C.</v>
          </cell>
          <cell r="E184" t="str">
            <v>21609402</v>
          </cell>
          <cell r="F184" t="str">
            <v xml:space="preserve">CORREA ARBOLEDA                MARIA DEL SOCORRO   </v>
          </cell>
          <cell r="G184">
            <v>1</v>
          </cell>
          <cell r="H184" t="str">
            <v>1381001001000100020000000000</v>
          </cell>
          <cell r="I184" t="str">
            <v xml:space="preserve">CR 30 N 20-18                                    </v>
          </cell>
          <cell r="J184" t="str">
            <v xml:space="preserve">011-15496      </v>
          </cell>
          <cell r="K184" t="str">
            <v>ANTIOQUIA</v>
          </cell>
          <cell r="L184" t="str">
            <v>CAÑASGORDAS</v>
          </cell>
        </row>
        <row r="185">
          <cell r="A185">
            <v>21609455</v>
          </cell>
          <cell r="B185" t="str">
            <v>8909002860</v>
          </cell>
          <cell r="C185" t="str">
            <v>CATASTRO ANTIOQUIA.</v>
          </cell>
          <cell r="D185" t="str">
            <v>C.C.</v>
          </cell>
          <cell r="E185" t="str">
            <v>21609455</v>
          </cell>
          <cell r="F185" t="str">
            <v xml:space="preserve">CORREA CARO                    LUZ MARIELA         </v>
          </cell>
          <cell r="G185">
            <v>1</v>
          </cell>
          <cell r="H185" t="str">
            <v>1381001001005900003000000000</v>
          </cell>
          <cell r="I185" t="str">
            <v xml:space="preserve">CR 27A N 49A-98                                  </v>
          </cell>
          <cell r="J185" t="str">
            <v xml:space="preserve">011-13920      </v>
          </cell>
          <cell r="K185" t="str">
            <v>ANTIOQUIA</v>
          </cell>
          <cell r="L185" t="str">
            <v>CAÑASGORDAS</v>
          </cell>
        </row>
        <row r="186">
          <cell r="A186">
            <v>21609554</v>
          </cell>
          <cell r="B186" t="str">
            <v>8909002860</v>
          </cell>
          <cell r="C186" t="str">
            <v>CATASTRO ANTIOQUIA.</v>
          </cell>
          <cell r="D186" t="str">
            <v>C.C.</v>
          </cell>
          <cell r="E186" t="str">
            <v>21609554</v>
          </cell>
          <cell r="F186" t="str">
            <v xml:space="preserve">HIGUITA PALACIO                MARIA CRISTINA      </v>
          </cell>
          <cell r="G186">
            <v>1</v>
          </cell>
          <cell r="H186" t="str">
            <v>1382001000000800101000000000</v>
          </cell>
          <cell r="I186" t="str">
            <v xml:space="preserve">LA ESCALERA                                      </v>
          </cell>
          <cell r="J186" t="str">
            <v/>
          </cell>
          <cell r="K186" t="str">
            <v>ANTIOQUIA</v>
          </cell>
          <cell r="L186" t="str">
            <v>CAÑASGORDAS</v>
          </cell>
        </row>
        <row r="187">
          <cell r="A187">
            <v>21609682</v>
          </cell>
          <cell r="B187" t="str">
            <v>8909002860</v>
          </cell>
          <cell r="C187" t="str">
            <v>CATASTRO ANTIOQUIA.</v>
          </cell>
          <cell r="D187" t="str">
            <v>C.C.</v>
          </cell>
          <cell r="E187" t="str">
            <v>21609682</v>
          </cell>
          <cell r="F187" t="str">
            <v xml:space="preserve">CARTAGENA DE ARBOLEDA          MARIA CONSUELO      </v>
          </cell>
          <cell r="G187">
            <v>1</v>
          </cell>
          <cell r="H187" t="str">
            <v>1382001000000400082000000000</v>
          </cell>
          <cell r="I187" t="str">
            <v xml:space="preserve">LA CHINCA                                        </v>
          </cell>
          <cell r="J187" t="str">
            <v xml:space="preserve">011-16030      </v>
          </cell>
          <cell r="K187" t="str">
            <v>ANTIOQUIA</v>
          </cell>
          <cell r="L187" t="str">
            <v>CAÑASGORDAS</v>
          </cell>
        </row>
        <row r="188">
          <cell r="A188">
            <v>21609798</v>
          </cell>
          <cell r="B188" t="str">
            <v>8909002860</v>
          </cell>
          <cell r="C188" t="str">
            <v>CATASTRO ANTIOQUIA.</v>
          </cell>
          <cell r="D188" t="str">
            <v>C.C.</v>
          </cell>
          <cell r="E188" t="str">
            <v>21609798</v>
          </cell>
          <cell r="F188" t="str">
            <v xml:space="preserve">OQUENDO RUIZ                   MARTHA GENIVER      </v>
          </cell>
          <cell r="G188">
            <v>1</v>
          </cell>
          <cell r="H188" t="str">
            <v>1382001000000500131000000000</v>
          </cell>
          <cell r="I188" t="str">
            <v xml:space="preserve">LAS PARTIDAS                                     </v>
          </cell>
          <cell r="J188" t="str">
            <v xml:space="preserve">011-18288      </v>
          </cell>
          <cell r="K188" t="str">
            <v>ANTIOQUIA</v>
          </cell>
          <cell r="L188" t="str">
            <v>CAÑASGORDAS</v>
          </cell>
        </row>
        <row r="189">
          <cell r="A189">
            <v>21609881</v>
          </cell>
          <cell r="B189" t="str">
            <v>8909002860</v>
          </cell>
          <cell r="C189" t="str">
            <v>CATASTRO ANTIOQUIA.</v>
          </cell>
          <cell r="D189" t="str">
            <v>C.C.</v>
          </cell>
          <cell r="E189" t="str">
            <v>21609881</v>
          </cell>
          <cell r="F189" t="str">
            <v xml:space="preserve">RENGIFO URREGO                 ROSMIRA DE JESUS    </v>
          </cell>
          <cell r="G189">
            <v>1</v>
          </cell>
          <cell r="H189" t="str">
            <v>1382004000000400022000000000</v>
          </cell>
          <cell r="I189" t="str">
            <v xml:space="preserve">S.N.                                             </v>
          </cell>
          <cell r="J189" t="str">
            <v xml:space="preserve">011-13706      </v>
          </cell>
          <cell r="K189" t="str">
            <v>ANTIOQUIA</v>
          </cell>
          <cell r="L189" t="str">
            <v>CAÑASGORDAS</v>
          </cell>
        </row>
        <row r="190">
          <cell r="A190">
            <v>21609896</v>
          </cell>
          <cell r="B190" t="str">
            <v>8909002860</v>
          </cell>
          <cell r="C190" t="str">
            <v>CATASTRO ANTIOQUIA.</v>
          </cell>
          <cell r="D190" t="str">
            <v>C.C.</v>
          </cell>
          <cell r="E190" t="str">
            <v>21609896</v>
          </cell>
          <cell r="F190" t="str">
            <v xml:space="preserve">HIGUITA                        MARIA NUBIA         </v>
          </cell>
          <cell r="G190">
            <v>1</v>
          </cell>
          <cell r="H190" t="str">
            <v>1381001001003200007000000000</v>
          </cell>
          <cell r="I190" t="str">
            <v xml:space="preserve">CR 32 N 31-48                                    </v>
          </cell>
          <cell r="J190" t="str">
            <v/>
          </cell>
          <cell r="K190" t="str">
            <v>ANTIOQUIA</v>
          </cell>
          <cell r="L190" t="str">
            <v>CAÑASGORDAS</v>
          </cell>
        </row>
        <row r="191">
          <cell r="A191">
            <v>21609951</v>
          </cell>
          <cell r="B191" t="str">
            <v>8909002860</v>
          </cell>
          <cell r="C191" t="str">
            <v>CATASTRO ANTIOQUIA.</v>
          </cell>
          <cell r="D191" t="str">
            <v>C.C.</v>
          </cell>
          <cell r="E191" t="str">
            <v>21609951</v>
          </cell>
          <cell r="F191" t="str">
            <v xml:space="preserve">CORREA DE GUISAO               MARIA ISTMENIA      </v>
          </cell>
          <cell r="G191">
            <v>1</v>
          </cell>
          <cell r="H191" t="str">
            <v>1381001001005100004000000000</v>
          </cell>
          <cell r="I191" t="str">
            <v xml:space="preserve">CL 48A N 25-27                                   </v>
          </cell>
          <cell r="J191" t="str">
            <v xml:space="preserve">011-14962      </v>
          </cell>
          <cell r="K191" t="str">
            <v>ANTIOQUIA</v>
          </cell>
          <cell r="L191" t="str">
            <v>CAÑASGORDAS</v>
          </cell>
        </row>
        <row r="192">
          <cell r="A192">
            <v>21609962</v>
          </cell>
          <cell r="B192" t="str">
            <v>8909002860</v>
          </cell>
          <cell r="C192" t="str">
            <v>CATASTRO ANTIOQUIA.</v>
          </cell>
          <cell r="D192" t="str">
            <v>C.C.</v>
          </cell>
          <cell r="E192" t="str">
            <v>21609962</v>
          </cell>
          <cell r="F192" t="str">
            <v xml:space="preserve">GAVIRIA DE AGUIRRE             MARIA HERMELINDA    </v>
          </cell>
          <cell r="G192">
            <v>1</v>
          </cell>
          <cell r="H192" t="str">
            <v>1382001000001500060000000000</v>
          </cell>
          <cell r="I192" t="str">
            <v xml:space="preserve">EL JARDIN                                        </v>
          </cell>
          <cell r="J192" t="str">
            <v/>
          </cell>
          <cell r="K192" t="str">
            <v>ANTIOQUIA</v>
          </cell>
          <cell r="L192" t="str">
            <v>CAÑASGORDAS</v>
          </cell>
        </row>
        <row r="193">
          <cell r="A193">
            <v>21609965</v>
          </cell>
          <cell r="B193" t="str">
            <v>8909002860</v>
          </cell>
          <cell r="C193" t="str">
            <v>CATASTRO ANTIOQUIA.</v>
          </cell>
          <cell r="D193" t="str">
            <v>C.C.</v>
          </cell>
          <cell r="E193" t="str">
            <v>21609965</v>
          </cell>
          <cell r="F193" t="str">
            <v xml:space="preserve">MANCO           BEDOYA         LUZ ELENA           </v>
          </cell>
          <cell r="G193">
            <v>1</v>
          </cell>
          <cell r="H193" t="str">
            <v>1382001000002500039000000000</v>
          </cell>
          <cell r="I193" t="str">
            <v xml:space="preserve">EL ROBLE                                         </v>
          </cell>
          <cell r="J193" t="str">
            <v/>
          </cell>
          <cell r="K193" t="str">
            <v>ANTIOQUIA</v>
          </cell>
          <cell r="L193" t="str">
            <v>CAÑASGORDAS</v>
          </cell>
        </row>
        <row r="194">
          <cell r="A194">
            <v>21610100</v>
          </cell>
          <cell r="B194" t="str">
            <v>8909002860</v>
          </cell>
          <cell r="C194" t="str">
            <v>CATASTRO ANTIOQUIA.</v>
          </cell>
          <cell r="D194" t="str">
            <v>C.C.</v>
          </cell>
          <cell r="E194" t="str">
            <v>21610100</v>
          </cell>
          <cell r="F194" t="str">
            <v xml:space="preserve">ZAPATA MONTOYA                 OLGA OLIVA          </v>
          </cell>
          <cell r="G194">
            <v>1</v>
          </cell>
          <cell r="H194" t="str">
            <v>1382001000001200050000000000</v>
          </cell>
          <cell r="I194" t="str">
            <v xml:space="preserve">LA ESPERANZA                                     </v>
          </cell>
          <cell r="J194" t="str">
            <v xml:space="preserve">011-14922      </v>
          </cell>
          <cell r="K194" t="str">
            <v>ANTIOQUIA</v>
          </cell>
          <cell r="L194" t="str">
            <v>CAÑASGORDAS</v>
          </cell>
        </row>
        <row r="195">
          <cell r="A195">
            <v>21610109</v>
          </cell>
          <cell r="B195" t="str">
            <v>8909002860</v>
          </cell>
          <cell r="C195" t="str">
            <v>CATASTRO ANTIOQUIA.</v>
          </cell>
          <cell r="D195" t="str">
            <v>C.C.</v>
          </cell>
          <cell r="E195" t="str">
            <v>21610109</v>
          </cell>
          <cell r="F195" t="str">
            <v xml:space="preserve">MANCO                          MAGDALENA           </v>
          </cell>
          <cell r="G195">
            <v>1</v>
          </cell>
          <cell r="H195" t="str">
            <v>1381001001005900005000000000</v>
          </cell>
          <cell r="I195" t="str">
            <v xml:space="preserve">CR 27A N 49A-102                                 </v>
          </cell>
          <cell r="J195" t="str">
            <v xml:space="preserve">011-16618      </v>
          </cell>
          <cell r="K195" t="str">
            <v>ANTIOQUIA</v>
          </cell>
          <cell r="L195" t="str">
            <v>CAÑASGORDAS</v>
          </cell>
        </row>
        <row r="196">
          <cell r="A196">
            <v>21610337</v>
          </cell>
          <cell r="B196" t="str">
            <v>8909002860</v>
          </cell>
          <cell r="C196" t="str">
            <v>CATASTRO ANTIOQUIA.</v>
          </cell>
          <cell r="D196" t="str">
            <v>C.C.</v>
          </cell>
          <cell r="E196" t="str">
            <v>21610337</v>
          </cell>
          <cell r="F196" t="str">
            <v xml:space="preserve">QUINTERO DE QUINTERO           MARIA ADELINA       </v>
          </cell>
          <cell r="G196">
            <v>1</v>
          </cell>
          <cell r="H196" t="str">
            <v>1382001000001400004000000000</v>
          </cell>
          <cell r="I196" t="str">
            <v xml:space="preserve">CABECERA  DEL PASO                               </v>
          </cell>
          <cell r="J196" t="str">
            <v/>
          </cell>
          <cell r="K196" t="str">
            <v>ANTIOQUIA</v>
          </cell>
          <cell r="L196" t="str">
            <v>CAÑASGORDAS</v>
          </cell>
        </row>
        <row r="197">
          <cell r="A197">
            <v>21610341</v>
          </cell>
          <cell r="B197" t="str">
            <v>8909002860</v>
          </cell>
          <cell r="C197" t="str">
            <v>CATASTRO ANTIOQUIA.</v>
          </cell>
          <cell r="D197" t="str">
            <v>C.C.</v>
          </cell>
          <cell r="E197" t="str">
            <v>21610341</v>
          </cell>
          <cell r="F197" t="str">
            <v xml:space="preserve">USUGA DE SILVA                 ROSA ERCILIA        </v>
          </cell>
          <cell r="G197">
            <v>1</v>
          </cell>
          <cell r="H197" t="str">
            <v>1381001001005300001000000000</v>
          </cell>
          <cell r="I197" t="str">
            <v xml:space="preserve">CR 26 N 49-22                                    </v>
          </cell>
          <cell r="J197" t="str">
            <v xml:space="preserve">011-14929      </v>
          </cell>
          <cell r="K197" t="str">
            <v>ANTIOQUIA</v>
          </cell>
          <cell r="L197" t="str">
            <v>CAÑASGORDAS</v>
          </cell>
        </row>
        <row r="198">
          <cell r="A198">
            <v>21610363</v>
          </cell>
          <cell r="B198" t="str">
            <v>8909002860</v>
          </cell>
          <cell r="C198" t="str">
            <v>CATASTRO ANTIOQUIA.</v>
          </cell>
          <cell r="D198" t="str">
            <v>C.C.</v>
          </cell>
          <cell r="E198" t="str">
            <v>21610363</v>
          </cell>
          <cell r="F198" t="str">
            <v xml:space="preserve">RESTREPO CARO                  GLADYS MARIA        </v>
          </cell>
          <cell r="G198">
            <v>1</v>
          </cell>
          <cell r="H198" t="str">
            <v>1382001000000700017000000000</v>
          </cell>
          <cell r="I198" t="str">
            <v xml:space="preserve">EL CHUPADERO                                     </v>
          </cell>
          <cell r="J198" t="str">
            <v xml:space="preserve">011-19418      </v>
          </cell>
          <cell r="K198" t="str">
            <v>ANTIOQUIA</v>
          </cell>
          <cell r="L198" t="str">
            <v>CAÑASGORDAS</v>
          </cell>
        </row>
        <row r="199">
          <cell r="A199">
            <v>21610429</v>
          </cell>
          <cell r="B199" t="str">
            <v>8909002860</v>
          </cell>
          <cell r="C199" t="str">
            <v>CATASTRO ANTIOQUIA.</v>
          </cell>
          <cell r="D199" t="str">
            <v>C.C.</v>
          </cell>
          <cell r="E199" t="str">
            <v>21610429</v>
          </cell>
          <cell r="F199" t="str">
            <v xml:space="preserve">CARMONA CARMONA                OLIVA               </v>
          </cell>
          <cell r="G199">
            <v>1</v>
          </cell>
          <cell r="H199" t="str">
            <v>1382001000001100064000000000</v>
          </cell>
          <cell r="I199" t="str">
            <v xml:space="preserve">S.N.                                             </v>
          </cell>
          <cell r="J199" t="str">
            <v/>
          </cell>
          <cell r="K199" t="str">
            <v>ANTIOQUIA</v>
          </cell>
          <cell r="L199" t="str">
            <v>CAÑASGORDAS</v>
          </cell>
        </row>
        <row r="200">
          <cell r="A200">
            <v>21610442</v>
          </cell>
          <cell r="B200" t="str">
            <v>8909002860</v>
          </cell>
          <cell r="C200" t="str">
            <v>CATASTRO ANTIOQUIA.</v>
          </cell>
          <cell r="D200" t="str">
            <v>C.C.</v>
          </cell>
          <cell r="E200" t="str">
            <v>21610442</v>
          </cell>
          <cell r="F200" t="str">
            <v xml:space="preserve">VELEZ RUIZ                     RUBIELA             </v>
          </cell>
          <cell r="G200">
            <v>1</v>
          </cell>
          <cell r="H200" t="str">
            <v>1381001001005000008000000000</v>
          </cell>
          <cell r="I200" t="str">
            <v xml:space="preserve">CR 26 N 47-50                                    </v>
          </cell>
          <cell r="J200" t="str">
            <v xml:space="preserve">011-14983      </v>
          </cell>
          <cell r="K200" t="str">
            <v>ANTIOQUIA</v>
          </cell>
          <cell r="L200" t="str">
            <v>CAÑASGORDAS</v>
          </cell>
        </row>
        <row r="201">
          <cell r="A201">
            <v>21610450</v>
          </cell>
          <cell r="B201" t="str">
            <v>8909002860</v>
          </cell>
          <cell r="C201" t="str">
            <v>CATASTRO ANTIOQUIA.</v>
          </cell>
          <cell r="D201" t="str">
            <v>C.C.</v>
          </cell>
          <cell r="E201" t="str">
            <v>21610450</v>
          </cell>
          <cell r="F201" t="str">
            <v xml:space="preserve">VASQUEZ VEGA                   MARTHA INES         </v>
          </cell>
          <cell r="G201">
            <v>1</v>
          </cell>
          <cell r="H201" t="str">
            <v>1381001001005500003000000000</v>
          </cell>
          <cell r="I201" t="str">
            <v xml:space="preserve">CL 36 N 30-31                                    </v>
          </cell>
          <cell r="J201" t="str">
            <v/>
          </cell>
          <cell r="K201" t="str">
            <v>ANTIOQUIA</v>
          </cell>
          <cell r="L201" t="str">
            <v>CAÑASGORDAS</v>
          </cell>
        </row>
        <row r="202">
          <cell r="A202">
            <v>21610454</v>
          </cell>
          <cell r="B202" t="str">
            <v>8909002860</v>
          </cell>
          <cell r="C202" t="str">
            <v>CATASTRO ANTIOQUIA.</v>
          </cell>
          <cell r="D202" t="str">
            <v>C.C.</v>
          </cell>
          <cell r="E202" t="str">
            <v>21610454</v>
          </cell>
          <cell r="F202" t="str">
            <v xml:space="preserve">USUGA ARIAS                    MARTHA EUCARIS      </v>
          </cell>
          <cell r="G202">
            <v>1</v>
          </cell>
          <cell r="H202" t="str">
            <v>1381001001001100006000000000</v>
          </cell>
          <cell r="I202" t="str">
            <v xml:space="preserve">CR 28 N 24-141                                   </v>
          </cell>
          <cell r="J202" t="str">
            <v xml:space="preserve">011-13947      </v>
          </cell>
          <cell r="K202" t="str">
            <v>ANTIOQUIA</v>
          </cell>
          <cell r="L202" t="str">
            <v>CAÑASGORDAS</v>
          </cell>
        </row>
        <row r="203">
          <cell r="A203">
            <v>21610455</v>
          </cell>
          <cell r="B203" t="str">
            <v>8909002860</v>
          </cell>
          <cell r="C203" t="str">
            <v>CATASTRO ANTIOQUIA.</v>
          </cell>
          <cell r="D203" t="str">
            <v>C.C.</v>
          </cell>
          <cell r="E203" t="str">
            <v>21610455</v>
          </cell>
          <cell r="F203" t="str">
            <v xml:space="preserve">GUISAO CARMONA                 BLANCA ELENA        </v>
          </cell>
          <cell r="G203">
            <v>1</v>
          </cell>
          <cell r="H203" t="str">
            <v>1382001000002200021000000000</v>
          </cell>
          <cell r="I203" t="str">
            <v xml:space="preserve">GUADUAS                                          </v>
          </cell>
          <cell r="J203" t="str">
            <v xml:space="preserve">011-14064      </v>
          </cell>
          <cell r="K203" t="str">
            <v>ANTIOQUIA</v>
          </cell>
          <cell r="L203" t="str">
            <v>CAÑASGORDAS</v>
          </cell>
        </row>
        <row r="204">
          <cell r="A204">
            <v>21610484</v>
          </cell>
          <cell r="B204" t="str">
            <v>8909002860</v>
          </cell>
          <cell r="C204" t="str">
            <v>CATASTRO ANTIOQUIA.</v>
          </cell>
          <cell r="D204" t="str">
            <v>C.C.</v>
          </cell>
          <cell r="E204" t="str">
            <v>21610484</v>
          </cell>
          <cell r="F204" t="str">
            <v xml:space="preserve">USUGA                          OFELIA DEL PILAR    </v>
          </cell>
          <cell r="G204">
            <v>1</v>
          </cell>
          <cell r="H204" t="str">
            <v>1382001000001100038000000000</v>
          </cell>
          <cell r="I204" t="str">
            <v xml:space="preserve">LA ILUSION                                       </v>
          </cell>
          <cell r="J204" t="str">
            <v/>
          </cell>
          <cell r="K204" t="str">
            <v>ANTIOQUIA</v>
          </cell>
          <cell r="L204" t="str">
            <v>CAÑASGORDAS</v>
          </cell>
        </row>
        <row r="205">
          <cell r="A205">
            <v>21610648</v>
          </cell>
          <cell r="B205" t="str">
            <v>8909002860</v>
          </cell>
          <cell r="C205" t="str">
            <v>CATASTRO ANTIOQUIA.</v>
          </cell>
          <cell r="D205" t="str">
            <v>C.C.</v>
          </cell>
          <cell r="E205" t="str">
            <v>21610648</v>
          </cell>
          <cell r="F205" t="str">
            <v xml:space="preserve">RUIZ            ARANGO         BEATRIZ ELENA       </v>
          </cell>
          <cell r="G205">
            <v>1</v>
          </cell>
          <cell r="H205" t="str">
            <v>1382001000000100076000000000</v>
          </cell>
          <cell r="I205" t="str">
            <v xml:space="preserve">LAS BRISAS                                       </v>
          </cell>
          <cell r="J205" t="str">
            <v/>
          </cell>
          <cell r="K205" t="str">
            <v>ANTIOQUIA</v>
          </cell>
          <cell r="L205" t="str">
            <v>CAÑASGORDAS</v>
          </cell>
        </row>
        <row r="206">
          <cell r="A206">
            <v>21610680</v>
          </cell>
          <cell r="B206" t="str">
            <v>8909002860</v>
          </cell>
          <cell r="C206" t="str">
            <v>CATASTRO ANTIOQUIA.</v>
          </cell>
          <cell r="D206" t="str">
            <v>C.C.</v>
          </cell>
          <cell r="E206" t="str">
            <v>21610680</v>
          </cell>
          <cell r="F206" t="str">
            <v xml:space="preserve">GRACIANO CARMONA               ANA LIRIA DE JESUS  </v>
          </cell>
          <cell r="G206">
            <v>1</v>
          </cell>
          <cell r="H206" t="str">
            <v>1382001000002500021000000000</v>
          </cell>
          <cell r="I206" t="str">
            <v xml:space="preserve">EL PORVENIR                                      </v>
          </cell>
          <cell r="J206" t="str">
            <v xml:space="preserve">011-19345      </v>
          </cell>
          <cell r="K206" t="str">
            <v>ANTIOQUIA</v>
          </cell>
          <cell r="L206" t="str">
            <v>CAÑASGORDAS</v>
          </cell>
        </row>
        <row r="207">
          <cell r="A207">
            <v>21610697</v>
          </cell>
          <cell r="B207" t="str">
            <v>8909002860</v>
          </cell>
          <cell r="C207" t="str">
            <v>CATASTRO ANTIOQUIA.</v>
          </cell>
          <cell r="D207" t="str">
            <v>C.C.</v>
          </cell>
          <cell r="E207" t="str">
            <v>21610697</v>
          </cell>
          <cell r="F207" t="str">
            <v xml:space="preserve">CASTA?O ESCOBAR                ELVIA ESTER         </v>
          </cell>
          <cell r="G207">
            <v>1</v>
          </cell>
          <cell r="H207" t="str">
            <v>1382002000001300005000000000</v>
          </cell>
          <cell r="I207" t="str">
            <v xml:space="preserve">SAN  MIGUEL                                      </v>
          </cell>
          <cell r="J207" t="str">
            <v/>
          </cell>
          <cell r="K207" t="str">
            <v>ANTIOQUIA</v>
          </cell>
          <cell r="L207" t="str">
            <v>CAÑASGORDAS</v>
          </cell>
        </row>
        <row r="208">
          <cell r="A208">
            <v>21610723</v>
          </cell>
          <cell r="B208" t="str">
            <v>8909002860</v>
          </cell>
          <cell r="C208" t="str">
            <v>CATASTRO ANTIOQUIA.</v>
          </cell>
          <cell r="D208" t="str">
            <v>C.C.</v>
          </cell>
          <cell r="E208" t="str">
            <v>21610723</v>
          </cell>
          <cell r="F208" t="str">
            <v xml:space="preserve">GUISAO CUADROS                 ANA  FALCONERY      </v>
          </cell>
          <cell r="G208">
            <v>1</v>
          </cell>
          <cell r="H208" t="str">
            <v>1381001001003200005000000000</v>
          </cell>
          <cell r="I208" t="str">
            <v xml:space="preserve">CR 32 N 31-38                                    </v>
          </cell>
          <cell r="J208" t="str">
            <v xml:space="preserve">011-14486      </v>
          </cell>
          <cell r="K208" t="str">
            <v>ANTIOQUIA</v>
          </cell>
          <cell r="L208" t="str">
            <v>CAÑASGORDAS</v>
          </cell>
        </row>
        <row r="209">
          <cell r="A209">
            <v>21610860</v>
          </cell>
          <cell r="B209" t="str">
            <v>8909002860</v>
          </cell>
          <cell r="C209" t="str">
            <v>CATASTRO ANTIOQUIA.</v>
          </cell>
          <cell r="D209" t="str">
            <v>C.C.</v>
          </cell>
          <cell r="E209" t="str">
            <v>21610860</v>
          </cell>
          <cell r="F209" t="str">
            <v xml:space="preserve">ALVAREZ CANO                   YOLANDA DEL SOCORRO </v>
          </cell>
          <cell r="G209">
            <v>1</v>
          </cell>
          <cell r="H209" t="str">
            <v>1381001001003200009000000000</v>
          </cell>
          <cell r="I209" t="str">
            <v xml:space="preserve">CR 32 N 31-64                                    </v>
          </cell>
          <cell r="J209" t="str">
            <v xml:space="preserve">011-15200      </v>
          </cell>
          <cell r="K209" t="str">
            <v>ANTIOQUIA</v>
          </cell>
          <cell r="L209" t="str">
            <v>CAÑASGORDAS</v>
          </cell>
        </row>
        <row r="210">
          <cell r="A210">
            <v>21610906</v>
          </cell>
          <cell r="B210" t="str">
            <v>8909002860</v>
          </cell>
          <cell r="C210" t="str">
            <v>CATASTRO ANTIOQUIA.</v>
          </cell>
          <cell r="D210" t="str">
            <v>C.C.</v>
          </cell>
          <cell r="E210" t="str">
            <v>21610906</v>
          </cell>
          <cell r="F210" t="str">
            <v xml:space="preserve">MANCO                          MARIA DEL SOCORRO   </v>
          </cell>
          <cell r="G210">
            <v>1</v>
          </cell>
          <cell r="H210" t="str">
            <v>1382004000000700065000000000</v>
          </cell>
          <cell r="I210" t="str">
            <v xml:space="preserve">LA  FALDA                                        </v>
          </cell>
          <cell r="J210" t="str">
            <v/>
          </cell>
          <cell r="K210" t="str">
            <v>ANTIOQUIA</v>
          </cell>
          <cell r="L210" t="str">
            <v>CAÑASGORDAS</v>
          </cell>
        </row>
        <row r="211">
          <cell r="A211">
            <v>21610911</v>
          </cell>
          <cell r="B211" t="str">
            <v>8909002860</v>
          </cell>
          <cell r="C211" t="str">
            <v>CATASTRO ANTIOQUIA.</v>
          </cell>
          <cell r="D211" t="str">
            <v>C.C.</v>
          </cell>
          <cell r="E211" t="str">
            <v>21610911</v>
          </cell>
          <cell r="F211" t="str">
            <v xml:space="preserve">CORREA          HIGUITA        MARIA DEL SOCORRO   </v>
          </cell>
          <cell r="G211">
            <v>1</v>
          </cell>
          <cell r="H211" t="str">
            <v>1382004000000400044000000000</v>
          </cell>
          <cell r="I211" t="str">
            <v xml:space="preserve">LA  VEGA                                         </v>
          </cell>
          <cell r="J211" t="str">
            <v/>
          </cell>
          <cell r="K211" t="str">
            <v>ANTIOQUIA</v>
          </cell>
          <cell r="L211" t="str">
            <v>CAÑASGORDAS</v>
          </cell>
        </row>
        <row r="212">
          <cell r="A212">
            <v>21610945</v>
          </cell>
          <cell r="B212" t="str">
            <v>8909002860</v>
          </cell>
          <cell r="C212" t="str">
            <v>CATASTRO ANTIOQUIA.</v>
          </cell>
          <cell r="D212" t="str">
            <v>C.C.</v>
          </cell>
          <cell r="E212" t="str">
            <v>21610945</v>
          </cell>
          <cell r="F212" t="str">
            <v xml:space="preserve">MONROY          GIRALDO        ELVIA ROSA          </v>
          </cell>
          <cell r="G212">
            <v>1</v>
          </cell>
          <cell r="H212" t="str">
            <v>1382002000001000013000000000</v>
          </cell>
          <cell r="I212" t="str">
            <v xml:space="preserve">EL PORVENIR                                      </v>
          </cell>
          <cell r="J212" t="str">
            <v/>
          </cell>
          <cell r="K212" t="str">
            <v>ANTIOQUIA</v>
          </cell>
          <cell r="L212" t="str">
            <v>CAÑASGORDAS</v>
          </cell>
        </row>
        <row r="213">
          <cell r="A213">
            <v>21611007</v>
          </cell>
          <cell r="B213" t="str">
            <v>8909002860</v>
          </cell>
          <cell r="C213" t="str">
            <v>CATASTRO ANTIOQUIA.</v>
          </cell>
          <cell r="D213" t="str">
            <v>C.C.</v>
          </cell>
          <cell r="E213" t="str">
            <v>21611007</v>
          </cell>
          <cell r="F213" t="str">
            <v xml:space="preserve">DURANGO         BORJA          MARIA NELLY         </v>
          </cell>
          <cell r="G213">
            <v>1</v>
          </cell>
          <cell r="H213" t="str">
            <v>1382001000000300069000000000</v>
          </cell>
          <cell r="I213" t="str">
            <v xml:space="preserve">S.N.                                             </v>
          </cell>
          <cell r="J213" t="str">
            <v/>
          </cell>
          <cell r="K213" t="str">
            <v>ANTIOQUIA</v>
          </cell>
          <cell r="L213" t="str">
            <v>CAÑASGORDAS</v>
          </cell>
        </row>
        <row r="214">
          <cell r="A214">
            <v>21611039</v>
          </cell>
          <cell r="B214" t="str">
            <v>8909002860</v>
          </cell>
          <cell r="C214" t="str">
            <v>CATASTRO ANTIOQUIA.</v>
          </cell>
          <cell r="D214" t="str">
            <v>C.C.</v>
          </cell>
          <cell r="E214" t="str">
            <v>21611039</v>
          </cell>
          <cell r="F214" t="str">
            <v xml:space="preserve">SALAS AGUIRRE                  MARIA RUBIELA       </v>
          </cell>
          <cell r="G214">
            <v>1</v>
          </cell>
          <cell r="H214" t="str">
            <v>1382001000001400037000000000</v>
          </cell>
          <cell r="I214" t="str">
            <v xml:space="preserve">EL PASO                                          </v>
          </cell>
          <cell r="J214" t="str">
            <v xml:space="preserve">011-15078      </v>
          </cell>
          <cell r="K214" t="str">
            <v>ANTIOQUIA</v>
          </cell>
          <cell r="L214" t="str">
            <v>CAÑASGORDAS</v>
          </cell>
        </row>
        <row r="215">
          <cell r="A215">
            <v>21611070</v>
          </cell>
          <cell r="B215" t="str">
            <v>8909002860</v>
          </cell>
          <cell r="C215" t="str">
            <v>CATASTRO ANTIOQUIA.</v>
          </cell>
          <cell r="D215" t="str">
            <v>C.C.</v>
          </cell>
          <cell r="E215" t="str">
            <v>21611070</v>
          </cell>
          <cell r="F215" t="str">
            <v xml:space="preserve">TANGARIFE                      PIEDAD DE JESUS     </v>
          </cell>
          <cell r="G215">
            <v>1</v>
          </cell>
          <cell r="H215" t="str">
            <v>1381001001001400007000000000</v>
          </cell>
          <cell r="I215" t="str">
            <v xml:space="preserve">CL 25B N 30-140/144                              </v>
          </cell>
          <cell r="J215" t="str">
            <v xml:space="preserve">011-18885      </v>
          </cell>
          <cell r="K215" t="str">
            <v>ANTIOQUIA</v>
          </cell>
          <cell r="L215" t="str">
            <v>CAÑASGORDAS</v>
          </cell>
        </row>
        <row r="216">
          <cell r="A216">
            <v>21611074</v>
          </cell>
          <cell r="B216" t="str">
            <v>8909002860</v>
          </cell>
          <cell r="C216" t="str">
            <v>CATASTRO ANTIOQUIA.</v>
          </cell>
          <cell r="D216" t="str">
            <v>C.C.</v>
          </cell>
          <cell r="E216" t="str">
            <v>21611074</v>
          </cell>
          <cell r="F216" t="str">
            <v xml:space="preserve">PULGARIN        CORREA         MARIA DEL SOCORRO   </v>
          </cell>
          <cell r="G216">
            <v>1</v>
          </cell>
          <cell r="H216" t="str">
            <v>1382004000000100021000000000</v>
          </cell>
          <cell r="I216" t="str">
            <v xml:space="preserve">CHUZA                                            </v>
          </cell>
          <cell r="J216" t="str">
            <v/>
          </cell>
          <cell r="K216" t="str">
            <v>ANTIOQUIA</v>
          </cell>
          <cell r="L216" t="str">
            <v>CAÑASGORDAS</v>
          </cell>
        </row>
        <row r="217">
          <cell r="A217">
            <v>21611248</v>
          </cell>
          <cell r="B217" t="str">
            <v>8909002860</v>
          </cell>
          <cell r="C217" t="str">
            <v>CATASTRO ANTIOQUIA.</v>
          </cell>
          <cell r="D217" t="str">
            <v>C.C.</v>
          </cell>
          <cell r="E217" t="str">
            <v>21611248</v>
          </cell>
          <cell r="F217" t="str">
            <v xml:space="preserve">MAZO GUERRA                    GLORIA ELENA        </v>
          </cell>
          <cell r="G217">
            <v>1</v>
          </cell>
          <cell r="H217" t="str">
            <v>1381001001003900001000000000</v>
          </cell>
          <cell r="I217" t="str">
            <v xml:space="preserve">CL 32 N 32-20                                    </v>
          </cell>
          <cell r="J217" t="str">
            <v/>
          </cell>
          <cell r="K217" t="str">
            <v>ANTIOQUIA</v>
          </cell>
          <cell r="L217" t="str">
            <v>CAÑASGORDAS</v>
          </cell>
        </row>
        <row r="218">
          <cell r="A218">
            <v>21611327</v>
          </cell>
          <cell r="B218" t="str">
            <v>8909002860</v>
          </cell>
          <cell r="C218" t="str">
            <v>CATASTRO ANTIOQUIA.</v>
          </cell>
          <cell r="D218" t="str">
            <v>C.C.</v>
          </cell>
          <cell r="E218" t="str">
            <v>21611327</v>
          </cell>
          <cell r="F218" t="str">
            <v xml:space="preserve">VARGAS          CRUZ           DORA ISABEL         </v>
          </cell>
          <cell r="G218">
            <v>1</v>
          </cell>
          <cell r="H218" t="str">
            <v>1382001000000900040000000000</v>
          </cell>
          <cell r="I218" t="str">
            <v xml:space="preserve">S.N.                                             </v>
          </cell>
          <cell r="J218" t="str">
            <v/>
          </cell>
          <cell r="K218" t="str">
            <v>ANTIOQUIA</v>
          </cell>
          <cell r="L218" t="str">
            <v>CAÑASGORDAS</v>
          </cell>
        </row>
        <row r="219">
          <cell r="A219">
            <v>21611394</v>
          </cell>
          <cell r="B219" t="str">
            <v>8909002860</v>
          </cell>
          <cell r="C219" t="str">
            <v>CATASTRO ANTIOQUIA.</v>
          </cell>
          <cell r="D219" t="str">
            <v>C.C.</v>
          </cell>
          <cell r="E219" t="str">
            <v>21611394</v>
          </cell>
          <cell r="F219" t="str">
            <v xml:space="preserve">DAVID           GIRALDO        MARIA DEL CARMEN    </v>
          </cell>
          <cell r="G219">
            <v>1</v>
          </cell>
          <cell r="H219" t="str">
            <v>1382001000000800045000000000</v>
          </cell>
          <cell r="I219" t="str">
            <v xml:space="preserve">S.N.                                             </v>
          </cell>
          <cell r="J219" t="str">
            <v/>
          </cell>
          <cell r="K219" t="str">
            <v>ANTIOQUIA</v>
          </cell>
          <cell r="L219" t="str">
            <v>CAÑASGORDAS</v>
          </cell>
        </row>
        <row r="220">
          <cell r="A220">
            <v>21611451</v>
          </cell>
          <cell r="B220" t="str">
            <v>8909002860</v>
          </cell>
          <cell r="C220" t="str">
            <v>CATASTRO ANTIOQUIA.</v>
          </cell>
          <cell r="D220" t="str">
            <v>C.C.</v>
          </cell>
          <cell r="E220" t="str">
            <v>21611451</v>
          </cell>
          <cell r="F220" t="str">
            <v xml:space="preserve">MANCO           BEATRIZ        ELENA               </v>
          </cell>
          <cell r="G220">
            <v>1</v>
          </cell>
          <cell r="H220" t="str">
            <v>1382001000002500039000000000</v>
          </cell>
          <cell r="I220" t="str">
            <v xml:space="preserve">EL ROBLE                                         </v>
          </cell>
          <cell r="J220" t="str">
            <v/>
          </cell>
          <cell r="K220" t="str">
            <v>ANTIOQUIA</v>
          </cell>
          <cell r="L220" t="str">
            <v>CAÑASGORDAS</v>
          </cell>
        </row>
        <row r="221">
          <cell r="A221">
            <v>21611471</v>
          </cell>
          <cell r="B221" t="str">
            <v>8909002860</v>
          </cell>
          <cell r="C221" t="str">
            <v>CATASTRO ANTIOQUIA.</v>
          </cell>
          <cell r="D221" t="str">
            <v>C.C.</v>
          </cell>
          <cell r="E221" t="str">
            <v>21611471</v>
          </cell>
          <cell r="F221" t="str">
            <v xml:space="preserve">USUGA TANGARIFE                MARIA AURORA        </v>
          </cell>
          <cell r="G221">
            <v>1</v>
          </cell>
          <cell r="H221" t="str">
            <v>1381001001000200012000000000</v>
          </cell>
          <cell r="I221" t="str">
            <v xml:space="preserve">CR 30 N 21-53                                    </v>
          </cell>
          <cell r="J221" t="str">
            <v xml:space="preserve">011-17041      </v>
          </cell>
          <cell r="K221" t="str">
            <v>ANTIOQUIA</v>
          </cell>
          <cell r="L221" t="str">
            <v>CAÑASGORDAS</v>
          </cell>
        </row>
        <row r="222">
          <cell r="A222">
            <v>21611498</v>
          </cell>
          <cell r="B222" t="str">
            <v>8909002860</v>
          </cell>
          <cell r="C222" t="str">
            <v>CATASTRO ANTIOQUIA.</v>
          </cell>
          <cell r="D222" t="str">
            <v>C.C.</v>
          </cell>
          <cell r="E222" t="str">
            <v>21611498</v>
          </cell>
          <cell r="F222" t="str">
            <v xml:space="preserve">DAVID CASTA?O                  MARIA  DEL SOCORRO  </v>
          </cell>
          <cell r="G222">
            <v>1</v>
          </cell>
          <cell r="H222" t="str">
            <v>1382004000000700045000000000</v>
          </cell>
          <cell r="I222" t="str">
            <v xml:space="preserve">CHUZA                                            </v>
          </cell>
          <cell r="J222" t="str">
            <v xml:space="preserve">011-16739      </v>
          </cell>
          <cell r="K222" t="str">
            <v>ANTIOQUIA</v>
          </cell>
          <cell r="L222" t="str">
            <v>CAÑASGORDAS</v>
          </cell>
        </row>
        <row r="223">
          <cell r="A223">
            <v>21611500</v>
          </cell>
          <cell r="B223" t="str">
            <v>8909002860</v>
          </cell>
          <cell r="C223" t="str">
            <v>CATASTRO ANTIOQUIA.</v>
          </cell>
          <cell r="D223" t="str">
            <v>C.C.</v>
          </cell>
          <cell r="E223" t="str">
            <v>21611500</v>
          </cell>
          <cell r="F223" t="str">
            <v xml:space="preserve">YEPES           GUISAO         LUZ AMPARO          </v>
          </cell>
          <cell r="G223">
            <v>1</v>
          </cell>
          <cell r="H223" t="str">
            <v>1382001000001400033000000000</v>
          </cell>
          <cell r="I223" t="str">
            <v xml:space="preserve">EL GALLINAZO                                     </v>
          </cell>
          <cell r="J223" t="str">
            <v/>
          </cell>
          <cell r="K223" t="str">
            <v>ANTIOQUIA</v>
          </cell>
          <cell r="L223" t="str">
            <v>CAÑASGORDAS</v>
          </cell>
        </row>
        <row r="224">
          <cell r="A224">
            <v>21611506</v>
          </cell>
          <cell r="B224" t="str">
            <v>8909002860</v>
          </cell>
          <cell r="C224" t="str">
            <v>CATASTRO ANTIOQUIA.</v>
          </cell>
          <cell r="D224" t="str">
            <v>C.C.</v>
          </cell>
          <cell r="E224" t="str">
            <v>21611506</v>
          </cell>
          <cell r="F224" t="str">
            <v xml:space="preserve">DAVID           DE ESCOBAR     MARIA CLEOTILDE     </v>
          </cell>
          <cell r="G224">
            <v>1</v>
          </cell>
          <cell r="H224" t="str">
            <v>1382002000001300008000000000</v>
          </cell>
          <cell r="I224" t="str">
            <v xml:space="preserve">S.N..                                            </v>
          </cell>
          <cell r="J224" t="str">
            <v/>
          </cell>
          <cell r="K224" t="str">
            <v>ANTIOQUIA</v>
          </cell>
          <cell r="L224" t="str">
            <v>CAÑASGORDAS</v>
          </cell>
        </row>
        <row r="225">
          <cell r="A225">
            <v>21612061</v>
          </cell>
          <cell r="B225" t="str">
            <v>8909002860</v>
          </cell>
          <cell r="C225" t="str">
            <v>CATASTRO ANTIOQUIA.</v>
          </cell>
          <cell r="D225" t="str">
            <v>C.C.</v>
          </cell>
          <cell r="E225" t="str">
            <v>21612061</v>
          </cell>
          <cell r="F225" t="str">
            <v xml:space="preserve">ESCOBAR DE CASTA?O             ROSA AMELIA         </v>
          </cell>
          <cell r="G225">
            <v>1</v>
          </cell>
          <cell r="H225" t="str">
            <v>1382002000001300032000000000</v>
          </cell>
          <cell r="I225" t="str">
            <v xml:space="preserve">SANTO  DOMINGO                                   </v>
          </cell>
          <cell r="J225" t="str">
            <v/>
          </cell>
          <cell r="K225" t="str">
            <v>ANTIOQUIA</v>
          </cell>
          <cell r="L225" t="str">
            <v>CAÑASGORDAS</v>
          </cell>
        </row>
        <row r="226">
          <cell r="A226">
            <v>21612106</v>
          </cell>
          <cell r="B226" t="str">
            <v>8909002860</v>
          </cell>
          <cell r="C226" t="str">
            <v>CATASTRO ANTIOQUIA.</v>
          </cell>
          <cell r="D226" t="str">
            <v>C.C.</v>
          </cell>
          <cell r="E226" t="str">
            <v>21612106</v>
          </cell>
          <cell r="F226" t="str">
            <v xml:space="preserve">GIRALDO DE DAVID               ROSA ANGELICA       </v>
          </cell>
          <cell r="G226">
            <v>1</v>
          </cell>
          <cell r="H226" t="str">
            <v>1381001001004100112000000000</v>
          </cell>
          <cell r="I226" t="str">
            <v xml:space="preserve">CR 28 N 34A-83                                   </v>
          </cell>
          <cell r="J226" t="str">
            <v xml:space="preserve">011-18665      </v>
          </cell>
          <cell r="K226" t="str">
            <v>ANTIOQUIA</v>
          </cell>
          <cell r="L226" t="str">
            <v>CAÑASGORDAS</v>
          </cell>
        </row>
        <row r="227">
          <cell r="A227">
            <v>21612176</v>
          </cell>
          <cell r="B227" t="str">
            <v>8909002860</v>
          </cell>
          <cell r="C227" t="str">
            <v>CATASTRO ANTIOQUIA.</v>
          </cell>
          <cell r="D227" t="str">
            <v>C.C.</v>
          </cell>
          <cell r="E227" t="str">
            <v>21612176</v>
          </cell>
          <cell r="F227" t="str">
            <v xml:space="preserve">GOEZ            DE MONROY      ELVIA ESTHER        </v>
          </cell>
          <cell r="G227">
            <v>1</v>
          </cell>
          <cell r="H227" t="str">
            <v>1382002000000800078000000000</v>
          </cell>
          <cell r="I227" t="str">
            <v xml:space="preserve">SAN MIGUEL                                       </v>
          </cell>
          <cell r="J227" t="str">
            <v/>
          </cell>
          <cell r="K227" t="str">
            <v>ANTIOQUIA</v>
          </cell>
          <cell r="L227" t="str">
            <v>CAÑASGORDAS</v>
          </cell>
        </row>
        <row r="228">
          <cell r="A228">
            <v>21612198</v>
          </cell>
          <cell r="B228" t="str">
            <v>8909002860</v>
          </cell>
          <cell r="C228" t="str">
            <v>CATASTRO ANTIOQUIA.</v>
          </cell>
          <cell r="D228" t="str">
            <v>C.C.</v>
          </cell>
          <cell r="E228" t="str">
            <v>21612198</v>
          </cell>
          <cell r="F228" t="str">
            <v xml:space="preserve">OSORIO DE AGUIRRE              MARIA  CLEOFE       </v>
          </cell>
          <cell r="G228">
            <v>1</v>
          </cell>
          <cell r="H228" t="str">
            <v>1381004001000200006000000000</v>
          </cell>
          <cell r="I228" t="str">
            <v xml:space="preserve">CL 20 N 20-258                                   </v>
          </cell>
          <cell r="J228" t="str">
            <v xml:space="preserve">011-19668      </v>
          </cell>
          <cell r="K228" t="str">
            <v>ANTIOQUIA</v>
          </cell>
          <cell r="L228" t="str">
            <v>CAÑASGORDAS</v>
          </cell>
        </row>
        <row r="229">
          <cell r="A229">
            <v>21612278</v>
          </cell>
          <cell r="B229" t="str">
            <v>8909002860</v>
          </cell>
          <cell r="C229" t="str">
            <v>CATASTRO ANTIOQUIA.</v>
          </cell>
          <cell r="D229" t="str">
            <v>C.C.</v>
          </cell>
          <cell r="E229" t="str">
            <v>21612278</v>
          </cell>
          <cell r="F229" t="str">
            <v xml:space="preserve">USUGA USUGA                    ROSA MARGARITA      </v>
          </cell>
          <cell r="G229">
            <v>1</v>
          </cell>
          <cell r="H229" t="str">
            <v>1381004001000100011000000000</v>
          </cell>
          <cell r="I229" t="str">
            <v xml:space="preserve">CL 19 N 19-183                                   </v>
          </cell>
          <cell r="J229" t="str">
            <v xml:space="preserve">011-19640      </v>
          </cell>
          <cell r="K229" t="str">
            <v>ANTIOQUIA</v>
          </cell>
          <cell r="L229" t="str">
            <v>CAÑASGORDAS</v>
          </cell>
        </row>
        <row r="230">
          <cell r="A230">
            <v>21612281</v>
          </cell>
          <cell r="B230" t="str">
            <v>8909002860</v>
          </cell>
          <cell r="C230" t="str">
            <v>CATASTRO ANTIOQUIA.</v>
          </cell>
          <cell r="D230" t="str">
            <v>C.C.</v>
          </cell>
          <cell r="E230" t="str">
            <v>21612281</v>
          </cell>
          <cell r="F230" t="str">
            <v xml:space="preserve">PUERTA                         MARIA AURORA        </v>
          </cell>
          <cell r="G230">
            <v>1</v>
          </cell>
          <cell r="H230" t="str">
            <v>1381002001000700001000000000</v>
          </cell>
          <cell r="I230" t="str">
            <v xml:space="preserve">CR 20 N 251-02/04/06                             </v>
          </cell>
          <cell r="J230" t="str">
            <v xml:space="preserve">011-16733      </v>
          </cell>
          <cell r="K230" t="str">
            <v>ANTIOQUIA</v>
          </cell>
          <cell r="L230" t="str">
            <v>CAÑASGORDAS</v>
          </cell>
        </row>
        <row r="231">
          <cell r="A231">
            <v>21612462</v>
          </cell>
          <cell r="B231" t="str">
            <v>8909002860</v>
          </cell>
          <cell r="C231" t="str">
            <v>CATASTRO ANTIOQUIA.</v>
          </cell>
          <cell r="D231" t="str">
            <v>C.C.</v>
          </cell>
          <cell r="E231" t="str">
            <v>21612462</v>
          </cell>
          <cell r="F231" t="str">
            <v xml:space="preserve">USUGA           GARCIA         MARIA VIRGELINA     </v>
          </cell>
          <cell r="G231">
            <v>1</v>
          </cell>
          <cell r="H231" t="str">
            <v>1382002000000400012000000000</v>
          </cell>
          <cell r="I231" t="str">
            <v xml:space="preserve">LA  AGUADITA                                     </v>
          </cell>
          <cell r="J231" t="str">
            <v/>
          </cell>
          <cell r="K231" t="str">
            <v>ANTIOQUIA</v>
          </cell>
          <cell r="L231" t="str">
            <v>CAÑASGORDAS</v>
          </cell>
        </row>
        <row r="232">
          <cell r="A232">
            <v>21612506</v>
          </cell>
          <cell r="B232" t="str">
            <v>8909002860</v>
          </cell>
          <cell r="C232" t="str">
            <v>CATASTRO ANTIOQUIA.</v>
          </cell>
          <cell r="D232" t="str">
            <v>C.C.</v>
          </cell>
          <cell r="E232" t="str">
            <v>21612506</v>
          </cell>
          <cell r="F232" t="str">
            <v xml:space="preserve">DURANGO         DE USUGA       BLANCA INES         </v>
          </cell>
          <cell r="G232">
            <v>1</v>
          </cell>
          <cell r="H232" t="str">
            <v>1382002000001400082000000000</v>
          </cell>
          <cell r="I232" t="str">
            <v xml:space="preserve">S.N.                                             </v>
          </cell>
          <cell r="J232" t="str">
            <v/>
          </cell>
          <cell r="K232" t="str">
            <v>ANTIOQUIA</v>
          </cell>
          <cell r="L232" t="str">
            <v>CAÑASGORDAS</v>
          </cell>
        </row>
        <row r="233">
          <cell r="A233">
            <v>21614103</v>
          </cell>
          <cell r="B233" t="str">
            <v>8909002860</v>
          </cell>
          <cell r="C233" t="str">
            <v>CATASTRO ANTIOQUIA.</v>
          </cell>
          <cell r="D233" t="str">
            <v>C.C.</v>
          </cell>
          <cell r="E233" t="str">
            <v>21614103</v>
          </cell>
          <cell r="F233" t="str">
            <v xml:space="preserve">USUGA           VALDERRAMA     ANA OFELIA          </v>
          </cell>
          <cell r="G233">
            <v>1</v>
          </cell>
          <cell r="H233" t="str">
            <v>1382003000000700027000000000</v>
          </cell>
          <cell r="I233" t="str">
            <v xml:space="preserve">VILLA  HERMOSA                                   </v>
          </cell>
          <cell r="J233" t="str">
            <v/>
          </cell>
          <cell r="K233" t="str">
            <v>ANTIOQUIA</v>
          </cell>
          <cell r="L233" t="str">
            <v>CAÑASGORDAS</v>
          </cell>
        </row>
        <row r="234">
          <cell r="A234">
            <v>21614370</v>
          </cell>
          <cell r="B234" t="str">
            <v>8909002860</v>
          </cell>
          <cell r="C234" t="str">
            <v>CATASTRO ANTIOQUIA.</v>
          </cell>
          <cell r="D234" t="str">
            <v>C.C.</v>
          </cell>
          <cell r="E234" t="str">
            <v>21614370</v>
          </cell>
          <cell r="F234" t="str">
            <v xml:space="preserve">VARELOS         GOEZ           MAGDALENA           </v>
          </cell>
          <cell r="G234">
            <v>1</v>
          </cell>
          <cell r="H234" t="str">
            <v>1382003000000300075000000000</v>
          </cell>
          <cell r="I234" t="str">
            <v xml:space="preserve">S..N                                             </v>
          </cell>
          <cell r="J234" t="str">
            <v/>
          </cell>
          <cell r="K234" t="str">
            <v>ANTIOQUIA</v>
          </cell>
          <cell r="L234" t="str">
            <v>CAÑASGORDAS</v>
          </cell>
        </row>
        <row r="235">
          <cell r="A235">
            <v>21614384</v>
          </cell>
          <cell r="B235" t="str">
            <v>8909002860</v>
          </cell>
          <cell r="C235" t="str">
            <v>CATASTRO ANTIOQUIA.</v>
          </cell>
          <cell r="D235" t="str">
            <v>C.C.</v>
          </cell>
          <cell r="E235" t="str">
            <v>21614384</v>
          </cell>
          <cell r="F235" t="str">
            <v xml:space="preserve">SALAS VALLE                    LUZ MARINA          </v>
          </cell>
          <cell r="G235">
            <v>1</v>
          </cell>
          <cell r="H235" t="str">
            <v>1381003001001300011000000000</v>
          </cell>
          <cell r="I235" t="str">
            <v xml:space="preserve">CR 20 N 20-67                                    </v>
          </cell>
          <cell r="J235" t="str">
            <v xml:space="preserve">011-16168      </v>
          </cell>
          <cell r="K235" t="str">
            <v>ANTIOQUIA</v>
          </cell>
          <cell r="L235" t="str">
            <v>CAÑASGORDAS</v>
          </cell>
        </row>
        <row r="236">
          <cell r="A236">
            <v>21614578</v>
          </cell>
          <cell r="B236" t="str">
            <v>8909002860</v>
          </cell>
          <cell r="C236" t="str">
            <v>CATASTRO ANTIOQUIA.</v>
          </cell>
          <cell r="D236" t="str">
            <v>C.C.</v>
          </cell>
          <cell r="E236" t="str">
            <v>21614578</v>
          </cell>
          <cell r="F236" t="str">
            <v xml:space="preserve">GARCIA                         ROSA ANGELICA       </v>
          </cell>
          <cell r="G236">
            <v>1</v>
          </cell>
          <cell r="H236" t="str">
            <v>1382003000000300067000000000</v>
          </cell>
          <cell r="I236" t="str">
            <v xml:space="preserve">LA  ESPERANZA                                    </v>
          </cell>
          <cell r="J236" t="str">
            <v xml:space="preserve">011-18455      </v>
          </cell>
          <cell r="K236" t="str">
            <v>ANTIOQUIA</v>
          </cell>
          <cell r="L236" t="str">
            <v>CAÑASGORDAS</v>
          </cell>
        </row>
        <row r="237">
          <cell r="A237">
            <v>21692845</v>
          </cell>
          <cell r="B237" t="str">
            <v>8909002860</v>
          </cell>
          <cell r="C237" t="str">
            <v>CATASTRO ANTIOQUIA.</v>
          </cell>
          <cell r="D237" t="str">
            <v>C.C.</v>
          </cell>
          <cell r="E237" t="str">
            <v>21692845</v>
          </cell>
          <cell r="F237" t="str">
            <v xml:space="preserve">HIGUITA DE DURANGO             MARIA IRENE         </v>
          </cell>
          <cell r="G237">
            <v>1</v>
          </cell>
          <cell r="H237" t="str">
            <v>1382001000000800094000000000</v>
          </cell>
          <cell r="I237" t="str">
            <v xml:space="preserve">S.N.                                             </v>
          </cell>
          <cell r="J237" t="str">
            <v/>
          </cell>
          <cell r="K237" t="str">
            <v>ANTIOQUIA</v>
          </cell>
          <cell r="L237" t="str">
            <v>CAÑASGORDAS</v>
          </cell>
        </row>
        <row r="238">
          <cell r="A238">
            <v>21693449</v>
          </cell>
          <cell r="B238" t="str">
            <v>8909002860</v>
          </cell>
          <cell r="C238" t="str">
            <v>CATASTRO ANTIOQUIA.</v>
          </cell>
          <cell r="D238" t="str">
            <v>C.C.</v>
          </cell>
          <cell r="E238" t="str">
            <v>21693449</v>
          </cell>
          <cell r="F238" t="str">
            <v xml:space="preserve">GRACIANO PUERTA                LUZ ELENA           </v>
          </cell>
          <cell r="G238">
            <v>1</v>
          </cell>
          <cell r="H238" t="str">
            <v>1382003000000200035000000000</v>
          </cell>
          <cell r="I238" t="str">
            <v xml:space="preserve">EL BOSQUE                                        </v>
          </cell>
          <cell r="J238" t="str">
            <v xml:space="preserve">011-16802      </v>
          </cell>
          <cell r="K238" t="str">
            <v>ANTIOQUIA</v>
          </cell>
          <cell r="L238" t="str">
            <v>CAÑASGORDAS</v>
          </cell>
        </row>
        <row r="239">
          <cell r="A239">
            <v>21757812</v>
          </cell>
          <cell r="B239" t="str">
            <v>8909002860</v>
          </cell>
          <cell r="C239" t="str">
            <v>CATASTRO ANTIOQUIA.</v>
          </cell>
          <cell r="D239" t="str">
            <v>C.C.</v>
          </cell>
          <cell r="E239" t="str">
            <v>21757812</v>
          </cell>
          <cell r="F239" t="str">
            <v>SEPULVEDA DE CAMPO             MARIA DE LOS ANGELES</v>
          </cell>
          <cell r="G239">
            <v>1</v>
          </cell>
          <cell r="H239" t="str">
            <v>1382001000000100040000000000</v>
          </cell>
          <cell r="I239" t="str">
            <v xml:space="preserve">LA SIBERIA                                       </v>
          </cell>
          <cell r="J239" t="str">
            <v xml:space="preserve">000-60         </v>
          </cell>
          <cell r="K239" t="str">
            <v>ANTIOQUIA</v>
          </cell>
          <cell r="L239" t="str">
            <v>CAÑASGORDAS</v>
          </cell>
        </row>
        <row r="240">
          <cell r="A240">
            <v>21758025</v>
          </cell>
          <cell r="B240" t="str">
            <v>8909002860</v>
          </cell>
          <cell r="C240" t="str">
            <v>CATASTRO ANTIOQUIA.</v>
          </cell>
          <cell r="D240" t="str">
            <v>C.C.</v>
          </cell>
          <cell r="E240" t="str">
            <v>21758025</v>
          </cell>
          <cell r="F240" t="str">
            <v xml:space="preserve">SILVA SEPULVEDA                ROSALBA             </v>
          </cell>
          <cell r="G240">
            <v>1</v>
          </cell>
          <cell r="H240" t="str">
            <v>1381001001006000002000000000</v>
          </cell>
          <cell r="I240" t="str">
            <v xml:space="preserve">CR 27A N 47-111                                  </v>
          </cell>
          <cell r="J240" t="str">
            <v xml:space="preserve">011-13796      </v>
          </cell>
          <cell r="K240" t="str">
            <v>ANTIOQUIA</v>
          </cell>
          <cell r="L240" t="str">
            <v>CAÑASGORDAS</v>
          </cell>
        </row>
        <row r="241">
          <cell r="A241">
            <v>21758553</v>
          </cell>
          <cell r="B241" t="str">
            <v>8909002860</v>
          </cell>
          <cell r="C241" t="str">
            <v>CATASTRO ANTIOQUIA.</v>
          </cell>
          <cell r="D241" t="str">
            <v>C.C.</v>
          </cell>
          <cell r="E241" t="str">
            <v>21758553</v>
          </cell>
          <cell r="F241" t="str">
            <v xml:space="preserve">HIGUITA SEPULVEDA              LIGIA ROSA          </v>
          </cell>
          <cell r="G241">
            <v>1</v>
          </cell>
          <cell r="H241" t="str">
            <v>1382001000002400111000000000</v>
          </cell>
          <cell r="I241" t="str">
            <v xml:space="preserve">EL PORVENIR                                      </v>
          </cell>
          <cell r="J241" t="str">
            <v xml:space="preserve">011-16495      </v>
          </cell>
          <cell r="K241" t="str">
            <v>ANTIOQUIA</v>
          </cell>
          <cell r="L241" t="str">
            <v>CAÑASGORDAS</v>
          </cell>
        </row>
        <row r="242">
          <cell r="A242">
            <v>21884532</v>
          </cell>
          <cell r="B242" t="str">
            <v>8909002860</v>
          </cell>
          <cell r="C242" t="str">
            <v>CATASTRO ANTIOQUIA.</v>
          </cell>
          <cell r="D242" t="str">
            <v>C.C.</v>
          </cell>
          <cell r="E242" t="str">
            <v>21884532</v>
          </cell>
          <cell r="F242" t="str">
            <v xml:space="preserve">AGUIRRE DE CELADA              MARIA ORBILIA       </v>
          </cell>
          <cell r="G242">
            <v>1</v>
          </cell>
          <cell r="H242" t="str">
            <v>1381001001005000015000000000</v>
          </cell>
          <cell r="I242" t="str">
            <v xml:space="preserve">CR 26 N 47-90                                    </v>
          </cell>
          <cell r="J242" t="str">
            <v xml:space="preserve">011-14977      </v>
          </cell>
          <cell r="K242" t="str">
            <v>ANTIOQUIA</v>
          </cell>
          <cell r="L242" t="str">
            <v>CAÑASGORDAS</v>
          </cell>
        </row>
        <row r="243">
          <cell r="A243">
            <v>21894550</v>
          </cell>
          <cell r="B243" t="str">
            <v>8909002860</v>
          </cell>
          <cell r="C243" t="str">
            <v>CATASTRO ANTIOQUIA.</v>
          </cell>
          <cell r="D243" t="str">
            <v>C.C.</v>
          </cell>
          <cell r="E243" t="str">
            <v>21894550</v>
          </cell>
          <cell r="F243" t="str">
            <v xml:space="preserve">PEREZ           NAVARRO        SOL MARIA           </v>
          </cell>
          <cell r="G243">
            <v>1</v>
          </cell>
          <cell r="H243" t="str">
            <v>1382001000001800057000000000</v>
          </cell>
          <cell r="I243" t="str">
            <v xml:space="preserve">EL PORVENIR                                      </v>
          </cell>
          <cell r="J243" t="str">
            <v/>
          </cell>
          <cell r="K243" t="str">
            <v>ANTIOQUIA</v>
          </cell>
          <cell r="L243" t="str">
            <v>CAÑASGORDAS</v>
          </cell>
        </row>
        <row r="244">
          <cell r="A244">
            <v>21911451</v>
          </cell>
          <cell r="B244" t="str">
            <v>8909002860</v>
          </cell>
          <cell r="C244" t="str">
            <v>CATASTRO ANTIOQUIA.</v>
          </cell>
          <cell r="D244" t="str">
            <v>C.C.</v>
          </cell>
          <cell r="E244" t="str">
            <v>21911451</v>
          </cell>
          <cell r="F244" t="str">
            <v xml:space="preserve">TUBERQUIA       VALLE          LUZ ELBA            </v>
          </cell>
          <cell r="G244">
            <v>1</v>
          </cell>
          <cell r="H244" t="str">
            <v>1382003000000800051000000000</v>
          </cell>
          <cell r="I244" t="str">
            <v xml:space="preserve">S.N.                                             </v>
          </cell>
          <cell r="J244" t="str">
            <v/>
          </cell>
          <cell r="K244" t="str">
            <v>ANTIOQUIA</v>
          </cell>
          <cell r="L244" t="str">
            <v>CAÑASGORDAS</v>
          </cell>
        </row>
        <row r="245">
          <cell r="A245">
            <v>22228443</v>
          </cell>
          <cell r="B245" t="str">
            <v>8909002860</v>
          </cell>
          <cell r="C245" t="str">
            <v>CATASTRO ANTIOQUIA.</v>
          </cell>
          <cell r="D245" t="str">
            <v>C.C.</v>
          </cell>
          <cell r="E245" t="str">
            <v>22228443</v>
          </cell>
          <cell r="F245" t="str">
            <v xml:space="preserve">CASTA?O DE URREGO              LIGIA               </v>
          </cell>
          <cell r="G245">
            <v>1</v>
          </cell>
          <cell r="H245" t="str">
            <v>1381001001004100022000000000</v>
          </cell>
          <cell r="I245" t="str">
            <v xml:space="preserve">CR 30 N 35-79 INT 102                            </v>
          </cell>
          <cell r="J245" t="str">
            <v xml:space="preserve">011-16260      </v>
          </cell>
          <cell r="K245" t="str">
            <v>ANTIOQUIA</v>
          </cell>
          <cell r="L245" t="str">
            <v>CAÑASGORDAS</v>
          </cell>
        </row>
        <row r="246">
          <cell r="A246">
            <v>24415255</v>
          </cell>
          <cell r="B246" t="str">
            <v>8909002860</v>
          </cell>
          <cell r="C246" t="str">
            <v>CATASTRO ANTIOQUIA.</v>
          </cell>
          <cell r="D246" t="str">
            <v>C.C.</v>
          </cell>
          <cell r="E246" t="str">
            <v>24415255</v>
          </cell>
          <cell r="F246" t="str">
            <v xml:space="preserve">ARBOLEDA        MORENO         NIDIA EDIS          </v>
          </cell>
          <cell r="G246">
            <v>1</v>
          </cell>
          <cell r="H246" t="str">
            <v>1381001001000500022000000000</v>
          </cell>
          <cell r="I246" t="str">
            <v xml:space="preserve">CR 30 N 23A-448                                  </v>
          </cell>
          <cell r="J246" t="str">
            <v xml:space="preserve">011-14740      </v>
          </cell>
          <cell r="K246" t="str">
            <v>ANTIOQUIA</v>
          </cell>
          <cell r="L246" t="str">
            <v>CAÑASGORDAS</v>
          </cell>
        </row>
        <row r="247">
          <cell r="A247">
            <v>32104830</v>
          </cell>
          <cell r="B247" t="str">
            <v>8909002860</v>
          </cell>
          <cell r="C247" t="str">
            <v>CATASTRO ANTIOQUIA.</v>
          </cell>
          <cell r="D247" t="str">
            <v>C.C.</v>
          </cell>
          <cell r="E247" t="str">
            <v>32104830</v>
          </cell>
          <cell r="F247" t="str">
            <v xml:space="preserve">OSORIO          DAVID          GLORIA EMILSE       </v>
          </cell>
          <cell r="G247">
            <v>1</v>
          </cell>
          <cell r="H247" t="str">
            <v>1382004000000100037000000000</v>
          </cell>
          <cell r="I247" t="str">
            <v xml:space="preserve">S.N.                                             </v>
          </cell>
          <cell r="J247" t="str">
            <v/>
          </cell>
          <cell r="K247" t="str">
            <v>ANTIOQUIA</v>
          </cell>
          <cell r="L247" t="str">
            <v>CAÑASGORDAS</v>
          </cell>
        </row>
        <row r="248">
          <cell r="A248">
            <v>32275130</v>
          </cell>
          <cell r="B248" t="str">
            <v>8909002860</v>
          </cell>
          <cell r="C248" t="str">
            <v>CATASTRO ANTIOQUIA.</v>
          </cell>
          <cell r="D248" t="str">
            <v>C.C.</v>
          </cell>
          <cell r="E248" t="str">
            <v>32275130</v>
          </cell>
          <cell r="F248" t="str">
            <v xml:space="preserve">SEPULVEDA CAMPO                MARINA DEL SOCORRO  </v>
          </cell>
          <cell r="G248">
            <v>1</v>
          </cell>
          <cell r="H248" t="str">
            <v>1382001000002800013000000000</v>
          </cell>
          <cell r="I248" t="str">
            <v xml:space="preserve">S.N.                                             </v>
          </cell>
          <cell r="J248" t="str">
            <v/>
          </cell>
          <cell r="K248" t="str">
            <v>ANTIOQUIA</v>
          </cell>
          <cell r="L248" t="str">
            <v>CAÑASGORDAS</v>
          </cell>
        </row>
        <row r="249">
          <cell r="A249">
            <v>32291726</v>
          </cell>
          <cell r="B249" t="str">
            <v>8909002860</v>
          </cell>
          <cell r="C249" t="str">
            <v>CATASTRO ANTIOQUIA.</v>
          </cell>
          <cell r="D249" t="str">
            <v>C.C.</v>
          </cell>
          <cell r="E249" t="str">
            <v>32291726</v>
          </cell>
          <cell r="F249" t="str">
            <v xml:space="preserve">PINO CARDONA                   FLOR ELEYDA         </v>
          </cell>
          <cell r="G249">
            <v>1</v>
          </cell>
          <cell r="H249" t="str">
            <v>1381003001001100011000000000</v>
          </cell>
          <cell r="I249" t="str">
            <v xml:space="preserve">CR 21 N 18-74                                    </v>
          </cell>
          <cell r="J249" t="str">
            <v/>
          </cell>
          <cell r="K249" t="str">
            <v>ANTIOQUIA</v>
          </cell>
          <cell r="L249" t="str">
            <v>CAÑASGORDAS</v>
          </cell>
        </row>
        <row r="250">
          <cell r="A250">
            <v>32477933</v>
          </cell>
          <cell r="B250" t="str">
            <v>8909002860</v>
          </cell>
          <cell r="C250" t="str">
            <v>CATASTRO ANTIOQUIA.</v>
          </cell>
          <cell r="D250" t="str">
            <v>C.C.</v>
          </cell>
          <cell r="E250" t="str">
            <v>32477933</v>
          </cell>
          <cell r="F250" t="str">
            <v xml:space="preserve">PUERTA DE VASQUEZ              ANA  ELDA           </v>
          </cell>
          <cell r="G250">
            <v>1</v>
          </cell>
          <cell r="H250" t="str">
            <v>1381001001000500023000000000</v>
          </cell>
          <cell r="I250" t="str">
            <v xml:space="preserve">CR 30 N 23A-456                                  </v>
          </cell>
          <cell r="J250" t="str">
            <v xml:space="preserve">011-15476      </v>
          </cell>
          <cell r="K250" t="str">
            <v>ANTIOQUIA</v>
          </cell>
          <cell r="L250" t="str">
            <v>CAÑASGORDAS</v>
          </cell>
        </row>
        <row r="251">
          <cell r="A251">
            <v>39171205</v>
          </cell>
          <cell r="B251" t="str">
            <v>8909002860</v>
          </cell>
          <cell r="C251" t="str">
            <v>CATASTRO ANTIOQUIA.</v>
          </cell>
          <cell r="D251" t="str">
            <v>C.C.</v>
          </cell>
          <cell r="E251" t="str">
            <v>39171205</v>
          </cell>
          <cell r="F251" t="str">
            <v xml:space="preserve">HERNANDEZ GRACIANO             EDILMA              </v>
          </cell>
          <cell r="G251">
            <v>1</v>
          </cell>
          <cell r="H251" t="str">
            <v>1381003001000800016000000000</v>
          </cell>
          <cell r="I251" t="str">
            <v xml:space="preserve">CR 21 N 17-33                                    </v>
          </cell>
          <cell r="J251" t="str">
            <v xml:space="preserve">006-2000132    </v>
          </cell>
          <cell r="K251" t="str">
            <v>ANTIOQUIA</v>
          </cell>
          <cell r="L251" t="str">
            <v>CAÑASGORDAS</v>
          </cell>
        </row>
        <row r="252">
          <cell r="A252">
            <v>39307590</v>
          </cell>
          <cell r="B252" t="str">
            <v>8909002860</v>
          </cell>
          <cell r="C252" t="str">
            <v>CATASTRO ANTIOQUIA.</v>
          </cell>
          <cell r="D252" t="str">
            <v>C.C.</v>
          </cell>
          <cell r="E252" t="str">
            <v>39307590</v>
          </cell>
          <cell r="F252" t="str">
            <v xml:space="preserve">OCHOA HIGUITA                  SIDNEY DEL CARMEN   </v>
          </cell>
          <cell r="G252">
            <v>1</v>
          </cell>
          <cell r="H252" t="str">
            <v>1381001001005000009000000000</v>
          </cell>
          <cell r="I252" t="str">
            <v xml:space="preserve">CR 26 N 47-56                                    </v>
          </cell>
          <cell r="J252" t="str">
            <v xml:space="preserve">011-14982      </v>
          </cell>
          <cell r="K252" t="str">
            <v>ANTIOQUIA</v>
          </cell>
          <cell r="L252" t="str">
            <v>CAÑASGORDAS</v>
          </cell>
        </row>
        <row r="253">
          <cell r="A253">
            <v>43086512</v>
          </cell>
          <cell r="B253" t="str">
            <v>8909002860</v>
          </cell>
          <cell r="C253" t="str">
            <v>CATASTRO ANTIOQUIA.</v>
          </cell>
          <cell r="D253" t="str">
            <v>C.C.</v>
          </cell>
          <cell r="E253" t="str">
            <v>43086512</v>
          </cell>
          <cell r="F253" t="str">
            <v xml:space="preserve">ARBOLEDA GARCES                LUZ  MARINA         </v>
          </cell>
          <cell r="G253">
            <v>1</v>
          </cell>
          <cell r="H253" t="str">
            <v>1381001001000400006000000000</v>
          </cell>
          <cell r="I253" t="str">
            <v xml:space="preserve">CL 23 N 29-22                                    </v>
          </cell>
          <cell r="J253" t="str">
            <v xml:space="preserve">011-16600      </v>
          </cell>
          <cell r="K253" t="str">
            <v>ANTIOQUIA</v>
          </cell>
          <cell r="L253" t="str">
            <v>CAÑASGORDAS</v>
          </cell>
        </row>
        <row r="254">
          <cell r="A254">
            <v>43105157</v>
          </cell>
          <cell r="B254" t="str">
            <v>8909002860</v>
          </cell>
          <cell r="C254" t="str">
            <v>CATASTRO ANTIOQUIA.</v>
          </cell>
          <cell r="D254" t="str">
            <v>C.C.</v>
          </cell>
          <cell r="E254" t="str">
            <v>43105157</v>
          </cell>
          <cell r="F254" t="str">
            <v xml:space="preserve">GUISAO          DIAZ           MARIBEL             </v>
          </cell>
          <cell r="G254">
            <v>1</v>
          </cell>
          <cell r="H254" t="str">
            <v>1382001000001900058000000000</v>
          </cell>
          <cell r="I254" t="str">
            <v xml:space="preserve">MEMBRILLAL                                       </v>
          </cell>
          <cell r="J254" t="str">
            <v/>
          </cell>
          <cell r="K254" t="str">
            <v>ANTIOQUIA</v>
          </cell>
          <cell r="L254" t="str">
            <v>CAÑASGORDAS</v>
          </cell>
        </row>
        <row r="255">
          <cell r="A255">
            <v>43201636</v>
          </cell>
          <cell r="B255" t="str">
            <v>8909002860</v>
          </cell>
          <cell r="C255" t="str">
            <v>CATASTRO ANTIOQUIA.</v>
          </cell>
          <cell r="D255" t="str">
            <v>C.C.</v>
          </cell>
          <cell r="E255" t="str">
            <v>43201636</v>
          </cell>
          <cell r="F255" t="str">
            <v xml:space="preserve">DURANGO  MANCO                 MARIA BERENICE      </v>
          </cell>
          <cell r="G255">
            <v>1</v>
          </cell>
          <cell r="H255" t="str">
            <v>1381001001007400004000100085</v>
          </cell>
          <cell r="I255" t="str">
            <v xml:space="preserve">KR 23 N 51-90 AP 101 TORRE 7                     </v>
          </cell>
          <cell r="J255" t="str">
            <v xml:space="preserve">011-20240      </v>
          </cell>
          <cell r="K255" t="str">
            <v>ANTIOQUIA</v>
          </cell>
          <cell r="L255" t="str">
            <v>CAÑASGORDAS</v>
          </cell>
        </row>
        <row r="256">
          <cell r="A256">
            <v>43418520</v>
          </cell>
          <cell r="B256" t="str">
            <v>8909002860</v>
          </cell>
          <cell r="C256" t="str">
            <v>CATASTRO ANTIOQUIA.</v>
          </cell>
          <cell r="D256" t="str">
            <v>C.C.</v>
          </cell>
          <cell r="E256" t="str">
            <v>43418520</v>
          </cell>
          <cell r="F256" t="str">
            <v xml:space="preserve">CARTAGENA URREGO               BLANCA NUVIA        </v>
          </cell>
          <cell r="G256">
            <v>1</v>
          </cell>
          <cell r="H256" t="str">
            <v>1382003000000300069000000000</v>
          </cell>
          <cell r="I256" t="str">
            <v xml:space="preserve">SANTO DOMINGO                                    </v>
          </cell>
          <cell r="J256" t="str">
            <v xml:space="preserve">011-19205      </v>
          </cell>
          <cell r="K256" t="str">
            <v>ANTIOQUIA</v>
          </cell>
          <cell r="L256" t="str">
            <v>CAÑASGORDAS</v>
          </cell>
        </row>
        <row r="257">
          <cell r="A257">
            <v>43418938</v>
          </cell>
          <cell r="B257" t="str">
            <v>8909002860</v>
          </cell>
          <cell r="C257" t="str">
            <v>CATASTRO ANTIOQUIA.</v>
          </cell>
          <cell r="D257" t="str">
            <v>C.C.</v>
          </cell>
          <cell r="E257" t="str">
            <v>43418938</v>
          </cell>
          <cell r="F257" t="str">
            <v xml:space="preserve">GARCIA          PEREZ          ROSMIRA DEL SOCORRO </v>
          </cell>
          <cell r="G257">
            <v>1</v>
          </cell>
          <cell r="H257" t="str">
            <v>1382001000001900057000000000</v>
          </cell>
          <cell r="I257" t="str">
            <v xml:space="preserve">EL PASO                                          </v>
          </cell>
          <cell r="J257" t="str">
            <v xml:space="preserve">011-18846      </v>
          </cell>
          <cell r="K257" t="str">
            <v>ANTIOQUIA</v>
          </cell>
          <cell r="L257" t="str">
            <v>CAÑASGORDAS</v>
          </cell>
        </row>
        <row r="258">
          <cell r="A258">
            <v>43453126</v>
          </cell>
          <cell r="B258" t="str">
            <v>8909002860</v>
          </cell>
          <cell r="C258" t="str">
            <v>CATASTRO ANTIOQUIA.</v>
          </cell>
          <cell r="D258" t="str">
            <v>C.C.</v>
          </cell>
          <cell r="E258" t="str">
            <v>43453126</v>
          </cell>
          <cell r="F258" t="str">
            <v xml:space="preserve">URREGO          GUZMAN         DIANA MARGOTH       </v>
          </cell>
          <cell r="G258">
            <v>1</v>
          </cell>
          <cell r="H258" t="str">
            <v>1382002000001400028000000000</v>
          </cell>
          <cell r="I258" t="str">
            <v xml:space="preserve">LA  LEGIA                                        </v>
          </cell>
          <cell r="J258" t="str">
            <v/>
          </cell>
          <cell r="K258" t="str">
            <v>ANTIOQUIA</v>
          </cell>
          <cell r="L258" t="str">
            <v>CAÑASGORDAS</v>
          </cell>
        </row>
        <row r="259">
          <cell r="A259">
            <v>43485404</v>
          </cell>
          <cell r="B259" t="str">
            <v>8909002860</v>
          </cell>
          <cell r="C259" t="str">
            <v>CATASTRO ANTIOQUIA.</v>
          </cell>
          <cell r="D259" t="str">
            <v>C.C.</v>
          </cell>
          <cell r="E259" t="str">
            <v>43485404</v>
          </cell>
          <cell r="F259" t="str">
            <v>CASTRO          BORJA          MARIA DE LOS ANGELES</v>
          </cell>
          <cell r="G259">
            <v>1</v>
          </cell>
          <cell r="H259" t="str">
            <v>1382001000001700015000000000</v>
          </cell>
          <cell r="I259" t="str">
            <v xml:space="preserve">S.N.                                             </v>
          </cell>
          <cell r="J259" t="str">
            <v/>
          </cell>
          <cell r="K259" t="str">
            <v>ANTIOQUIA</v>
          </cell>
          <cell r="L259" t="str">
            <v>CAÑASGORDAS</v>
          </cell>
        </row>
        <row r="260">
          <cell r="A260">
            <v>43503331</v>
          </cell>
          <cell r="B260" t="str">
            <v>8909002860</v>
          </cell>
          <cell r="C260" t="str">
            <v>CATASTRO ANTIOQUIA.</v>
          </cell>
          <cell r="D260" t="str">
            <v>C.C.</v>
          </cell>
          <cell r="E260" t="str">
            <v>43503331</v>
          </cell>
          <cell r="F260" t="str">
            <v xml:space="preserve">SIERRA          USUGA          DORIS DEL SOCORRO   </v>
          </cell>
          <cell r="G260">
            <v>1</v>
          </cell>
          <cell r="H260" t="str">
            <v>1382002000000300031000000000</v>
          </cell>
          <cell r="I260" t="str">
            <v xml:space="preserve">LA ISLA                                          </v>
          </cell>
          <cell r="J260" t="str">
            <v/>
          </cell>
          <cell r="K260" t="str">
            <v>ANTIOQUIA</v>
          </cell>
          <cell r="L260" t="str">
            <v>CAÑASGORDAS</v>
          </cell>
        </row>
        <row r="261">
          <cell r="A261">
            <v>43503797</v>
          </cell>
          <cell r="B261" t="str">
            <v>8909002860</v>
          </cell>
          <cell r="C261" t="str">
            <v>CATASTRO ANTIOQUIA.</v>
          </cell>
          <cell r="D261" t="str">
            <v>C.C.</v>
          </cell>
          <cell r="E261" t="str">
            <v>43503797</v>
          </cell>
          <cell r="F261" t="str">
            <v xml:space="preserve">GRACIANO GARCES                MIRIAM DE JESUS     </v>
          </cell>
          <cell r="G261">
            <v>1</v>
          </cell>
          <cell r="H261" t="str">
            <v>1382001000002400127000000000</v>
          </cell>
          <cell r="I261" t="str">
            <v xml:space="preserve">CHUPADERO                                        </v>
          </cell>
          <cell r="J261" t="str">
            <v xml:space="preserve">011-15409      </v>
          </cell>
          <cell r="K261" t="str">
            <v>ANTIOQUIA</v>
          </cell>
          <cell r="L261" t="str">
            <v>CAÑASGORDAS</v>
          </cell>
        </row>
        <row r="262">
          <cell r="A262">
            <v>43572472</v>
          </cell>
          <cell r="B262" t="str">
            <v>8909002860</v>
          </cell>
          <cell r="C262" t="str">
            <v>CATASTRO ANTIOQUIA.</v>
          </cell>
          <cell r="D262" t="str">
            <v>C.C.</v>
          </cell>
          <cell r="E262" t="str">
            <v>43572472</v>
          </cell>
          <cell r="F262" t="str">
            <v xml:space="preserve">CARTAGENA QUINTERO             IRENE DEL SOCORRO   </v>
          </cell>
          <cell r="G262">
            <v>1</v>
          </cell>
          <cell r="H262" t="str">
            <v>1381001001001400067000000000</v>
          </cell>
          <cell r="I262" t="str">
            <v xml:space="preserve">KR 30 N 24-209                                   </v>
          </cell>
          <cell r="J262" t="str">
            <v xml:space="preserve">011-19757      </v>
          </cell>
          <cell r="K262" t="str">
            <v>ANTIOQUIA</v>
          </cell>
          <cell r="L262" t="str">
            <v>CAÑASGORDAS</v>
          </cell>
        </row>
        <row r="263">
          <cell r="A263">
            <v>43780109</v>
          </cell>
          <cell r="B263" t="str">
            <v>8909002860</v>
          </cell>
          <cell r="C263" t="str">
            <v>CATASTRO ANTIOQUIA.</v>
          </cell>
          <cell r="D263" t="str">
            <v>C.C.</v>
          </cell>
          <cell r="E263" t="str">
            <v>43780109</v>
          </cell>
          <cell r="F263" t="str">
            <v xml:space="preserve">VELEZ GAVIRIA                  DIANA CECILIA       </v>
          </cell>
          <cell r="G263">
            <v>1</v>
          </cell>
          <cell r="H263" t="str">
            <v>1381001001001400055000100032</v>
          </cell>
          <cell r="I263" t="str">
            <v xml:space="preserve">KR 30A N 24A-25 AP 208 B B                       </v>
          </cell>
          <cell r="J263" t="str">
            <v xml:space="preserve">011-20027      </v>
          </cell>
          <cell r="K263" t="str">
            <v>ANTIOQUIA</v>
          </cell>
          <cell r="L263" t="str">
            <v>CAÑASGORDAS</v>
          </cell>
        </row>
        <row r="264">
          <cell r="A264">
            <v>43780136</v>
          </cell>
          <cell r="B264" t="str">
            <v>8909002860</v>
          </cell>
          <cell r="C264" t="str">
            <v>CATASTRO ANTIOQUIA.</v>
          </cell>
          <cell r="D264" t="str">
            <v>C.C.</v>
          </cell>
          <cell r="E264" t="str">
            <v>43780136</v>
          </cell>
          <cell r="F264" t="str">
            <v xml:space="preserve">HIGUITA ESCOBAR                MARIA  MARGOT       </v>
          </cell>
          <cell r="G264">
            <v>1</v>
          </cell>
          <cell r="H264" t="str">
            <v>1381002001000900010000000000</v>
          </cell>
          <cell r="I264" t="str">
            <v xml:space="preserve">CR 21 N 21-57                                    </v>
          </cell>
          <cell r="J264" t="str">
            <v/>
          </cell>
          <cell r="K264" t="str">
            <v>ANTIOQUIA</v>
          </cell>
          <cell r="L264" t="str">
            <v>CAÑASGORDAS</v>
          </cell>
        </row>
        <row r="265">
          <cell r="A265">
            <v>43780186</v>
          </cell>
          <cell r="B265" t="str">
            <v>8909002860</v>
          </cell>
          <cell r="C265" t="str">
            <v>CATASTRO ANTIOQUIA.</v>
          </cell>
          <cell r="D265" t="str">
            <v>C.C.</v>
          </cell>
          <cell r="E265" t="str">
            <v>43780186</v>
          </cell>
          <cell r="F265" t="str">
            <v xml:space="preserve">HERNANDEZ       BENITEZ        MARIA JOSEFINA      </v>
          </cell>
          <cell r="G265">
            <v>1</v>
          </cell>
          <cell r="H265" t="str">
            <v>1382001000000400051000000000</v>
          </cell>
          <cell r="I265" t="str">
            <v xml:space="preserve">EL CHAPARRO                                      </v>
          </cell>
          <cell r="J265" t="str">
            <v/>
          </cell>
          <cell r="K265" t="str">
            <v>ANTIOQUIA</v>
          </cell>
          <cell r="L265" t="str">
            <v>CAÑASGORDAS</v>
          </cell>
        </row>
        <row r="266">
          <cell r="A266">
            <v>43780222</v>
          </cell>
          <cell r="B266" t="str">
            <v>8909002860</v>
          </cell>
          <cell r="C266" t="str">
            <v>CATASTRO ANTIOQUIA.</v>
          </cell>
          <cell r="D266" t="str">
            <v>C.C.</v>
          </cell>
          <cell r="E266" t="str">
            <v>43780222</v>
          </cell>
          <cell r="F266" t="str">
            <v xml:space="preserve">GOMEZ           ALVAREZ        ANGELA MARIA        </v>
          </cell>
          <cell r="G266">
            <v>1</v>
          </cell>
          <cell r="H266" t="str">
            <v>1382001000002400207000000000</v>
          </cell>
          <cell r="I266" t="str">
            <v xml:space="preserve">EL VERGEL                                        </v>
          </cell>
          <cell r="J266" t="str">
            <v xml:space="preserve">011-18781      </v>
          </cell>
          <cell r="K266" t="str">
            <v>ANTIOQUIA</v>
          </cell>
          <cell r="L266" t="str">
            <v>CAÑASGORDAS</v>
          </cell>
        </row>
        <row r="267">
          <cell r="A267">
            <v>43780299</v>
          </cell>
          <cell r="B267" t="str">
            <v>8909002860</v>
          </cell>
          <cell r="C267" t="str">
            <v>CATASTRO ANTIOQUIA.</v>
          </cell>
          <cell r="D267" t="str">
            <v>C.C.</v>
          </cell>
          <cell r="E267" t="str">
            <v>43780299</v>
          </cell>
          <cell r="F267" t="str">
            <v xml:space="preserve">MONTOYA AGUDELO                DIANA CECILIA       </v>
          </cell>
          <cell r="G267">
            <v>1</v>
          </cell>
          <cell r="H267" t="str">
            <v>1381001001003200036000000000</v>
          </cell>
          <cell r="I267" t="str">
            <v xml:space="preserve">CL 33 N 31-87                                    </v>
          </cell>
          <cell r="J267" t="str">
            <v xml:space="preserve">011-19916      </v>
          </cell>
          <cell r="K267" t="str">
            <v>ANTIOQUIA</v>
          </cell>
          <cell r="L267" t="str">
            <v>CAÑASGORDAS</v>
          </cell>
        </row>
        <row r="268">
          <cell r="A268">
            <v>43780327</v>
          </cell>
          <cell r="B268" t="str">
            <v>8909002860</v>
          </cell>
          <cell r="C268" t="str">
            <v>CATASTRO ANTIOQUIA.</v>
          </cell>
          <cell r="D268" t="str">
            <v>C.C.</v>
          </cell>
          <cell r="E268" t="str">
            <v>43780327</v>
          </cell>
          <cell r="F268" t="str">
            <v xml:space="preserve">HIGUITA                        MIRYAM DE JESUS     </v>
          </cell>
          <cell r="G268">
            <v>1</v>
          </cell>
          <cell r="H268" t="str">
            <v>1381003001000800038000000000</v>
          </cell>
          <cell r="I268" t="str">
            <v xml:space="preserve">CL 20 N                                          </v>
          </cell>
          <cell r="J268" t="str">
            <v xml:space="preserve">011-19735      </v>
          </cell>
          <cell r="K268" t="str">
            <v>ANTIOQUIA</v>
          </cell>
          <cell r="L268" t="str">
            <v>CAÑASGORDAS</v>
          </cell>
        </row>
        <row r="269">
          <cell r="A269">
            <v>43780908</v>
          </cell>
          <cell r="B269" t="str">
            <v>8909002860</v>
          </cell>
          <cell r="C269" t="str">
            <v>CATASTRO ANTIOQUIA.</v>
          </cell>
          <cell r="D269" t="str">
            <v>C.C.</v>
          </cell>
          <cell r="E269" t="str">
            <v>43780908</v>
          </cell>
          <cell r="F269" t="str">
            <v xml:space="preserve">HIGUITA         CARMONA        MARIA CONCEPCION    </v>
          </cell>
          <cell r="G269">
            <v>1</v>
          </cell>
          <cell r="H269" t="str">
            <v>1382001000002500033000000000</v>
          </cell>
          <cell r="I269" t="str">
            <v xml:space="preserve">S.N.                                             </v>
          </cell>
          <cell r="J269" t="str">
            <v/>
          </cell>
          <cell r="K269" t="str">
            <v>ANTIOQUIA</v>
          </cell>
          <cell r="L269" t="str">
            <v>CAÑASGORDAS</v>
          </cell>
        </row>
        <row r="270">
          <cell r="A270">
            <v>43780956</v>
          </cell>
          <cell r="B270" t="str">
            <v>8909002860</v>
          </cell>
          <cell r="C270" t="str">
            <v>CATASTRO ANTIOQUIA.</v>
          </cell>
          <cell r="D270" t="str">
            <v>C.C.</v>
          </cell>
          <cell r="E270" t="str">
            <v>43780956</v>
          </cell>
          <cell r="F270" t="str">
            <v xml:space="preserve">SANCHEZ         HERNANDEZ      LUZ MARIA           </v>
          </cell>
          <cell r="G270">
            <v>1</v>
          </cell>
          <cell r="H270" t="str">
            <v>1382001000000400026000000000</v>
          </cell>
          <cell r="I270" t="str">
            <v xml:space="preserve">LA CABA?A                                        </v>
          </cell>
          <cell r="J270" t="str">
            <v/>
          </cell>
          <cell r="K270" t="str">
            <v>ANTIOQUIA</v>
          </cell>
          <cell r="L270" t="str">
            <v>CAÑASGORDAS</v>
          </cell>
        </row>
        <row r="271">
          <cell r="A271">
            <v>43780990</v>
          </cell>
          <cell r="B271" t="str">
            <v>8909002860</v>
          </cell>
          <cell r="C271" t="str">
            <v>CATASTRO ANTIOQUIA.</v>
          </cell>
          <cell r="D271" t="str">
            <v>C.C.</v>
          </cell>
          <cell r="E271" t="str">
            <v>43780990</v>
          </cell>
          <cell r="F271" t="str">
            <v xml:space="preserve">IBARRA          QUIROZ         GLORIA PATRICIA     </v>
          </cell>
          <cell r="G271">
            <v>1</v>
          </cell>
          <cell r="H271" t="str">
            <v>1382001000001100018000000000</v>
          </cell>
          <cell r="I271" t="str">
            <v xml:space="preserve">LA AMOLADORCITA                                  </v>
          </cell>
          <cell r="J271" t="str">
            <v/>
          </cell>
          <cell r="K271" t="str">
            <v>ANTIOQUIA</v>
          </cell>
          <cell r="L271" t="str">
            <v>CAÑASGORDAS</v>
          </cell>
        </row>
        <row r="272">
          <cell r="A272">
            <v>43781001</v>
          </cell>
          <cell r="B272" t="str">
            <v>8909002860</v>
          </cell>
          <cell r="C272" t="str">
            <v>CATASTRO ANTIOQUIA.</v>
          </cell>
          <cell r="D272" t="str">
            <v>C.C.</v>
          </cell>
          <cell r="E272" t="str">
            <v>43781001</v>
          </cell>
          <cell r="F272" t="str">
            <v xml:space="preserve">GARCES          USUGA          MARIA EUGENIA       </v>
          </cell>
          <cell r="G272">
            <v>1</v>
          </cell>
          <cell r="H272" t="str">
            <v>1382001000001100026000000000</v>
          </cell>
          <cell r="I272" t="str">
            <v xml:space="preserve">LA LOMITA                                        </v>
          </cell>
          <cell r="J272" t="str">
            <v/>
          </cell>
          <cell r="K272" t="str">
            <v>ANTIOQUIA</v>
          </cell>
          <cell r="L272" t="str">
            <v>CAÑASGORDAS</v>
          </cell>
        </row>
        <row r="273">
          <cell r="A273">
            <v>43781007</v>
          </cell>
          <cell r="B273" t="str">
            <v>8909002860</v>
          </cell>
          <cell r="C273" t="str">
            <v>CATASTRO ANTIOQUIA.</v>
          </cell>
          <cell r="D273" t="str">
            <v>C.C.</v>
          </cell>
          <cell r="E273" t="str">
            <v>43781007</v>
          </cell>
          <cell r="F273" t="str">
            <v xml:space="preserve">GARCES USUGA                   MARIVEL             </v>
          </cell>
          <cell r="G273">
            <v>1</v>
          </cell>
          <cell r="H273" t="str">
            <v>1382001000001100111000000000</v>
          </cell>
          <cell r="I273" t="str">
            <v xml:space="preserve">S.N.                                             </v>
          </cell>
          <cell r="J273" t="str">
            <v/>
          </cell>
          <cell r="K273" t="str">
            <v>ANTIOQUIA</v>
          </cell>
          <cell r="L273" t="str">
            <v>CAÑASGORDAS</v>
          </cell>
        </row>
        <row r="274">
          <cell r="A274">
            <v>43781127</v>
          </cell>
          <cell r="B274" t="str">
            <v>8909002860</v>
          </cell>
          <cell r="C274" t="str">
            <v>CATASTRO ANTIOQUIA.</v>
          </cell>
          <cell r="D274" t="str">
            <v>C.C.</v>
          </cell>
          <cell r="E274" t="str">
            <v>43781127</v>
          </cell>
          <cell r="F274" t="str">
            <v xml:space="preserve">CORREA GARCIA                  LUZ ASTRID          </v>
          </cell>
          <cell r="G274">
            <v>1</v>
          </cell>
          <cell r="H274" t="str">
            <v>1381001001004500001000000000</v>
          </cell>
          <cell r="I274" t="str">
            <v xml:space="preserve">CR 30 N 36-09                                    </v>
          </cell>
          <cell r="J274" t="str">
            <v/>
          </cell>
          <cell r="K274" t="str">
            <v>ANTIOQUIA</v>
          </cell>
          <cell r="L274" t="str">
            <v>CAÑASGORDAS</v>
          </cell>
        </row>
        <row r="275">
          <cell r="A275">
            <v>43781206</v>
          </cell>
          <cell r="B275" t="str">
            <v>8909002860</v>
          </cell>
          <cell r="C275" t="str">
            <v>CATASTRO ANTIOQUIA.</v>
          </cell>
          <cell r="D275" t="str">
            <v>C.C.</v>
          </cell>
          <cell r="E275" t="str">
            <v>43781206</v>
          </cell>
          <cell r="F275" t="str">
            <v xml:space="preserve">FERNANDEZ GAVIRIA              LUCY YANETH         </v>
          </cell>
          <cell r="G275">
            <v>1</v>
          </cell>
          <cell r="H275" t="str">
            <v>1381001001003600022000000000</v>
          </cell>
          <cell r="I275" t="str">
            <v xml:space="preserve">CR 30 N 33-94                                    </v>
          </cell>
          <cell r="J275" t="str">
            <v xml:space="preserve">011-15534      </v>
          </cell>
          <cell r="K275" t="str">
            <v>ANTIOQUIA</v>
          </cell>
          <cell r="L275" t="str">
            <v>CAÑASGORDAS</v>
          </cell>
        </row>
        <row r="276">
          <cell r="A276">
            <v>43781366</v>
          </cell>
          <cell r="B276" t="str">
            <v>8909002860</v>
          </cell>
          <cell r="C276" t="str">
            <v>CATASTRO ANTIOQUIA.</v>
          </cell>
          <cell r="D276" t="str">
            <v>C.C.</v>
          </cell>
          <cell r="E276" t="str">
            <v>43781366</v>
          </cell>
          <cell r="F276" t="str">
            <v xml:space="preserve">CAMPO CAMPO                    FANY DEL SOCORRO    </v>
          </cell>
          <cell r="G276">
            <v>1</v>
          </cell>
          <cell r="H276" t="str">
            <v>1382001000000100035000000000</v>
          </cell>
          <cell r="I276" t="str">
            <v xml:space="preserve">EL DULCE                                         </v>
          </cell>
          <cell r="J276" t="str">
            <v/>
          </cell>
          <cell r="K276" t="str">
            <v>ANTIOQUIA</v>
          </cell>
          <cell r="L276" t="str">
            <v>CAÑASGORDAS</v>
          </cell>
        </row>
        <row r="277">
          <cell r="A277">
            <v>43781648</v>
          </cell>
          <cell r="B277" t="str">
            <v>8909002860</v>
          </cell>
          <cell r="C277" t="str">
            <v>CATASTRO ANTIOQUIA.</v>
          </cell>
          <cell r="D277" t="str">
            <v>C.C.</v>
          </cell>
          <cell r="E277" t="str">
            <v>43781648</v>
          </cell>
          <cell r="F277" t="str">
            <v xml:space="preserve">OSORIO          DAVID          BLANCA NUBIA        </v>
          </cell>
          <cell r="G277">
            <v>1</v>
          </cell>
          <cell r="H277" t="str">
            <v>1382004000000900069000000000</v>
          </cell>
          <cell r="I277" t="str">
            <v xml:space="preserve">S.N.                                             </v>
          </cell>
          <cell r="J277" t="str">
            <v/>
          </cell>
          <cell r="K277" t="str">
            <v>ANTIOQUIA</v>
          </cell>
          <cell r="L277" t="str">
            <v>CAÑASGORDAS</v>
          </cell>
        </row>
        <row r="278">
          <cell r="A278">
            <v>43782118</v>
          </cell>
          <cell r="B278" t="str">
            <v>8909002860</v>
          </cell>
          <cell r="C278" t="str">
            <v>CATASTRO ANTIOQUIA.</v>
          </cell>
          <cell r="D278" t="str">
            <v>C.C.</v>
          </cell>
          <cell r="E278" t="str">
            <v>43782118</v>
          </cell>
          <cell r="F278" t="str">
            <v xml:space="preserve">ARBOLEDA CARTAGENA             MARIA NOELIA        </v>
          </cell>
          <cell r="G278">
            <v>1</v>
          </cell>
          <cell r="H278" t="str">
            <v>1381001001000100034000000000</v>
          </cell>
          <cell r="I278" t="str">
            <v xml:space="preserve">KR 30 N 21-82 AP 101                             </v>
          </cell>
          <cell r="J278" t="str">
            <v xml:space="preserve">011-19663      </v>
          </cell>
          <cell r="K278" t="str">
            <v>ANTIOQUIA</v>
          </cell>
          <cell r="L278" t="str">
            <v>CAÑASGORDAS</v>
          </cell>
        </row>
        <row r="279">
          <cell r="A279">
            <v>43782332</v>
          </cell>
          <cell r="B279" t="str">
            <v>8909002860</v>
          </cell>
          <cell r="C279" t="str">
            <v>CATASTRO ANTIOQUIA.</v>
          </cell>
          <cell r="D279" t="str">
            <v>C.C.</v>
          </cell>
          <cell r="E279" t="str">
            <v>43782332</v>
          </cell>
          <cell r="F279" t="str">
            <v xml:space="preserve">RODRIGUEZ                      PATRICIA ELENA      </v>
          </cell>
          <cell r="G279">
            <v>1</v>
          </cell>
          <cell r="H279" t="str">
            <v>1382004000000700105000000000</v>
          </cell>
          <cell r="I279" t="str">
            <v xml:space="preserve">LA  CABA?A                                       </v>
          </cell>
          <cell r="J279" t="str">
            <v/>
          </cell>
          <cell r="K279" t="str">
            <v>ANTIOQUIA</v>
          </cell>
          <cell r="L279" t="str">
            <v>CAÑASGORDAS</v>
          </cell>
        </row>
        <row r="280">
          <cell r="A280">
            <v>43782402</v>
          </cell>
          <cell r="B280" t="str">
            <v>8909002860</v>
          </cell>
          <cell r="C280" t="str">
            <v>CATASTRO ANTIOQUIA.</v>
          </cell>
          <cell r="D280" t="str">
            <v>C.C.</v>
          </cell>
          <cell r="E280" t="str">
            <v>43782402</v>
          </cell>
          <cell r="F280" t="str">
            <v xml:space="preserve">MANCO MARIN                    DIANA PATRICIA      </v>
          </cell>
          <cell r="G280">
            <v>1</v>
          </cell>
          <cell r="H280" t="str">
            <v>1382001000000100105000000000</v>
          </cell>
          <cell r="I280" t="str">
            <v xml:space="preserve">INSOR                                            </v>
          </cell>
          <cell r="J280" t="str">
            <v xml:space="preserve">011-19297      </v>
          </cell>
          <cell r="K280" t="str">
            <v>ANTIOQUIA</v>
          </cell>
          <cell r="L280" t="str">
            <v>CAÑASGORDAS</v>
          </cell>
        </row>
        <row r="281">
          <cell r="A281">
            <v>65713580</v>
          </cell>
          <cell r="B281" t="str">
            <v>8909002860</v>
          </cell>
          <cell r="C281" t="str">
            <v>CATASTRO ANTIOQUIA.</v>
          </cell>
          <cell r="D281" t="str">
            <v>C.C.</v>
          </cell>
          <cell r="E281" t="str">
            <v>65713580</v>
          </cell>
          <cell r="F281" t="str">
            <v xml:space="preserve">ZAMBRANO OCAMPO                ANDREA              </v>
          </cell>
          <cell r="G281">
            <v>1</v>
          </cell>
          <cell r="H281" t="str">
            <v>1381001001007400004000100040</v>
          </cell>
          <cell r="I281" t="str">
            <v xml:space="preserve">KR 23 N 51-50 AP 204 TORRE 3                     </v>
          </cell>
          <cell r="J281" t="str">
            <v xml:space="preserve">011-20195      </v>
          </cell>
          <cell r="K281" t="str">
            <v>ANTIOQUIA</v>
          </cell>
          <cell r="L281" t="str">
            <v>CAÑASGORDAS</v>
          </cell>
        </row>
        <row r="282">
          <cell r="A282">
            <v>70196175</v>
          </cell>
          <cell r="B282" t="str">
            <v>8909002860</v>
          </cell>
          <cell r="C282" t="str">
            <v>CATASTRO ANTIOQUIA.</v>
          </cell>
          <cell r="D282" t="str">
            <v>C.C.</v>
          </cell>
          <cell r="E282" t="str">
            <v>70196175</v>
          </cell>
          <cell r="F282" t="str">
            <v xml:space="preserve">LONDO?O  CANO                  LEOPOLDO  DE JESUS  </v>
          </cell>
          <cell r="G282">
            <v>1</v>
          </cell>
          <cell r="H282" t="str">
            <v>1382001000001200104000000000</v>
          </cell>
          <cell r="I282" t="str">
            <v xml:space="preserve">EL PARAJE                                        </v>
          </cell>
          <cell r="J282" t="str">
            <v xml:space="preserve">011-18610      </v>
          </cell>
          <cell r="K282" t="str">
            <v>ANTIOQUIA</v>
          </cell>
          <cell r="L282" t="str">
            <v>CAÑASGORDAS</v>
          </cell>
        </row>
        <row r="283">
          <cell r="A283">
            <v>70430017</v>
          </cell>
          <cell r="B283" t="str">
            <v>8909002860</v>
          </cell>
          <cell r="C283" t="str">
            <v>CATASTRO ANTIOQUIA.</v>
          </cell>
          <cell r="D283" t="str">
            <v>C.C.</v>
          </cell>
          <cell r="E283" t="str">
            <v>70430017</v>
          </cell>
          <cell r="F283" t="str">
            <v xml:space="preserve">MAZO GUERRA                    EDGAR DE JESUS      </v>
          </cell>
          <cell r="G283">
            <v>1</v>
          </cell>
          <cell r="H283" t="str">
            <v>1381001001003900001000000000</v>
          </cell>
          <cell r="I283" t="str">
            <v xml:space="preserve">CL 32 N 32-20 INT 103                            </v>
          </cell>
          <cell r="J283" t="str">
            <v/>
          </cell>
          <cell r="K283" t="str">
            <v>ANTIOQUIA</v>
          </cell>
          <cell r="L283" t="str">
            <v>CAÑASGORDAS</v>
          </cell>
        </row>
        <row r="284">
          <cell r="A284">
            <v>70430052</v>
          </cell>
          <cell r="B284" t="str">
            <v>8909002860</v>
          </cell>
          <cell r="C284" t="str">
            <v>CATASTRO ANTIOQUIA.</v>
          </cell>
          <cell r="D284" t="str">
            <v>C.C.</v>
          </cell>
          <cell r="E284" t="str">
            <v>70430052</v>
          </cell>
          <cell r="F284" t="str">
            <v xml:space="preserve">GAVIRIA BERRIO                 HEGIDIO DE JESUS    </v>
          </cell>
          <cell r="G284">
            <v>1</v>
          </cell>
          <cell r="H284" t="str">
            <v>1382001000001500151000000000</v>
          </cell>
          <cell r="I284" t="str">
            <v xml:space="preserve">EL GUADAL                                        </v>
          </cell>
          <cell r="J284" t="str">
            <v xml:space="preserve">011-19240      </v>
          </cell>
          <cell r="K284" t="str">
            <v>ANTIOQUIA</v>
          </cell>
          <cell r="L284" t="str">
            <v>CAÑASGORDAS</v>
          </cell>
        </row>
        <row r="285">
          <cell r="A285">
            <v>70430108</v>
          </cell>
          <cell r="B285" t="str">
            <v>8909002860</v>
          </cell>
          <cell r="C285" t="str">
            <v>CATASTRO ANTIOQUIA.</v>
          </cell>
          <cell r="D285" t="str">
            <v>C.C.</v>
          </cell>
          <cell r="E285" t="str">
            <v>70430108</v>
          </cell>
          <cell r="F285" t="str">
            <v xml:space="preserve">ARANGO GOMEZ                   LUIS ALFONSO        </v>
          </cell>
          <cell r="G285">
            <v>1</v>
          </cell>
          <cell r="H285" t="str">
            <v>1382001000000500254000000000</v>
          </cell>
          <cell r="I285" t="str">
            <v xml:space="preserve">AREA RESTANTE 2                                  </v>
          </cell>
          <cell r="J285" t="str">
            <v xml:space="preserve">011-20726      </v>
          </cell>
          <cell r="K285" t="str">
            <v>ANTIOQUIA</v>
          </cell>
          <cell r="L285" t="str">
            <v>CAÑASGORDAS</v>
          </cell>
        </row>
        <row r="286">
          <cell r="A286">
            <v>70430215</v>
          </cell>
          <cell r="B286" t="str">
            <v>8909002860</v>
          </cell>
          <cell r="C286" t="str">
            <v>CATASTRO ANTIOQUIA.</v>
          </cell>
          <cell r="D286" t="str">
            <v>C.C.</v>
          </cell>
          <cell r="E286" t="str">
            <v>70430215</v>
          </cell>
          <cell r="F286" t="str">
            <v xml:space="preserve">DAVID MANCO                    JOAQUIN EMILIO      </v>
          </cell>
          <cell r="G286">
            <v>1</v>
          </cell>
          <cell r="H286" t="str">
            <v>1382001000002400096000000000</v>
          </cell>
          <cell r="I286" t="str">
            <v xml:space="preserve">LA LLORONCITA                                    </v>
          </cell>
          <cell r="J286" t="str">
            <v xml:space="preserve">011-14114      </v>
          </cell>
          <cell r="K286" t="str">
            <v>ANTIOQUIA</v>
          </cell>
          <cell r="L286" t="str">
            <v>CAÑASGORDAS</v>
          </cell>
        </row>
        <row r="287">
          <cell r="A287">
            <v>70430223</v>
          </cell>
          <cell r="B287" t="str">
            <v>8909002860</v>
          </cell>
          <cell r="C287" t="str">
            <v>CATASTRO ANTIOQUIA.</v>
          </cell>
          <cell r="D287" t="str">
            <v>C.C.</v>
          </cell>
          <cell r="E287" t="str">
            <v>70430223</v>
          </cell>
          <cell r="F287" t="str">
            <v xml:space="preserve">LOPERA GUTIERREZ               LUIS EDUARDO        </v>
          </cell>
          <cell r="G287">
            <v>1</v>
          </cell>
          <cell r="H287" t="str">
            <v>1382001000002400066000000000</v>
          </cell>
          <cell r="I287" t="str">
            <v xml:space="preserve">EL EDEN                                          </v>
          </cell>
          <cell r="J287" t="str">
            <v xml:space="preserve">006-484        </v>
          </cell>
          <cell r="K287" t="str">
            <v>ANTIOQUIA</v>
          </cell>
          <cell r="L287" t="str">
            <v>CAÑASGORDAS</v>
          </cell>
        </row>
        <row r="288">
          <cell r="A288">
            <v>70430326</v>
          </cell>
          <cell r="B288" t="str">
            <v>8909002860</v>
          </cell>
          <cell r="C288" t="str">
            <v>CATASTRO ANTIOQUIA.</v>
          </cell>
          <cell r="D288" t="str">
            <v>C.C.</v>
          </cell>
          <cell r="E288" t="str">
            <v>70430326</v>
          </cell>
          <cell r="F288" t="str">
            <v xml:space="preserve">LONDO?O LONDO?O                MIGUEL ANGEL        </v>
          </cell>
          <cell r="G288">
            <v>1</v>
          </cell>
          <cell r="H288" t="str">
            <v>1382001000000700018000000000</v>
          </cell>
          <cell r="I288" t="str">
            <v xml:space="preserve">LA SOLEDAD                                       </v>
          </cell>
          <cell r="J288" t="str">
            <v/>
          </cell>
          <cell r="K288" t="str">
            <v>ANTIOQUIA</v>
          </cell>
          <cell r="L288" t="str">
            <v>CAÑASGORDAS</v>
          </cell>
        </row>
        <row r="289">
          <cell r="A289">
            <v>70430339</v>
          </cell>
          <cell r="B289" t="str">
            <v>8909002860</v>
          </cell>
          <cell r="C289" t="str">
            <v>CATASTRO ANTIOQUIA.</v>
          </cell>
          <cell r="D289" t="str">
            <v>C.C.</v>
          </cell>
          <cell r="E289" t="str">
            <v>70430339</v>
          </cell>
          <cell r="F289" t="str">
            <v xml:space="preserve">RODRIGUEZ OQUENDO              LUIS HUMBERTO       </v>
          </cell>
          <cell r="G289">
            <v>1</v>
          </cell>
          <cell r="H289" t="str">
            <v>1382004000001000104000000000</v>
          </cell>
          <cell r="I289" t="str">
            <v xml:space="preserve">LA  PALMA                                        </v>
          </cell>
          <cell r="J289" t="str">
            <v xml:space="preserve">011-14216      </v>
          </cell>
          <cell r="K289" t="str">
            <v>ANTIOQUIA</v>
          </cell>
          <cell r="L289" t="str">
            <v>CAÑASGORDAS</v>
          </cell>
        </row>
        <row r="290">
          <cell r="A290">
            <v>70430344</v>
          </cell>
          <cell r="B290" t="str">
            <v>8909002860</v>
          </cell>
          <cell r="C290" t="str">
            <v>CATASTRO ANTIOQUIA.</v>
          </cell>
          <cell r="D290" t="str">
            <v>C.C.</v>
          </cell>
          <cell r="E290" t="str">
            <v>70430344</v>
          </cell>
          <cell r="F290" t="str">
            <v xml:space="preserve">CARRILLO        ESCOBAR        HUMBERTO ANTONIO    </v>
          </cell>
          <cell r="G290">
            <v>1</v>
          </cell>
          <cell r="H290" t="str">
            <v>1382002000001300004000000000</v>
          </cell>
          <cell r="I290" t="str">
            <v xml:space="preserve">CESTILLAL                                        </v>
          </cell>
          <cell r="J290" t="str">
            <v/>
          </cell>
          <cell r="K290" t="str">
            <v>ANTIOQUIA</v>
          </cell>
          <cell r="L290" t="str">
            <v>CAÑASGORDAS</v>
          </cell>
        </row>
        <row r="291">
          <cell r="A291">
            <v>70430385</v>
          </cell>
          <cell r="B291" t="str">
            <v>8909002860</v>
          </cell>
          <cell r="C291" t="str">
            <v>CATASTRO ANTIOQUIA.</v>
          </cell>
          <cell r="D291" t="str">
            <v>C.C.</v>
          </cell>
          <cell r="E291" t="str">
            <v>70430385</v>
          </cell>
          <cell r="F291" t="str">
            <v xml:space="preserve">GUZMAN SUAREZ                  LUIS ALBERTO        </v>
          </cell>
          <cell r="G291">
            <v>1</v>
          </cell>
          <cell r="H291" t="str">
            <v>1382001000002600022000000000</v>
          </cell>
          <cell r="I291" t="str">
            <v xml:space="preserve">PATIO BONITO                                     </v>
          </cell>
          <cell r="J291" t="str">
            <v xml:space="preserve">011-14892      </v>
          </cell>
          <cell r="K291" t="str">
            <v>ANTIOQUIA</v>
          </cell>
          <cell r="L291" t="str">
            <v>CAÑASGORDAS</v>
          </cell>
        </row>
        <row r="292">
          <cell r="A292">
            <v>70430404</v>
          </cell>
          <cell r="B292" t="str">
            <v>8909002860</v>
          </cell>
          <cell r="C292" t="str">
            <v>CATASTRO ANTIOQUIA.</v>
          </cell>
          <cell r="D292" t="str">
            <v>C.C.</v>
          </cell>
          <cell r="E292" t="str">
            <v>70430404</v>
          </cell>
          <cell r="F292" t="str">
            <v xml:space="preserve">USUGA USUGA                    CARLOS ANTONIO      </v>
          </cell>
          <cell r="G292">
            <v>1</v>
          </cell>
          <cell r="H292" t="str">
            <v>1382001000001100026000000000</v>
          </cell>
          <cell r="I292" t="str">
            <v xml:space="preserve">LA LOMITA                                        </v>
          </cell>
          <cell r="J292" t="str">
            <v/>
          </cell>
          <cell r="K292" t="str">
            <v>ANTIOQUIA</v>
          </cell>
          <cell r="L292" t="str">
            <v>CAÑASGORDAS</v>
          </cell>
        </row>
        <row r="293">
          <cell r="A293">
            <v>70430681</v>
          </cell>
          <cell r="B293" t="str">
            <v>8909002860</v>
          </cell>
          <cell r="C293" t="str">
            <v>CATASTRO ANTIOQUIA.</v>
          </cell>
          <cell r="D293" t="str">
            <v>C.C.</v>
          </cell>
          <cell r="E293" t="str">
            <v>70430681</v>
          </cell>
          <cell r="F293" t="str">
            <v xml:space="preserve">PUERTA          GUISAO         LUIS ALBERTO        </v>
          </cell>
          <cell r="G293">
            <v>1</v>
          </cell>
          <cell r="H293" t="str">
            <v>1382001000000800074000000000</v>
          </cell>
          <cell r="I293" t="str">
            <v xml:space="preserve">S.N.                                             </v>
          </cell>
          <cell r="J293" t="str">
            <v/>
          </cell>
          <cell r="K293" t="str">
            <v>ANTIOQUIA</v>
          </cell>
          <cell r="L293" t="str">
            <v>CAÑASGORDAS</v>
          </cell>
        </row>
        <row r="294">
          <cell r="A294">
            <v>70430692</v>
          </cell>
          <cell r="B294" t="str">
            <v>8909002860</v>
          </cell>
          <cell r="C294" t="str">
            <v>CATASTRO ANTIOQUIA.</v>
          </cell>
          <cell r="D294" t="str">
            <v>C.C.</v>
          </cell>
          <cell r="E294" t="str">
            <v>70430692</v>
          </cell>
          <cell r="F294" t="str">
            <v xml:space="preserve">GUISAO          PUERTA         RAMIRO DE JESUS     </v>
          </cell>
          <cell r="G294">
            <v>1</v>
          </cell>
          <cell r="H294" t="str">
            <v>1382001000001700024000000000</v>
          </cell>
          <cell r="I294" t="str">
            <v xml:space="preserve">EL PORVENIR                                      </v>
          </cell>
          <cell r="J294" t="str">
            <v/>
          </cell>
          <cell r="K294" t="str">
            <v>ANTIOQUIA</v>
          </cell>
          <cell r="L294" t="str">
            <v>CAÑASGORDAS</v>
          </cell>
        </row>
        <row r="295">
          <cell r="A295">
            <v>70430697</v>
          </cell>
          <cell r="B295" t="str">
            <v>8909002860</v>
          </cell>
          <cell r="C295" t="str">
            <v>CATASTRO ANTIOQUIA.</v>
          </cell>
          <cell r="D295" t="str">
            <v>C.C.</v>
          </cell>
          <cell r="E295" t="str">
            <v>70430697</v>
          </cell>
          <cell r="F295" t="str">
            <v xml:space="preserve">GOEZ DAVID                     JOSE ANGEL          </v>
          </cell>
          <cell r="G295">
            <v>1</v>
          </cell>
          <cell r="H295" t="str">
            <v>1382004000001000205000000000</v>
          </cell>
          <cell r="I295" t="str">
            <v xml:space="preserve">S.N.                                             </v>
          </cell>
          <cell r="J295" t="str">
            <v/>
          </cell>
          <cell r="K295" t="str">
            <v>ANTIOQUIA</v>
          </cell>
          <cell r="L295" t="str">
            <v>CAÑASGORDAS</v>
          </cell>
        </row>
        <row r="296">
          <cell r="A296">
            <v>70430728</v>
          </cell>
          <cell r="B296" t="str">
            <v>8909002860</v>
          </cell>
          <cell r="C296" t="str">
            <v>CATASTRO ANTIOQUIA.</v>
          </cell>
          <cell r="D296" t="str">
            <v>C.C.</v>
          </cell>
          <cell r="E296" t="str">
            <v>70430728</v>
          </cell>
          <cell r="F296" t="str">
            <v xml:space="preserve">ARANGO          PEREZ          LUIS FERNANDO       </v>
          </cell>
          <cell r="G296">
            <v>1</v>
          </cell>
          <cell r="H296" t="str">
            <v>1382001000000100077000000000</v>
          </cell>
          <cell r="I296" t="str">
            <v xml:space="preserve">LA PLAYA                                         </v>
          </cell>
          <cell r="J296" t="str">
            <v/>
          </cell>
          <cell r="K296" t="str">
            <v>ANTIOQUIA</v>
          </cell>
          <cell r="L296" t="str">
            <v>CAÑASGORDAS</v>
          </cell>
        </row>
        <row r="297">
          <cell r="A297">
            <v>70430833</v>
          </cell>
          <cell r="B297" t="str">
            <v>8909002860</v>
          </cell>
          <cell r="C297" t="str">
            <v>CATASTRO ANTIOQUIA.</v>
          </cell>
          <cell r="D297" t="str">
            <v>C.C.</v>
          </cell>
          <cell r="E297" t="str">
            <v>70430833</v>
          </cell>
          <cell r="F297" t="str">
            <v xml:space="preserve">ARTEAGA         GUERRA         LUIS EFREN          </v>
          </cell>
          <cell r="G297">
            <v>1</v>
          </cell>
          <cell r="H297" t="str">
            <v>1382004000000700164000000000</v>
          </cell>
          <cell r="I297" t="str">
            <v xml:space="preserve">LA  MANGA                                        </v>
          </cell>
          <cell r="J297" t="str">
            <v xml:space="preserve">011-19198      </v>
          </cell>
          <cell r="K297" t="str">
            <v>ANTIOQUIA</v>
          </cell>
          <cell r="L297" t="str">
            <v>CAÑASGORDAS</v>
          </cell>
        </row>
        <row r="298">
          <cell r="A298">
            <v>70430852</v>
          </cell>
          <cell r="B298" t="str">
            <v>8909002860</v>
          </cell>
          <cell r="C298" t="str">
            <v>CATASTRO ANTIOQUIA.</v>
          </cell>
          <cell r="D298" t="str">
            <v>C.C.</v>
          </cell>
          <cell r="E298" t="str">
            <v>70430852</v>
          </cell>
          <cell r="F298" t="str">
            <v xml:space="preserve">HURTADO         USUGA          RODRIGO ANTONIO     </v>
          </cell>
          <cell r="G298">
            <v>1</v>
          </cell>
          <cell r="H298" t="str">
            <v>1382004000000500029000000000</v>
          </cell>
          <cell r="I298" t="str">
            <v xml:space="preserve">SAN  LUIS                                        </v>
          </cell>
          <cell r="J298" t="str">
            <v/>
          </cell>
          <cell r="K298" t="str">
            <v>ANTIOQUIA</v>
          </cell>
          <cell r="L298" t="str">
            <v>CAÑASGORDAS</v>
          </cell>
        </row>
        <row r="299">
          <cell r="A299">
            <v>70430855</v>
          </cell>
          <cell r="B299" t="str">
            <v>8909002860</v>
          </cell>
          <cell r="C299" t="str">
            <v>CATASTRO ANTIOQUIA.</v>
          </cell>
          <cell r="D299" t="str">
            <v>C.C.</v>
          </cell>
          <cell r="E299" t="str">
            <v>70430855</v>
          </cell>
          <cell r="F299" t="str">
            <v xml:space="preserve">MANCO DAVID                    BENEDICTO DE JESUS  </v>
          </cell>
          <cell r="G299">
            <v>1</v>
          </cell>
          <cell r="H299" t="str">
            <v>1382004000000700045000000000</v>
          </cell>
          <cell r="I299" t="str">
            <v xml:space="preserve">CHUZA                                            </v>
          </cell>
          <cell r="J299" t="str">
            <v xml:space="preserve">011-16739      </v>
          </cell>
          <cell r="K299" t="str">
            <v>ANTIOQUIA</v>
          </cell>
          <cell r="L299" t="str">
            <v>CAÑASGORDAS</v>
          </cell>
        </row>
        <row r="300">
          <cell r="A300">
            <v>70430908</v>
          </cell>
          <cell r="B300" t="str">
            <v>8909002860</v>
          </cell>
          <cell r="C300" t="str">
            <v>CATASTRO ANTIOQUIA.</v>
          </cell>
          <cell r="D300" t="str">
            <v>C.C.</v>
          </cell>
          <cell r="E300" t="str">
            <v>70430908</v>
          </cell>
          <cell r="F300" t="str">
            <v xml:space="preserve">HIGUITA BERRIO                 JOSE LUIS           </v>
          </cell>
          <cell r="G300">
            <v>1</v>
          </cell>
          <cell r="H300" t="str">
            <v>1382001000001800052000000000</v>
          </cell>
          <cell r="I300" t="str">
            <v xml:space="preserve">LA ESTRELLA                                      </v>
          </cell>
          <cell r="J300" t="str">
            <v xml:space="preserve">011-14818      </v>
          </cell>
          <cell r="K300" t="str">
            <v>ANTIOQUIA</v>
          </cell>
          <cell r="L300" t="str">
            <v>CAÑASGORDAS</v>
          </cell>
        </row>
        <row r="301">
          <cell r="A301">
            <v>70430929</v>
          </cell>
          <cell r="B301" t="str">
            <v>8909002860</v>
          </cell>
          <cell r="C301" t="str">
            <v>CATASTRO ANTIOQUIA.</v>
          </cell>
          <cell r="D301" t="str">
            <v>C.C.</v>
          </cell>
          <cell r="E301" t="str">
            <v>70430929</v>
          </cell>
          <cell r="F301" t="str">
            <v xml:space="preserve">TUBERQUIA USUGA                OSCAR DARIO         </v>
          </cell>
          <cell r="G301">
            <v>1</v>
          </cell>
          <cell r="H301" t="str">
            <v>1382002000000100023000000000</v>
          </cell>
          <cell r="I301" t="str">
            <v xml:space="preserve">LA  ESPERANZA                                    </v>
          </cell>
          <cell r="J301" t="str">
            <v xml:space="preserve">011-14236      </v>
          </cell>
          <cell r="K301" t="str">
            <v>ANTIOQUIA</v>
          </cell>
          <cell r="L301" t="str">
            <v>CAÑASGORDAS</v>
          </cell>
        </row>
        <row r="302">
          <cell r="A302">
            <v>70430982</v>
          </cell>
          <cell r="B302" t="str">
            <v>8909002860</v>
          </cell>
          <cell r="C302" t="str">
            <v>CATASTRO ANTIOQUIA.</v>
          </cell>
          <cell r="D302" t="str">
            <v>C.C.</v>
          </cell>
          <cell r="E302" t="str">
            <v>70430982</v>
          </cell>
          <cell r="F302" t="str">
            <v xml:space="preserve">URIBE           MIRANDA        NICOLAS DE JESUS    </v>
          </cell>
          <cell r="G302">
            <v>1</v>
          </cell>
          <cell r="H302" t="str">
            <v>1382001000000400023000000000</v>
          </cell>
          <cell r="I302" t="str">
            <v xml:space="preserve">S.N.                                             </v>
          </cell>
          <cell r="J302" t="str">
            <v/>
          </cell>
          <cell r="K302" t="str">
            <v>ANTIOQUIA</v>
          </cell>
          <cell r="L302" t="str">
            <v>CAÑASGORDAS</v>
          </cell>
        </row>
        <row r="303">
          <cell r="A303">
            <v>70431003</v>
          </cell>
          <cell r="B303" t="str">
            <v>8909002860</v>
          </cell>
          <cell r="C303" t="str">
            <v>CATASTRO ANTIOQUIA.</v>
          </cell>
          <cell r="D303" t="str">
            <v>C.C.</v>
          </cell>
          <cell r="E303" t="str">
            <v>70431003</v>
          </cell>
          <cell r="F303" t="str">
            <v xml:space="preserve">MANCO DAVID                    JORGE EMIRO         </v>
          </cell>
          <cell r="G303">
            <v>1</v>
          </cell>
          <cell r="H303" t="str">
            <v>1382004000000700050000000000</v>
          </cell>
          <cell r="I303" t="str">
            <v xml:space="preserve">EL  TABOR                                        </v>
          </cell>
          <cell r="J303" t="str">
            <v/>
          </cell>
          <cell r="K303" t="str">
            <v>ANTIOQUIA</v>
          </cell>
          <cell r="L303" t="str">
            <v>CAÑASGORDAS</v>
          </cell>
        </row>
        <row r="304">
          <cell r="A304">
            <v>70431109</v>
          </cell>
          <cell r="B304" t="str">
            <v>8909002860</v>
          </cell>
          <cell r="C304" t="str">
            <v>CATASTRO ANTIOQUIA.</v>
          </cell>
          <cell r="D304" t="str">
            <v>C.C.</v>
          </cell>
          <cell r="E304" t="str">
            <v>70431109</v>
          </cell>
          <cell r="F304" t="str">
            <v xml:space="preserve">FLOREZ          CORREA         OSCAR DE JESUS      </v>
          </cell>
          <cell r="G304">
            <v>1</v>
          </cell>
          <cell r="H304" t="str">
            <v>1382001000001400047000000000</v>
          </cell>
          <cell r="I304" t="str">
            <v xml:space="preserve">EL ROBLE                                         </v>
          </cell>
          <cell r="J304" t="str">
            <v/>
          </cell>
          <cell r="K304" t="str">
            <v>ANTIOQUIA</v>
          </cell>
          <cell r="L304" t="str">
            <v>CAÑASGORDAS</v>
          </cell>
        </row>
        <row r="305">
          <cell r="A305">
            <v>70431353</v>
          </cell>
          <cell r="B305" t="str">
            <v>8909002860</v>
          </cell>
          <cell r="C305" t="str">
            <v>CATASTRO ANTIOQUIA.</v>
          </cell>
          <cell r="D305" t="str">
            <v>C.C.</v>
          </cell>
          <cell r="E305" t="str">
            <v>70431353</v>
          </cell>
          <cell r="F305" t="str">
            <v xml:space="preserve">RESTREPO        VALLE          RAMIRO              </v>
          </cell>
          <cell r="G305">
            <v>1</v>
          </cell>
          <cell r="H305" t="str">
            <v>1382001000001000041000000000</v>
          </cell>
          <cell r="I305" t="str">
            <v xml:space="preserve">ARRABAL                                          </v>
          </cell>
          <cell r="J305" t="str">
            <v xml:space="preserve">011-15935      </v>
          </cell>
          <cell r="K305" t="str">
            <v>ANTIOQUIA</v>
          </cell>
          <cell r="L305" t="str">
            <v>CAÑASGORDAS</v>
          </cell>
        </row>
        <row r="306">
          <cell r="A306">
            <v>70431470</v>
          </cell>
          <cell r="B306" t="str">
            <v>8909002860</v>
          </cell>
          <cell r="C306" t="str">
            <v>CATASTRO ANTIOQUIA.</v>
          </cell>
          <cell r="D306" t="str">
            <v>C.C.</v>
          </cell>
          <cell r="E306" t="str">
            <v>70431470</v>
          </cell>
          <cell r="F306" t="str">
            <v xml:space="preserve">PULGARIN        SUAREZ         LUIS HERNANDO       </v>
          </cell>
          <cell r="G306">
            <v>1</v>
          </cell>
          <cell r="H306" t="str">
            <v>1382001000002400242000000000</v>
          </cell>
          <cell r="I306" t="str">
            <v xml:space="preserve">S.N                                              </v>
          </cell>
          <cell r="J306" t="str">
            <v/>
          </cell>
          <cell r="K306" t="str">
            <v>ANTIOQUIA</v>
          </cell>
          <cell r="L306" t="str">
            <v>CAÑASGORDAS</v>
          </cell>
        </row>
        <row r="307">
          <cell r="A307">
            <v>70431542</v>
          </cell>
          <cell r="B307" t="str">
            <v>8909002860</v>
          </cell>
          <cell r="C307" t="str">
            <v>CATASTRO ANTIOQUIA.</v>
          </cell>
          <cell r="D307" t="str">
            <v>C.C.</v>
          </cell>
          <cell r="E307" t="str">
            <v>70431542</v>
          </cell>
          <cell r="F307" t="str">
            <v xml:space="preserve">GUISAO          GUISAO         NICOLAS             </v>
          </cell>
          <cell r="G307">
            <v>1</v>
          </cell>
          <cell r="H307" t="str">
            <v>1382002000000600099000000000</v>
          </cell>
          <cell r="I307" t="str">
            <v xml:space="preserve">S.N.                                             </v>
          </cell>
          <cell r="J307" t="str">
            <v/>
          </cell>
          <cell r="K307" t="str">
            <v>ANTIOQUIA</v>
          </cell>
          <cell r="L307" t="str">
            <v>CAÑASGORDAS</v>
          </cell>
        </row>
        <row r="308">
          <cell r="A308">
            <v>70431644</v>
          </cell>
          <cell r="B308" t="str">
            <v>8909002860</v>
          </cell>
          <cell r="C308" t="str">
            <v>CATASTRO ANTIOQUIA.</v>
          </cell>
          <cell r="D308" t="str">
            <v>C.C.</v>
          </cell>
          <cell r="E308" t="str">
            <v>70431644</v>
          </cell>
          <cell r="F308" t="str">
            <v xml:space="preserve">HERRERA RUIZ                   JOSE WALTER         </v>
          </cell>
          <cell r="G308">
            <v>1</v>
          </cell>
          <cell r="H308" t="str">
            <v>1382001000000800063000000000</v>
          </cell>
          <cell r="I308" t="str">
            <v xml:space="preserve">EL PORVENIR                                      </v>
          </cell>
          <cell r="J308" t="str">
            <v/>
          </cell>
          <cell r="K308" t="str">
            <v>ANTIOQUIA</v>
          </cell>
          <cell r="L308" t="str">
            <v>CAÑASGORDAS</v>
          </cell>
        </row>
        <row r="309">
          <cell r="A309">
            <v>70431725</v>
          </cell>
          <cell r="B309" t="str">
            <v>8909002860</v>
          </cell>
          <cell r="C309" t="str">
            <v>CATASTRO ANTIOQUIA.</v>
          </cell>
          <cell r="D309" t="str">
            <v>C.C.</v>
          </cell>
          <cell r="E309" t="str">
            <v>70431725</v>
          </cell>
          <cell r="F309" t="str">
            <v xml:space="preserve">MAZO            ESPINAL        FABIAN DE JESUS     </v>
          </cell>
          <cell r="G309">
            <v>1</v>
          </cell>
          <cell r="H309" t="str">
            <v>1382001000002400019000000000</v>
          </cell>
          <cell r="I309" t="str">
            <v xml:space="preserve">EL SENDERO                                       </v>
          </cell>
          <cell r="J309" t="str">
            <v xml:space="preserve">011-14417      </v>
          </cell>
          <cell r="K309" t="str">
            <v>ANTIOQUIA</v>
          </cell>
          <cell r="L309" t="str">
            <v>CAÑASGORDAS</v>
          </cell>
        </row>
        <row r="310">
          <cell r="A310">
            <v>70431884</v>
          </cell>
          <cell r="B310" t="str">
            <v>8909002860</v>
          </cell>
          <cell r="C310" t="str">
            <v>CATASTRO ANTIOQUIA.</v>
          </cell>
          <cell r="D310" t="str">
            <v>C.C.</v>
          </cell>
          <cell r="E310" t="str">
            <v>70431884</v>
          </cell>
          <cell r="F310" t="str">
            <v xml:space="preserve">USUGA           HIGUITA        ARNULFO             </v>
          </cell>
          <cell r="G310">
            <v>1</v>
          </cell>
          <cell r="H310" t="str">
            <v>1382002000000300044000000000</v>
          </cell>
          <cell r="I310" t="str">
            <v xml:space="preserve">S.N.                                             </v>
          </cell>
          <cell r="J310" t="str">
            <v/>
          </cell>
          <cell r="K310" t="str">
            <v>ANTIOQUIA</v>
          </cell>
          <cell r="L310" t="str">
            <v>CAÑASGORDAS</v>
          </cell>
        </row>
        <row r="311">
          <cell r="A311">
            <v>70431919</v>
          </cell>
          <cell r="B311" t="str">
            <v>8909002860</v>
          </cell>
          <cell r="C311" t="str">
            <v>CATASTRO ANTIOQUIA.</v>
          </cell>
          <cell r="D311" t="str">
            <v>C.C.</v>
          </cell>
          <cell r="E311" t="str">
            <v>70431919</v>
          </cell>
          <cell r="F311" t="str">
            <v xml:space="preserve">HIGUITA VALDERRAMA             JHON  ANTONIO       </v>
          </cell>
          <cell r="G311">
            <v>1</v>
          </cell>
          <cell r="H311" t="str">
            <v>1382003000000600061000100015</v>
          </cell>
          <cell r="I311" t="str">
            <v xml:space="preserve">CL 20 A   N 19 - 06   A 101                      </v>
          </cell>
          <cell r="J311" t="str">
            <v xml:space="preserve">011-19542      </v>
          </cell>
          <cell r="K311" t="str">
            <v>ANTIOQUIA</v>
          </cell>
          <cell r="L311" t="str">
            <v>CAÑASGORDAS</v>
          </cell>
        </row>
        <row r="312">
          <cell r="A312">
            <v>70432028</v>
          </cell>
          <cell r="B312" t="str">
            <v>8909002860</v>
          </cell>
          <cell r="C312" t="str">
            <v>CATASTRO ANTIOQUIA.</v>
          </cell>
          <cell r="D312" t="str">
            <v>C.C.</v>
          </cell>
          <cell r="E312" t="str">
            <v>70432028</v>
          </cell>
          <cell r="F312" t="str">
            <v xml:space="preserve">MANCO                          MIGUEL ANGEL        </v>
          </cell>
          <cell r="G312">
            <v>1</v>
          </cell>
          <cell r="H312" t="str">
            <v>1382004000000700065000000000</v>
          </cell>
          <cell r="I312" t="str">
            <v xml:space="preserve">LA  FALDA                                        </v>
          </cell>
          <cell r="J312" t="str">
            <v/>
          </cell>
          <cell r="K312" t="str">
            <v>ANTIOQUIA</v>
          </cell>
          <cell r="L312" t="str">
            <v>CAÑASGORDAS</v>
          </cell>
        </row>
        <row r="313">
          <cell r="A313">
            <v>70432030</v>
          </cell>
          <cell r="B313" t="str">
            <v>8909002860</v>
          </cell>
          <cell r="C313" t="str">
            <v>CATASTRO ANTIOQUIA.</v>
          </cell>
          <cell r="D313" t="str">
            <v>C.C.</v>
          </cell>
          <cell r="E313" t="str">
            <v>70432030</v>
          </cell>
          <cell r="F313" t="str">
            <v xml:space="preserve">GOEZ LOPEZ                     JESUS EMILIO        </v>
          </cell>
          <cell r="G313">
            <v>1</v>
          </cell>
          <cell r="H313" t="str">
            <v>1381002001000700026000000000</v>
          </cell>
          <cell r="I313" t="str">
            <v xml:space="preserve">CR 20 N 23-90                                    </v>
          </cell>
          <cell r="J313" t="str">
            <v/>
          </cell>
          <cell r="K313" t="str">
            <v>ANTIOQUIA</v>
          </cell>
          <cell r="L313" t="str">
            <v>CAÑASGORDAS</v>
          </cell>
        </row>
        <row r="314">
          <cell r="A314">
            <v>70432303</v>
          </cell>
          <cell r="B314" t="str">
            <v>8909002860</v>
          </cell>
          <cell r="C314" t="str">
            <v>CATASTRO ANTIOQUIA.</v>
          </cell>
          <cell r="D314" t="str">
            <v>C.C.</v>
          </cell>
          <cell r="E314" t="str">
            <v>70432303</v>
          </cell>
          <cell r="F314" t="str">
            <v xml:space="preserve">LOPEZ USUGA                    HECTOR ALCIDES      </v>
          </cell>
          <cell r="G314">
            <v>1</v>
          </cell>
          <cell r="H314" t="str">
            <v>1382002000000100005000000000</v>
          </cell>
          <cell r="I314" t="str">
            <v xml:space="preserve">BUENA  VISTA                                     </v>
          </cell>
          <cell r="J314" t="str">
            <v xml:space="preserve">011-14054      </v>
          </cell>
          <cell r="K314" t="str">
            <v>ANTIOQUIA</v>
          </cell>
          <cell r="L314" t="str">
            <v>CAÑASGORDAS</v>
          </cell>
        </row>
        <row r="315">
          <cell r="A315">
            <v>70432494</v>
          </cell>
          <cell r="B315" t="str">
            <v>8909002860</v>
          </cell>
          <cell r="C315" t="str">
            <v>CATASTRO ANTIOQUIA.</v>
          </cell>
          <cell r="D315" t="str">
            <v>C.C.</v>
          </cell>
          <cell r="E315" t="str">
            <v>70432494</v>
          </cell>
          <cell r="F315" t="str">
            <v xml:space="preserve">CORREA HIGUITA                 JAIRO DE JESUS      </v>
          </cell>
          <cell r="G315">
            <v>1</v>
          </cell>
          <cell r="H315" t="str">
            <v>1382004000000700070000000000</v>
          </cell>
          <cell r="I315" t="str">
            <v xml:space="preserve">LA  FALDA                                        </v>
          </cell>
          <cell r="J315" t="str">
            <v/>
          </cell>
          <cell r="K315" t="str">
            <v>ANTIOQUIA</v>
          </cell>
          <cell r="L315" t="str">
            <v>CAÑASGORDAS</v>
          </cell>
        </row>
        <row r="316">
          <cell r="A316">
            <v>70432504</v>
          </cell>
          <cell r="B316" t="str">
            <v>8909002860</v>
          </cell>
          <cell r="C316" t="str">
            <v>CATASTRO ANTIOQUIA.</v>
          </cell>
          <cell r="D316" t="str">
            <v>C.C.</v>
          </cell>
          <cell r="E316" t="str">
            <v>70432504</v>
          </cell>
          <cell r="F316" t="str">
            <v xml:space="preserve">LONDO?O LONDO?O                ALDEMAR  DE JESUS   </v>
          </cell>
          <cell r="G316">
            <v>1</v>
          </cell>
          <cell r="H316" t="str">
            <v>1382001000000700018000000000</v>
          </cell>
          <cell r="I316" t="str">
            <v xml:space="preserve">LA SOLEDAD                                       </v>
          </cell>
          <cell r="J316" t="str">
            <v/>
          </cell>
          <cell r="K316" t="str">
            <v>ANTIOQUIA</v>
          </cell>
          <cell r="L316" t="str">
            <v>CAÑASGORDAS</v>
          </cell>
        </row>
        <row r="317">
          <cell r="A317">
            <v>70432637</v>
          </cell>
          <cell r="B317" t="str">
            <v>8909002860</v>
          </cell>
          <cell r="C317" t="str">
            <v>CATASTRO ANTIOQUIA.</v>
          </cell>
          <cell r="D317" t="str">
            <v>C.C.</v>
          </cell>
          <cell r="E317" t="str">
            <v>70432637</v>
          </cell>
          <cell r="F317" t="str">
            <v xml:space="preserve">QUIROZ                         JAIME DE JESUS      </v>
          </cell>
          <cell r="G317">
            <v>1</v>
          </cell>
          <cell r="H317" t="str">
            <v>1382002000000800080000000000</v>
          </cell>
          <cell r="I317" t="str">
            <v xml:space="preserve">S.N.                                             </v>
          </cell>
          <cell r="J317" t="str">
            <v/>
          </cell>
          <cell r="K317" t="str">
            <v>ANTIOQUIA</v>
          </cell>
          <cell r="L317" t="str">
            <v>CAÑASGORDAS</v>
          </cell>
        </row>
        <row r="318">
          <cell r="A318">
            <v>70432665</v>
          </cell>
          <cell r="B318" t="str">
            <v>8909002860</v>
          </cell>
          <cell r="C318" t="str">
            <v>CATASTRO ANTIOQUIA.</v>
          </cell>
          <cell r="D318" t="str">
            <v>C.C.</v>
          </cell>
          <cell r="E318" t="str">
            <v>70432665</v>
          </cell>
          <cell r="F318" t="str">
            <v xml:space="preserve">ALCARAZ DAVID                  ANGEL EMILIO        </v>
          </cell>
          <cell r="G318">
            <v>1</v>
          </cell>
          <cell r="H318" t="str">
            <v>1382003000000800037000000000</v>
          </cell>
          <cell r="I318" t="str">
            <v xml:space="preserve">VILLA  HERMOSA                                   </v>
          </cell>
          <cell r="J318" t="str">
            <v xml:space="preserve">011-18615      </v>
          </cell>
          <cell r="K318" t="str">
            <v>ANTIOQUIA</v>
          </cell>
          <cell r="L318" t="str">
            <v>CAÑASGORDAS</v>
          </cell>
        </row>
        <row r="319">
          <cell r="A319">
            <v>70433006</v>
          </cell>
          <cell r="B319" t="str">
            <v>8909002860</v>
          </cell>
          <cell r="C319" t="str">
            <v>CATASTRO ANTIOQUIA.</v>
          </cell>
          <cell r="D319" t="str">
            <v>C.C.</v>
          </cell>
          <cell r="E319" t="str">
            <v>70433006</v>
          </cell>
          <cell r="F319" t="str">
            <v xml:space="preserve">JIMENEZ         ZAPATA         GERMAN DARIO        </v>
          </cell>
          <cell r="G319">
            <v>1</v>
          </cell>
          <cell r="H319" t="str">
            <v>1382004000000500048000000000</v>
          </cell>
          <cell r="I319" t="str">
            <v xml:space="preserve">ALTO BONITO                                      </v>
          </cell>
          <cell r="J319" t="str">
            <v/>
          </cell>
          <cell r="K319" t="str">
            <v>ANTIOQUIA</v>
          </cell>
          <cell r="L319" t="str">
            <v>CAÑASGORDAS</v>
          </cell>
        </row>
        <row r="320">
          <cell r="A320">
            <v>70433099</v>
          </cell>
          <cell r="B320" t="str">
            <v>8909002860</v>
          </cell>
          <cell r="C320" t="str">
            <v>CATASTRO ANTIOQUIA.</v>
          </cell>
          <cell r="D320" t="str">
            <v>C.C.</v>
          </cell>
          <cell r="E320" t="str">
            <v>70433099</v>
          </cell>
          <cell r="F320" t="str">
            <v xml:space="preserve">USUGA           FLOREZ         HORACIO             </v>
          </cell>
          <cell r="G320">
            <v>1</v>
          </cell>
          <cell r="H320" t="str">
            <v>1382001000000400018000000000</v>
          </cell>
          <cell r="I320" t="str">
            <v xml:space="preserve">EL PARAISO                                       </v>
          </cell>
          <cell r="J320" t="str">
            <v/>
          </cell>
          <cell r="K320" t="str">
            <v>ANTIOQUIA</v>
          </cell>
          <cell r="L320" t="str">
            <v>CAÑASGORDAS</v>
          </cell>
        </row>
        <row r="321">
          <cell r="A321">
            <v>70433312</v>
          </cell>
          <cell r="B321" t="str">
            <v>8909002860</v>
          </cell>
          <cell r="C321" t="str">
            <v>CATASTRO ANTIOQUIA.</v>
          </cell>
          <cell r="D321" t="str">
            <v>C.C.</v>
          </cell>
          <cell r="E321" t="str">
            <v>70433312</v>
          </cell>
          <cell r="F321" t="str">
            <v xml:space="preserve">LOPEZ HIGUITA                  AICARDO ANTONIO     </v>
          </cell>
          <cell r="G321">
            <v>1</v>
          </cell>
          <cell r="H321" t="str">
            <v>1381001001004500012000000000</v>
          </cell>
          <cell r="I321" t="str">
            <v xml:space="preserve">CL 36 N 30-42 INT 105                            </v>
          </cell>
          <cell r="J321" t="str">
            <v xml:space="preserve">011-18020      </v>
          </cell>
          <cell r="K321" t="str">
            <v>ANTIOQUIA</v>
          </cell>
          <cell r="L321" t="str">
            <v>CAÑASGORDAS</v>
          </cell>
        </row>
        <row r="322">
          <cell r="A322">
            <v>70433326</v>
          </cell>
          <cell r="B322" t="str">
            <v>8909002860</v>
          </cell>
          <cell r="C322" t="str">
            <v>CATASTRO ANTIOQUIA.</v>
          </cell>
          <cell r="D322" t="str">
            <v>C.C.</v>
          </cell>
          <cell r="E322" t="str">
            <v>70433326</v>
          </cell>
          <cell r="F322" t="str">
            <v xml:space="preserve">RODRIGUEZ ZAPATA               WILLIAM DE JESUS    </v>
          </cell>
          <cell r="G322">
            <v>1</v>
          </cell>
          <cell r="H322" t="str">
            <v>1382004000001000150000000000</v>
          </cell>
          <cell r="I322" t="str">
            <v xml:space="preserve">CHUZA                                            </v>
          </cell>
          <cell r="J322" t="str">
            <v xml:space="preserve">011-19159      </v>
          </cell>
          <cell r="K322" t="str">
            <v>ANTIOQUIA</v>
          </cell>
          <cell r="L322" t="str">
            <v>CAÑASGORDAS</v>
          </cell>
        </row>
        <row r="323">
          <cell r="A323">
            <v>70433350</v>
          </cell>
          <cell r="B323" t="str">
            <v>8909002860</v>
          </cell>
          <cell r="C323" t="str">
            <v>CATASTRO ANTIOQUIA.</v>
          </cell>
          <cell r="D323" t="str">
            <v>C.C.</v>
          </cell>
          <cell r="E323" t="str">
            <v>70433350</v>
          </cell>
          <cell r="F323" t="str">
            <v xml:space="preserve">DAVID RUEDA                    OSCAR DE JESUS      </v>
          </cell>
          <cell r="G323">
            <v>1</v>
          </cell>
          <cell r="H323" t="str">
            <v>1382004000000800027000000000</v>
          </cell>
          <cell r="I323" t="str">
            <v xml:space="preserve">LA  MALENA                                       </v>
          </cell>
          <cell r="J323" t="str">
            <v xml:space="preserve">011-14159      </v>
          </cell>
          <cell r="K323" t="str">
            <v>ANTIOQUIA</v>
          </cell>
          <cell r="L323" t="str">
            <v>CAÑASGORDAS</v>
          </cell>
        </row>
        <row r="324">
          <cell r="A324">
            <v>70433468</v>
          </cell>
          <cell r="B324" t="str">
            <v>8909002860</v>
          </cell>
          <cell r="C324" t="str">
            <v>CATASTRO ANTIOQUIA.</v>
          </cell>
          <cell r="D324" t="str">
            <v>C.C.</v>
          </cell>
          <cell r="E324" t="str">
            <v>70433468</v>
          </cell>
          <cell r="F324" t="str">
            <v xml:space="preserve">BASTIDAS        ALCARAZ        JOSE NICOLAS        </v>
          </cell>
          <cell r="G324">
            <v>1</v>
          </cell>
          <cell r="H324" t="str">
            <v>1382001000000500089000000000</v>
          </cell>
          <cell r="I324" t="str">
            <v xml:space="preserve">LA AMOLADORA                                     </v>
          </cell>
          <cell r="J324" t="str">
            <v xml:space="preserve">011-16539      </v>
          </cell>
          <cell r="K324" t="str">
            <v>ANTIOQUIA</v>
          </cell>
          <cell r="L324" t="str">
            <v>CAÑASGORDAS</v>
          </cell>
        </row>
        <row r="325">
          <cell r="A325">
            <v>70433490</v>
          </cell>
          <cell r="B325" t="str">
            <v>8909002860</v>
          </cell>
          <cell r="C325" t="str">
            <v>CATASTRO ANTIOQUIA.</v>
          </cell>
          <cell r="D325" t="str">
            <v>C.C.</v>
          </cell>
          <cell r="E325" t="str">
            <v>70433490</v>
          </cell>
          <cell r="F325" t="str">
            <v xml:space="preserve">CAMPO CAMPO                    HORACIO ANTONIO     </v>
          </cell>
          <cell r="G325">
            <v>1</v>
          </cell>
          <cell r="H325" t="str">
            <v>1381001001002100015000000000</v>
          </cell>
          <cell r="I325" t="str">
            <v xml:space="preserve">CR 28 N 26-30                                    </v>
          </cell>
          <cell r="J325" t="str">
            <v xml:space="preserve">011-13875      </v>
          </cell>
          <cell r="K325" t="str">
            <v>ANTIOQUIA</v>
          </cell>
          <cell r="L325" t="str">
            <v>CAÑASGORDAS</v>
          </cell>
        </row>
        <row r="326">
          <cell r="A326">
            <v>70433566</v>
          </cell>
          <cell r="B326" t="str">
            <v>8909002860</v>
          </cell>
          <cell r="C326" t="str">
            <v>CATASTRO ANTIOQUIA.</v>
          </cell>
          <cell r="D326" t="str">
            <v>C.C.</v>
          </cell>
          <cell r="E326" t="str">
            <v>70433566</v>
          </cell>
          <cell r="F326" t="str">
            <v xml:space="preserve">USUGA           BRAN           JORGE ELEAZAR       </v>
          </cell>
          <cell r="G326">
            <v>1</v>
          </cell>
          <cell r="H326" t="str">
            <v>1382001000002000089000000000</v>
          </cell>
          <cell r="I326" t="str">
            <v xml:space="preserve">S.N.                                             </v>
          </cell>
          <cell r="J326" t="str">
            <v/>
          </cell>
          <cell r="K326" t="str">
            <v>ANTIOQUIA</v>
          </cell>
          <cell r="L326" t="str">
            <v>CAÑASGORDAS</v>
          </cell>
        </row>
        <row r="327">
          <cell r="A327">
            <v>70433717</v>
          </cell>
          <cell r="B327" t="str">
            <v>8909002860</v>
          </cell>
          <cell r="C327" t="str">
            <v>CATASTRO ANTIOQUIA.</v>
          </cell>
          <cell r="D327" t="str">
            <v>C.C.</v>
          </cell>
          <cell r="E327" t="str">
            <v>70433717</v>
          </cell>
          <cell r="F327" t="str">
            <v xml:space="preserve">USUGA           YEPES          YOBANY ANTONIO      </v>
          </cell>
          <cell r="G327">
            <v>1</v>
          </cell>
          <cell r="H327" t="str">
            <v>1382001000001100113000000000</v>
          </cell>
          <cell r="I327" t="str">
            <v xml:space="preserve">LA ILUSION                                       </v>
          </cell>
          <cell r="J327" t="str">
            <v/>
          </cell>
          <cell r="K327" t="str">
            <v>ANTIOQUIA</v>
          </cell>
          <cell r="L327" t="str">
            <v>CAÑASGORDAS</v>
          </cell>
        </row>
        <row r="328">
          <cell r="A328">
            <v>70433782</v>
          </cell>
          <cell r="B328" t="str">
            <v>8909002860</v>
          </cell>
          <cell r="C328" t="str">
            <v>CATASTRO ANTIOQUIA.</v>
          </cell>
          <cell r="D328" t="str">
            <v>C.C.</v>
          </cell>
          <cell r="E328" t="str">
            <v>70433782</v>
          </cell>
          <cell r="F328" t="str">
            <v xml:space="preserve">HIGUITA MORENO                 OBDULIO ERNESTO     </v>
          </cell>
          <cell r="G328">
            <v>1</v>
          </cell>
          <cell r="H328" t="str">
            <v>1381001001006000005000000000</v>
          </cell>
          <cell r="I328" t="str">
            <v xml:space="preserve">CR 27A N 47-129                                  </v>
          </cell>
          <cell r="J328" t="str">
            <v xml:space="preserve">011-18039      </v>
          </cell>
          <cell r="K328" t="str">
            <v>ANTIOQUIA</v>
          </cell>
          <cell r="L328" t="str">
            <v>CAÑASGORDAS</v>
          </cell>
        </row>
        <row r="329">
          <cell r="A329">
            <v>70433799</v>
          </cell>
          <cell r="B329" t="str">
            <v>8909002860</v>
          </cell>
          <cell r="C329" t="str">
            <v>CATASTRO ANTIOQUIA.</v>
          </cell>
          <cell r="D329" t="str">
            <v>C.C.</v>
          </cell>
          <cell r="E329" t="str">
            <v>70433799</v>
          </cell>
          <cell r="F329" t="str">
            <v xml:space="preserve">MEDINA GIRALDO                 JAIME DE JESUS      </v>
          </cell>
          <cell r="G329">
            <v>1</v>
          </cell>
          <cell r="H329" t="str">
            <v>1381001001005100001000000000</v>
          </cell>
          <cell r="I329" t="str">
            <v xml:space="preserve">CR 26 N 48-22                                    </v>
          </cell>
          <cell r="J329" t="str">
            <v/>
          </cell>
          <cell r="K329" t="str">
            <v>ANTIOQUIA</v>
          </cell>
          <cell r="L329" t="str">
            <v>CAÑASGORDAS</v>
          </cell>
        </row>
        <row r="330">
          <cell r="A330">
            <v>70434219</v>
          </cell>
          <cell r="B330" t="str">
            <v>8909002860</v>
          </cell>
          <cell r="C330" t="str">
            <v>CATASTRO ANTIOQUIA.</v>
          </cell>
          <cell r="D330" t="str">
            <v>C.C.</v>
          </cell>
          <cell r="E330" t="str">
            <v>70434219</v>
          </cell>
          <cell r="F330" t="str">
            <v xml:space="preserve">CARDONA CARMONA                LUIS ENRIQUE        </v>
          </cell>
          <cell r="G330">
            <v>1</v>
          </cell>
          <cell r="H330" t="str">
            <v>1382001000001500137000000000</v>
          </cell>
          <cell r="I330" t="str">
            <v xml:space="preserve">EL PEDESTAL                                      </v>
          </cell>
          <cell r="J330" t="str">
            <v xml:space="preserve">011-18541      </v>
          </cell>
          <cell r="K330" t="str">
            <v>ANTIOQUIA</v>
          </cell>
          <cell r="L330" t="str">
            <v>CAÑASGORDAS</v>
          </cell>
        </row>
        <row r="331">
          <cell r="A331">
            <v>70434302</v>
          </cell>
          <cell r="B331" t="str">
            <v>8909002860</v>
          </cell>
          <cell r="C331" t="str">
            <v>CATASTRO ANTIOQUIA.</v>
          </cell>
          <cell r="D331" t="str">
            <v>C.C.</v>
          </cell>
          <cell r="E331" t="str">
            <v>70434302</v>
          </cell>
          <cell r="F331" t="str">
            <v xml:space="preserve">CORREA          VELASQUEZ      DANIEL DE JESUS     </v>
          </cell>
          <cell r="G331">
            <v>1</v>
          </cell>
          <cell r="H331" t="str">
            <v>1382004000000700137000000000</v>
          </cell>
          <cell r="I331" t="str">
            <v xml:space="preserve">EL  HOYO                                         </v>
          </cell>
          <cell r="J331" t="str">
            <v/>
          </cell>
          <cell r="K331" t="str">
            <v>ANTIOQUIA</v>
          </cell>
          <cell r="L331" t="str">
            <v>CAÑASGORDAS</v>
          </cell>
        </row>
        <row r="332">
          <cell r="A332">
            <v>70434386</v>
          </cell>
          <cell r="B332" t="str">
            <v>8909002860</v>
          </cell>
          <cell r="C332" t="str">
            <v>CATASTRO ANTIOQUIA.</v>
          </cell>
          <cell r="D332" t="str">
            <v>C.C.</v>
          </cell>
          <cell r="E332" t="str">
            <v>70434386</v>
          </cell>
          <cell r="F332" t="str">
            <v xml:space="preserve">DAVID QUIROZ                   RAFAEL ANGEL        </v>
          </cell>
          <cell r="G332">
            <v>1</v>
          </cell>
          <cell r="H332" t="str">
            <v>1382004000000900025000000000</v>
          </cell>
          <cell r="I332" t="str">
            <v xml:space="preserve">S.N.                                             </v>
          </cell>
          <cell r="J332" t="str">
            <v/>
          </cell>
          <cell r="K332" t="str">
            <v>ANTIOQUIA</v>
          </cell>
          <cell r="L332" t="str">
            <v>CAÑASGORDAS</v>
          </cell>
        </row>
        <row r="333">
          <cell r="A333">
            <v>70434418</v>
          </cell>
          <cell r="B333" t="str">
            <v>8909002860</v>
          </cell>
          <cell r="C333" t="str">
            <v>CATASTRO ANTIOQUIA.</v>
          </cell>
          <cell r="D333" t="str">
            <v>C.C.</v>
          </cell>
          <cell r="E333" t="str">
            <v>70434418</v>
          </cell>
          <cell r="F333" t="str">
            <v xml:space="preserve">CAMPO           GOEZ           HORACIO             </v>
          </cell>
          <cell r="G333">
            <v>1</v>
          </cell>
          <cell r="H333" t="str">
            <v>1382002000000800078000000000</v>
          </cell>
          <cell r="I333" t="str">
            <v xml:space="preserve">SAN MIGUEL                                       </v>
          </cell>
          <cell r="J333" t="str">
            <v/>
          </cell>
          <cell r="K333" t="str">
            <v>ANTIOQUIA</v>
          </cell>
          <cell r="L333" t="str">
            <v>CAÑASGORDAS</v>
          </cell>
        </row>
        <row r="334">
          <cell r="A334">
            <v>70434533</v>
          </cell>
          <cell r="B334" t="str">
            <v>8909002860</v>
          </cell>
          <cell r="C334" t="str">
            <v>CATASTRO ANTIOQUIA.</v>
          </cell>
          <cell r="D334" t="str">
            <v>C.C.</v>
          </cell>
          <cell r="E334" t="str">
            <v>70434533</v>
          </cell>
          <cell r="F334" t="str">
            <v xml:space="preserve">TANGARIFE       GOMEZ          LEON ALCIDES        </v>
          </cell>
          <cell r="G334">
            <v>1</v>
          </cell>
          <cell r="H334" t="str">
            <v>1382001000001000134000000000</v>
          </cell>
          <cell r="I334" t="str">
            <v xml:space="preserve">EL CANELO                                        </v>
          </cell>
          <cell r="J334" t="str">
            <v xml:space="preserve">011-19039      </v>
          </cell>
          <cell r="K334" t="str">
            <v>ANTIOQUIA</v>
          </cell>
          <cell r="L334" t="str">
            <v>CAÑASGORDAS</v>
          </cell>
        </row>
        <row r="335">
          <cell r="A335">
            <v>70434568</v>
          </cell>
          <cell r="B335" t="str">
            <v>8909002860</v>
          </cell>
          <cell r="C335" t="str">
            <v>CATASTRO ANTIOQUIA.</v>
          </cell>
          <cell r="D335" t="str">
            <v>C.C.</v>
          </cell>
          <cell r="E335" t="str">
            <v>70434568</v>
          </cell>
          <cell r="F335" t="str">
            <v xml:space="preserve">RODRIGUEZ CAMPO                FRANCISCO JAVIER    </v>
          </cell>
          <cell r="G335">
            <v>1</v>
          </cell>
          <cell r="H335" t="str">
            <v>1382004000001000200000000000</v>
          </cell>
          <cell r="I335" t="str">
            <v xml:space="preserve">S.N.                                             </v>
          </cell>
          <cell r="J335" t="str">
            <v/>
          </cell>
          <cell r="K335" t="str">
            <v>ANTIOQUIA</v>
          </cell>
          <cell r="L335" t="str">
            <v>CAÑASGORDAS</v>
          </cell>
        </row>
        <row r="336">
          <cell r="A336">
            <v>70434717</v>
          </cell>
          <cell r="B336" t="str">
            <v>8909002860</v>
          </cell>
          <cell r="C336" t="str">
            <v>CATASTRO ANTIOQUIA.</v>
          </cell>
          <cell r="D336" t="str">
            <v>C.C.</v>
          </cell>
          <cell r="E336" t="str">
            <v>70434717</v>
          </cell>
          <cell r="F336" t="str">
            <v xml:space="preserve">ARTEAGA         RUEDA          FRANCISCO LUIS      </v>
          </cell>
          <cell r="G336">
            <v>1</v>
          </cell>
          <cell r="H336" t="str">
            <v>1382004000000800027000000000</v>
          </cell>
          <cell r="I336" t="str">
            <v xml:space="preserve">LA  MALENA                                       </v>
          </cell>
          <cell r="J336" t="str">
            <v/>
          </cell>
          <cell r="K336" t="str">
            <v>ANTIOQUIA</v>
          </cell>
          <cell r="L336" t="str">
            <v>CAÑASGORDAS</v>
          </cell>
        </row>
        <row r="337">
          <cell r="A337">
            <v>70434723</v>
          </cell>
          <cell r="B337" t="str">
            <v>8909002860</v>
          </cell>
          <cell r="C337" t="str">
            <v>CATASTRO ANTIOQUIA.</v>
          </cell>
          <cell r="D337" t="str">
            <v>C.C.</v>
          </cell>
          <cell r="E337" t="str">
            <v>70434723</v>
          </cell>
          <cell r="F337" t="str">
            <v xml:space="preserve">USUGA           AGUIRRE        FABIAN HERNANDO     </v>
          </cell>
          <cell r="G337">
            <v>1</v>
          </cell>
          <cell r="H337" t="str">
            <v>1382004000000900049000000000</v>
          </cell>
          <cell r="I337" t="str">
            <v xml:space="preserve">LA  MANGA                                        </v>
          </cell>
          <cell r="J337" t="str">
            <v/>
          </cell>
          <cell r="K337" t="str">
            <v>ANTIOQUIA</v>
          </cell>
          <cell r="L337" t="str">
            <v>CAÑASGORDAS</v>
          </cell>
        </row>
        <row r="338">
          <cell r="A338">
            <v>70434751</v>
          </cell>
          <cell r="B338" t="str">
            <v>8909002860</v>
          </cell>
          <cell r="C338" t="str">
            <v>CATASTRO ANTIOQUIA.</v>
          </cell>
          <cell r="D338" t="str">
            <v>C.C.</v>
          </cell>
          <cell r="E338" t="str">
            <v>70434751</v>
          </cell>
          <cell r="F338" t="str">
            <v xml:space="preserve">GUISAO GIRALDO                 MIGUEL ANGEL        </v>
          </cell>
          <cell r="G338">
            <v>1</v>
          </cell>
          <cell r="H338" t="str">
            <v>1382001000002800045000000000</v>
          </cell>
          <cell r="I338" t="str">
            <v xml:space="preserve">SANTA  BARBARA                                   </v>
          </cell>
          <cell r="J338" t="str">
            <v xml:space="preserve">011-14220      </v>
          </cell>
          <cell r="K338" t="str">
            <v>ANTIOQUIA</v>
          </cell>
          <cell r="L338" t="str">
            <v>CAÑASGORDAS</v>
          </cell>
        </row>
        <row r="339">
          <cell r="A339">
            <v>70434928</v>
          </cell>
          <cell r="B339" t="str">
            <v>8909002860</v>
          </cell>
          <cell r="C339" t="str">
            <v>CATASTRO ANTIOQUIA.</v>
          </cell>
          <cell r="D339" t="str">
            <v>C.C.</v>
          </cell>
          <cell r="E339" t="str">
            <v>70434928</v>
          </cell>
          <cell r="F339" t="str">
            <v xml:space="preserve">SOTO JIMENEZ                   JOSUE ANTONIO       </v>
          </cell>
          <cell r="G339">
            <v>1</v>
          </cell>
          <cell r="H339" t="str">
            <v>1382001000000800016000000000</v>
          </cell>
          <cell r="I339" t="str">
            <v xml:space="preserve">MEDIACUESTA                                      </v>
          </cell>
          <cell r="J339" t="str">
            <v xml:space="preserve">011-17077      </v>
          </cell>
          <cell r="K339" t="str">
            <v>ANTIOQUIA</v>
          </cell>
          <cell r="L339" t="str">
            <v>CAÑASGORDAS</v>
          </cell>
        </row>
        <row r="340">
          <cell r="A340">
            <v>70434940</v>
          </cell>
          <cell r="B340" t="str">
            <v>8909002860</v>
          </cell>
          <cell r="C340" t="str">
            <v>CATASTRO ANTIOQUIA.</v>
          </cell>
          <cell r="D340" t="str">
            <v>C.C.</v>
          </cell>
          <cell r="E340" t="str">
            <v>70434940</v>
          </cell>
          <cell r="F340" t="str">
            <v xml:space="preserve">DURANGO LOPERA                 GUSTAVO ALIRIO      </v>
          </cell>
          <cell r="G340">
            <v>1</v>
          </cell>
          <cell r="H340" t="str">
            <v>1382001000002400225000000000</v>
          </cell>
          <cell r="I340" t="str">
            <v xml:space="preserve">LA LLORONA                                       </v>
          </cell>
          <cell r="J340" t="str">
            <v xml:space="preserve">011-19430      </v>
          </cell>
          <cell r="K340" t="str">
            <v>ANTIOQUIA</v>
          </cell>
          <cell r="L340" t="str">
            <v>CAÑASGORDAS</v>
          </cell>
        </row>
        <row r="341">
          <cell r="A341">
            <v>70435001</v>
          </cell>
          <cell r="B341" t="str">
            <v>8909002860</v>
          </cell>
          <cell r="C341" t="str">
            <v>CATASTRO ANTIOQUIA.</v>
          </cell>
          <cell r="D341" t="str">
            <v>C.C.</v>
          </cell>
          <cell r="E341" t="str">
            <v>70435001</v>
          </cell>
          <cell r="F341" t="str">
            <v xml:space="preserve">TORRES SUAREZ                  FRANCISCO JAVIER    </v>
          </cell>
          <cell r="G341">
            <v>1</v>
          </cell>
          <cell r="H341" t="str">
            <v>1382001000001800035000000000</v>
          </cell>
          <cell r="I341" t="str">
            <v xml:space="preserve">EL CALVARIO                                      </v>
          </cell>
          <cell r="J341" t="str">
            <v/>
          </cell>
          <cell r="K341" t="str">
            <v>ANTIOQUIA</v>
          </cell>
          <cell r="L341" t="str">
            <v>CAÑASGORDAS</v>
          </cell>
        </row>
        <row r="342">
          <cell r="A342">
            <v>70435024</v>
          </cell>
          <cell r="B342" t="str">
            <v>8909002860</v>
          </cell>
          <cell r="C342" t="str">
            <v>CATASTRO ANTIOQUIA.</v>
          </cell>
          <cell r="D342" t="str">
            <v>C.C.</v>
          </cell>
          <cell r="E342" t="str">
            <v>70435024</v>
          </cell>
          <cell r="F342" t="str">
            <v xml:space="preserve">USUGA USUGA                    JORGE MARIO         </v>
          </cell>
          <cell r="G342">
            <v>1</v>
          </cell>
          <cell r="H342" t="str">
            <v>1381001001000300004000000000</v>
          </cell>
          <cell r="I342" t="str">
            <v xml:space="preserve">CL 23 N 29-47                                    </v>
          </cell>
          <cell r="J342" t="str">
            <v xml:space="preserve">011-15737      </v>
          </cell>
          <cell r="K342" t="str">
            <v>ANTIOQUIA</v>
          </cell>
          <cell r="L342" t="str">
            <v>CAÑASGORDAS</v>
          </cell>
        </row>
        <row r="343">
          <cell r="A343">
            <v>70435350</v>
          </cell>
          <cell r="B343" t="str">
            <v>8909002860</v>
          </cell>
          <cell r="C343" t="str">
            <v>CATASTRO ANTIOQUIA.</v>
          </cell>
          <cell r="D343" t="str">
            <v>C.C.</v>
          </cell>
          <cell r="E343" t="str">
            <v>70435350</v>
          </cell>
          <cell r="F343" t="str">
            <v xml:space="preserve">MANCO           HIGUITA        LUIS ALBERTO        </v>
          </cell>
          <cell r="G343">
            <v>1</v>
          </cell>
          <cell r="H343" t="str">
            <v>1382004000000700134000000000</v>
          </cell>
          <cell r="I343" t="str">
            <v xml:space="preserve">S.N.                                             </v>
          </cell>
          <cell r="J343" t="str">
            <v/>
          </cell>
          <cell r="K343" t="str">
            <v>ANTIOQUIA</v>
          </cell>
          <cell r="L343" t="str">
            <v>CAÑASGORDAS</v>
          </cell>
        </row>
        <row r="344">
          <cell r="A344">
            <v>70435369</v>
          </cell>
          <cell r="B344" t="str">
            <v>8909002860</v>
          </cell>
          <cell r="C344" t="str">
            <v>CATASTRO ANTIOQUIA.</v>
          </cell>
          <cell r="D344" t="str">
            <v>C.C.</v>
          </cell>
          <cell r="E344" t="str">
            <v>70435369</v>
          </cell>
          <cell r="F344" t="str">
            <v xml:space="preserve">OSORIO          DAVID          LUIS FERNANDO       </v>
          </cell>
          <cell r="G344">
            <v>1</v>
          </cell>
          <cell r="H344" t="str">
            <v>1382004000000100036000000000</v>
          </cell>
          <cell r="I344" t="str">
            <v xml:space="preserve">S.N.                                             </v>
          </cell>
          <cell r="J344" t="str">
            <v/>
          </cell>
          <cell r="K344" t="str">
            <v>ANTIOQUIA</v>
          </cell>
          <cell r="L344" t="str">
            <v>CAÑASGORDAS</v>
          </cell>
        </row>
        <row r="345">
          <cell r="A345">
            <v>70435529</v>
          </cell>
          <cell r="B345" t="str">
            <v>8909002860</v>
          </cell>
          <cell r="C345" t="str">
            <v>CATASTRO ANTIOQUIA.</v>
          </cell>
          <cell r="D345" t="str">
            <v>C.C.</v>
          </cell>
          <cell r="E345" t="str">
            <v>70435529</v>
          </cell>
          <cell r="F345" t="str">
            <v xml:space="preserve">RUEDA           CORREA         ANDRES ABELARDO     </v>
          </cell>
          <cell r="G345">
            <v>1</v>
          </cell>
          <cell r="H345" t="str">
            <v>1382004000001000179000000000</v>
          </cell>
          <cell r="I345" t="str">
            <v xml:space="preserve">EL  VENTIADERO                                   </v>
          </cell>
          <cell r="J345" t="str">
            <v/>
          </cell>
          <cell r="K345" t="str">
            <v>ANTIOQUIA</v>
          </cell>
          <cell r="L345" t="str">
            <v>CAÑASGORDAS</v>
          </cell>
        </row>
        <row r="346">
          <cell r="A346">
            <v>70435688</v>
          </cell>
          <cell r="B346" t="str">
            <v>8909002860</v>
          </cell>
          <cell r="C346" t="str">
            <v>CATASTRO ANTIOQUIA.</v>
          </cell>
          <cell r="D346" t="str">
            <v>C.C.</v>
          </cell>
          <cell r="E346" t="str">
            <v>70435688</v>
          </cell>
          <cell r="F346" t="str">
            <v xml:space="preserve">MANCO           RODRIGUEZ      JOSE MANUEL         </v>
          </cell>
          <cell r="G346">
            <v>1</v>
          </cell>
          <cell r="H346" t="str">
            <v>1382004000000700043000000000</v>
          </cell>
          <cell r="I346" t="str">
            <v xml:space="preserve">CHUZA                                            </v>
          </cell>
          <cell r="J346" t="str">
            <v xml:space="preserve">011-16534      </v>
          </cell>
          <cell r="K346" t="str">
            <v>ANTIOQUIA</v>
          </cell>
          <cell r="L346" t="str">
            <v>CAÑASGORDAS</v>
          </cell>
        </row>
        <row r="347">
          <cell r="A347">
            <v>70435983</v>
          </cell>
          <cell r="B347" t="str">
            <v>8909002860</v>
          </cell>
          <cell r="C347" t="str">
            <v>CATASTRO ANTIOQUIA.</v>
          </cell>
          <cell r="D347" t="str">
            <v>C.C.</v>
          </cell>
          <cell r="E347" t="str">
            <v>70435983</v>
          </cell>
          <cell r="F347" t="str">
            <v xml:space="preserve">TABORDA         MONSALVE       GERMAN DARIO        </v>
          </cell>
          <cell r="G347">
            <v>1</v>
          </cell>
          <cell r="H347" t="str">
            <v>1382001000000200009000000000</v>
          </cell>
          <cell r="I347" t="str">
            <v xml:space="preserve">BENAVISTA                                        </v>
          </cell>
          <cell r="J347" t="str">
            <v/>
          </cell>
          <cell r="K347" t="str">
            <v>ANTIOQUIA</v>
          </cell>
          <cell r="L347" t="str">
            <v>CAÑASGORDAS</v>
          </cell>
        </row>
        <row r="348">
          <cell r="A348">
            <v>71526457</v>
          </cell>
          <cell r="B348" t="str">
            <v>8909002860</v>
          </cell>
          <cell r="C348" t="str">
            <v>CATASTRO ANTIOQUIA.</v>
          </cell>
          <cell r="D348" t="str">
            <v>C.C.</v>
          </cell>
          <cell r="E348" t="str">
            <v>71526457</v>
          </cell>
          <cell r="F348" t="str">
            <v xml:space="preserve">RESTREPO HERNANDEZ             LUIS FERNANDO       </v>
          </cell>
          <cell r="G348">
            <v>1</v>
          </cell>
          <cell r="H348" t="str">
            <v>1382001000001400053000000000</v>
          </cell>
          <cell r="I348" t="str">
            <v xml:space="preserve">EL JARDIN                                        </v>
          </cell>
          <cell r="J348" t="str">
            <v xml:space="preserve">011-16584      </v>
          </cell>
          <cell r="K348" t="str">
            <v>ANTIOQUIA</v>
          </cell>
          <cell r="L348" t="str">
            <v>CAÑASGORDAS</v>
          </cell>
        </row>
        <row r="349">
          <cell r="A349">
            <v>71645468</v>
          </cell>
          <cell r="B349" t="str">
            <v>8909002860</v>
          </cell>
          <cell r="C349" t="str">
            <v>CATASTRO ANTIOQUIA.</v>
          </cell>
          <cell r="D349" t="str">
            <v>C.C.</v>
          </cell>
          <cell r="E349" t="str">
            <v>71645468</v>
          </cell>
          <cell r="F349" t="str">
            <v xml:space="preserve">BENITEZ         HIGUITA        NOLBERTO            </v>
          </cell>
          <cell r="G349">
            <v>1</v>
          </cell>
          <cell r="H349" t="str">
            <v>1382004000000400037000000000</v>
          </cell>
          <cell r="I349" t="str">
            <v xml:space="preserve">LA  FONDA                                        </v>
          </cell>
          <cell r="J349" t="str">
            <v/>
          </cell>
          <cell r="K349" t="str">
            <v>ANTIOQUIA</v>
          </cell>
          <cell r="L349" t="str">
            <v>CAÑASGORDAS</v>
          </cell>
        </row>
        <row r="350">
          <cell r="A350">
            <v>71656384</v>
          </cell>
          <cell r="B350" t="str">
            <v>8909002860</v>
          </cell>
          <cell r="C350" t="str">
            <v>CATASTRO ANTIOQUIA.</v>
          </cell>
          <cell r="D350" t="str">
            <v>C.C.</v>
          </cell>
          <cell r="E350" t="str">
            <v>71656384</v>
          </cell>
          <cell r="F350" t="str">
            <v xml:space="preserve">VALDERRAMA BERRIO              LUIS GERMAN         </v>
          </cell>
          <cell r="G350">
            <v>1</v>
          </cell>
          <cell r="H350" t="str">
            <v>1382002000000100017000000000</v>
          </cell>
          <cell r="I350" t="str">
            <v xml:space="preserve">MIRAMAR                                          </v>
          </cell>
          <cell r="J350" t="str">
            <v xml:space="preserve">011-18568      </v>
          </cell>
          <cell r="K350" t="str">
            <v>ANTIOQUIA</v>
          </cell>
          <cell r="L350" t="str">
            <v>CAÑASGORDAS</v>
          </cell>
        </row>
        <row r="351">
          <cell r="A351">
            <v>71718623</v>
          </cell>
          <cell r="B351" t="str">
            <v>8909002860</v>
          </cell>
          <cell r="C351" t="str">
            <v>CATASTRO ANTIOQUIA.</v>
          </cell>
          <cell r="D351" t="str">
            <v>C.C.</v>
          </cell>
          <cell r="E351" t="str">
            <v>71718623</v>
          </cell>
          <cell r="F351" t="str">
            <v xml:space="preserve">VILLA GIL                      OSCAR GUILLERMO     </v>
          </cell>
          <cell r="G351">
            <v>1</v>
          </cell>
          <cell r="H351" t="str">
            <v>1382001000001000035000000000</v>
          </cell>
          <cell r="I351" t="str">
            <v xml:space="preserve">LA ESCALERA                                      </v>
          </cell>
          <cell r="J351" t="str">
            <v xml:space="preserve">011-17129      </v>
          </cell>
          <cell r="K351" t="str">
            <v>ANTIOQUIA</v>
          </cell>
          <cell r="L351" t="str">
            <v>CAÑASGORDAS</v>
          </cell>
        </row>
        <row r="352">
          <cell r="A352">
            <v>94250611</v>
          </cell>
          <cell r="B352" t="str">
            <v>8909002860</v>
          </cell>
          <cell r="C352" t="str">
            <v>CATASTRO ANTIOQUIA.</v>
          </cell>
          <cell r="D352" t="str">
            <v>C.C.</v>
          </cell>
          <cell r="E352" t="str">
            <v>94250611</v>
          </cell>
          <cell r="F352" t="str">
            <v xml:space="preserve">DAVID           ALVAREZ        JOSE LUIS           </v>
          </cell>
          <cell r="G352">
            <v>1</v>
          </cell>
          <cell r="H352" t="str">
            <v>1382004000000800027000000000</v>
          </cell>
          <cell r="I352" t="str">
            <v xml:space="preserve">LA  MALENA                                       </v>
          </cell>
          <cell r="J352" t="str">
            <v/>
          </cell>
          <cell r="K352" t="str">
            <v>ANTIOQUIA</v>
          </cell>
          <cell r="L352" t="str">
            <v>CAÑASGORDAS</v>
          </cell>
        </row>
        <row r="353">
          <cell r="A353">
            <v>98460369</v>
          </cell>
          <cell r="B353" t="str">
            <v>8909002860</v>
          </cell>
          <cell r="C353" t="str">
            <v>CATASTRO ANTIOQUIA.</v>
          </cell>
          <cell r="D353" t="str">
            <v>C.C.</v>
          </cell>
          <cell r="E353" t="str">
            <v>98460369</v>
          </cell>
          <cell r="F353" t="str">
            <v xml:space="preserve">USUGA VARGAS                   CARLOS ANTONIO      </v>
          </cell>
          <cell r="G353">
            <v>1</v>
          </cell>
          <cell r="H353" t="str">
            <v>1382001000002200070000000000</v>
          </cell>
          <cell r="I353" t="str">
            <v xml:space="preserve">EL LEON                                          </v>
          </cell>
          <cell r="J353" t="str">
            <v xml:space="preserve">011-18725      </v>
          </cell>
          <cell r="K353" t="str">
            <v>ANTIOQUIA</v>
          </cell>
          <cell r="L353" t="str">
            <v>CAÑASGORDAS</v>
          </cell>
        </row>
        <row r="354">
          <cell r="A354">
            <v>98540430</v>
          </cell>
          <cell r="B354" t="str">
            <v>8909002860</v>
          </cell>
          <cell r="C354" t="str">
            <v>CATASTRO ANTIOQUIA.</v>
          </cell>
          <cell r="D354" t="str">
            <v>C.C.</v>
          </cell>
          <cell r="E354" t="str">
            <v>98540430</v>
          </cell>
          <cell r="F354" t="str">
            <v xml:space="preserve">SALAZAR         USUGA          HELMER ANTONIO      </v>
          </cell>
          <cell r="G354">
            <v>1</v>
          </cell>
          <cell r="H354" t="str">
            <v>1382001000000200021000000000</v>
          </cell>
          <cell r="I354" t="str">
            <v xml:space="preserve">LA SECRETA                                       </v>
          </cell>
          <cell r="J354" t="str">
            <v/>
          </cell>
          <cell r="K354" t="str">
            <v>ANTIOQUIA</v>
          </cell>
          <cell r="L354" t="str">
            <v>CAÑASGORDAS</v>
          </cell>
        </row>
        <row r="355">
          <cell r="A355">
            <v>98613659</v>
          </cell>
          <cell r="B355" t="str">
            <v>8909002860</v>
          </cell>
          <cell r="C355" t="str">
            <v>CATASTRO ANTIOQUIA.</v>
          </cell>
          <cell r="D355" t="str">
            <v>C.C.</v>
          </cell>
          <cell r="E355" t="str">
            <v>98613659</v>
          </cell>
          <cell r="F355" t="str">
            <v xml:space="preserve">USUGA  PUERTA                  HUMBERTO ANTONIO    </v>
          </cell>
          <cell r="G355">
            <v>1</v>
          </cell>
          <cell r="H355" t="str">
            <v>1382002000000600031000000000</v>
          </cell>
          <cell r="I355" t="str">
            <v xml:space="preserve">S.N.                                             </v>
          </cell>
          <cell r="J355" t="str">
            <v/>
          </cell>
          <cell r="K355" t="str">
            <v>ANTIOQUIA</v>
          </cell>
          <cell r="L355" t="str">
            <v>CAÑASGORDAS</v>
          </cell>
        </row>
        <row r="356">
          <cell r="A356">
            <v>98613818</v>
          </cell>
          <cell r="B356" t="str">
            <v>8909002860</v>
          </cell>
          <cell r="C356" t="str">
            <v>CATASTRO ANTIOQUIA.</v>
          </cell>
          <cell r="D356" t="str">
            <v>C.C.</v>
          </cell>
          <cell r="E356" t="str">
            <v>98613818</v>
          </cell>
          <cell r="F356" t="str">
            <v xml:space="preserve">USUGA           PUERTA         OVIDIO ANTONIO      </v>
          </cell>
          <cell r="G356">
            <v>1</v>
          </cell>
          <cell r="H356" t="str">
            <v>1382003000000700012000000000</v>
          </cell>
          <cell r="I356" t="str">
            <v xml:space="preserve">LAS  BRISAS                                      </v>
          </cell>
          <cell r="J356" t="str">
            <v xml:space="preserve">011-16291      </v>
          </cell>
          <cell r="K356" t="str">
            <v>ANTIOQUIA</v>
          </cell>
          <cell r="L356" t="str">
            <v>CAÑASGORDAS</v>
          </cell>
        </row>
        <row r="357">
          <cell r="A357">
            <v>98613986</v>
          </cell>
          <cell r="B357" t="str">
            <v>8909002860</v>
          </cell>
          <cell r="C357" t="str">
            <v>CATASTRO ANTIOQUIA.</v>
          </cell>
          <cell r="D357" t="str">
            <v>C.C.</v>
          </cell>
          <cell r="E357" t="str">
            <v>98613986</v>
          </cell>
          <cell r="F357" t="str">
            <v xml:space="preserve">VALDERRAMA GRACIANO            RUBEN DARIO         </v>
          </cell>
          <cell r="G357">
            <v>1</v>
          </cell>
          <cell r="H357" t="str">
            <v>1382003000000200053000000000</v>
          </cell>
          <cell r="I357" t="str">
            <v xml:space="preserve">SANTO DOMINGO                                    </v>
          </cell>
          <cell r="J357" t="str">
            <v xml:space="preserve">011-19070      </v>
          </cell>
          <cell r="K357" t="str">
            <v>ANTIOQUIA</v>
          </cell>
          <cell r="L357" t="str">
            <v>CAÑASGORDAS</v>
          </cell>
        </row>
        <row r="358">
          <cell r="A358">
            <v>98694509</v>
          </cell>
          <cell r="B358" t="str">
            <v>8909002860</v>
          </cell>
          <cell r="C358" t="str">
            <v>CATASTRO ANTIOQUIA.</v>
          </cell>
          <cell r="D358" t="str">
            <v>C.C.</v>
          </cell>
          <cell r="E358" t="str">
            <v>98694509</v>
          </cell>
          <cell r="F358" t="str">
            <v xml:space="preserve">URREGO LOPEZ                   RICAURTE            </v>
          </cell>
          <cell r="G358">
            <v>1</v>
          </cell>
          <cell r="H358" t="str">
            <v>1381001001000400016000000000</v>
          </cell>
          <cell r="I358" t="str">
            <v xml:space="preserve">CR 30 N 23-54                                    </v>
          </cell>
          <cell r="J358" t="str">
            <v xml:space="preserve">011-18593      </v>
          </cell>
          <cell r="K358" t="str">
            <v>ANTIOQUIA</v>
          </cell>
          <cell r="L358" t="str">
            <v>CAÑASGORDAS</v>
          </cell>
        </row>
        <row r="359">
          <cell r="A359">
            <v>98706623</v>
          </cell>
          <cell r="B359" t="str">
            <v>8909002860</v>
          </cell>
          <cell r="C359" t="str">
            <v>CATASTRO ANTIOQUIA.</v>
          </cell>
          <cell r="D359" t="str">
            <v>C.C.</v>
          </cell>
          <cell r="E359" t="str">
            <v>98706623</v>
          </cell>
          <cell r="F359" t="str">
            <v xml:space="preserve">CORREA                         LEONIDAS DE JESUS   </v>
          </cell>
          <cell r="G359">
            <v>1</v>
          </cell>
          <cell r="H359" t="str">
            <v>1382004000000700049000000000</v>
          </cell>
          <cell r="I359" t="str">
            <v xml:space="preserve">LA  SOLEDAD                                      </v>
          </cell>
          <cell r="J359" t="str">
            <v/>
          </cell>
          <cell r="K359" t="str">
            <v>ANTIOQUIA</v>
          </cell>
          <cell r="L359" t="str">
            <v>CAÑASGORDAS</v>
          </cell>
        </row>
        <row r="360">
          <cell r="A360">
            <v>1001403790</v>
          </cell>
          <cell r="B360" t="str">
            <v>8909002860</v>
          </cell>
          <cell r="C360" t="str">
            <v>CATASTRO ANTIOQUIA.</v>
          </cell>
          <cell r="D360" t="str">
            <v>R. C.</v>
          </cell>
          <cell r="E360" t="str">
            <v>1001403790</v>
          </cell>
          <cell r="F360" t="str">
            <v xml:space="preserve">HIDALGO         DAVID          MIGUEL ARCANGEL     </v>
          </cell>
          <cell r="G360">
            <v>1</v>
          </cell>
          <cell r="H360" t="str">
            <v>1382001000002500035000000000</v>
          </cell>
          <cell r="I360" t="str">
            <v xml:space="preserve">S.N.                                             </v>
          </cell>
          <cell r="J360" t="str">
            <v/>
          </cell>
          <cell r="K360" t="str">
            <v>ANTIOQUIA</v>
          </cell>
          <cell r="L360" t="str">
            <v>CAÑASGORDAS</v>
          </cell>
        </row>
        <row r="361">
          <cell r="A361">
            <v>1035302001</v>
          </cell>
          <cell r="B361" t="str">
            <v>8909002860</v>
          </cell>
          <cell r="C361" t="str">
            <v>CATASTRO ANTIOQUIA.</v>
          </cell>
          <cell r="D361" t="str">
            <v>R. C.</v>
          </cell>
          <cell r="E361" t="str">
            <v>1035302001</v>
          </cell>
          <cell r="F361" t="str">
            <v xml:space="preserve">GRACIANO        ZAPATA         ALBEIRO ANTONIO     </v>
          </cell>
          <cell r="G361">
            <v>1</v>
          </cell>
          <cell r="H361" t="str">
            <v>1382003000000200044000000000</v>
          </cell>
          <cell r="I361" t="str">
            <v xml:space="preserve">BUENAVISTA                                       </v>
          </cell>
          <cell r="J361" t="str">
            <v/>
          </cell>
          <cell r="K361" t="str">
            <v>ANTIOQUIA</v>
          </cell>
          <cell r="L361" t="str">
            <v>CAÑASGORDAS</v>
          </cell>
        </row>
        <row r="362">
          <cell r="A362">
            <v>1035302023</v>
          </cell>
          <cell r="B362" t="str">
            <v>8909002860</v>
          </cell>
          <cell r="C362" t="str">
            <v>CATASTRO ANTIOQUIA.</v>
          </cell>
          <cell r="D362" t="str">
            <v>R. C.</v>
          </cell>
          <cell r="E362" t="str">
            <v>1035302023</v>
          </cell>
          <cell r="F362" t="str">
            <v xml:space="preserve">PULGARIN        CORREA         JOHN JAIRO          </v>
          </cell>
          <cell r="G362">
            <v>1</v>
          </cell>
          <cell r="H362" t="str">
            <v>1382004000000100014000000000</v>
          </cell>
          <cell r="I362" t="str">
            <v xml:space="preserve">EL  ENCANTO                                      </v>
          </cell>
          <cell r="J362" t="str">
            <v/>
          </cell>
          <cell r="K362" t="str">
            <v>ANTIOQUIA</v>
          </cell>
          <cell r="L362" t="str">
            <v>CAÑASGORDAS</v>
          </cell>
        </row>
        <row r="363">
          <cell r="A363">
            <v>1035302125</v>
          </cell>
          <cell r="B363" t="str">
            <v>8909002860</v>
          </cell>
          <cell r="C363" t="str">
            <v>CATASTRO ANTIOQUIA.</v>
          </cell>
          <cell r="D363" t="str">
            <v>R. C.</v>
          </cell>
          <cell r="E363" t="str">
            <v>1035302125</v>
          </cell>
          <cell r="F363" t="str">
            <v xml:space="preserve">LOPEZ VALLE                    CARLOS ANDRES       </v>
          </cell>
          <cell r="G363">
            <v>1</v>
          </cell>
          <cell r="H363" t="str">
            <v>1382001000002000002000000000</v>
          </cell>
          <cell r="I363" t="str">
            <v xml:space="preserve">LA HERRADURA                                     </v>
          </cell>
          <cell r="J363" t="str">
            <v xml:space="preserve">006-16453      </v>
          </cell>
          <cell r="K363" t="str">
            <v>ANTIOQUIA</v>
          </cell>
          <cell r="L363" t="str">
            <v>CAÑASGORDAS</v>
          </cell>
        </row>
        <row r="364">
          <cell r="A364">
            <v>1035302203</v>
          </cell>
          <cell r="B364" t="str">
            <v>8909002860</v>
          </cell>
          <cell r="C364" t="str">
            <v>CATASTRO ANTIOQUIA.</v>
          </cell>
          <cell r="D364" t="str">
            <v>R. C.</v>
          </cell>
          <cell r="E364" t="str">
            <v>1035302203</v>
          </cell>
          <cell r="F364" t="str">
            <v xml:space="preserve">CORREA          CORREA         ROBINSON ALBERTO    </v>
          </cell>
          <cell r="G364">
            <v>1</v>
          </cell>
          <cell r="H364" t="str">
            <v>1382004000000700049000000000</v>
          </cell>
          <cell r="I364" t="str">
            <v xml:space="preserve">LA SOLEDAD                                       </v>
          </cell>
          <cell r="J364" t="str">
            <v/>
          </cell>
          <cell r="K364" t="str">
            <v>ANTIOQUIA</v>
          </cell>
          <cell r="L364" t="str">
            <v>CAÑASGORDAS</v>
          </cell>
        </row>
        <row r="365">
          <cell r="A365">
            <v>1035302261</v>
          </cell>
          <cell r="B365" t="str">
            <v>8909002860</v>
          </cell>
          <cell r="C365" t="str">
            <v>CATASTRO ANTIOQUIA.</v>
          </cell>
          <cell r="D365" t="str">
            <v>R. C.</v>
          </cell>
          <cell r="E365" t="str">
            <v>1035302261</v>
          </cell>
          <cell r="F365" t="str">
            <v xml:space="preserve">HURTADO         CORREA         LUIS ALBEIRO        </v>
          </cell>
          <cell r="G365">
            <v>1</v>
          </cell>
          <cell r="H365" t="str">
            <v>1382004000000300050000000000</v>
          </cell>
          <cell r="I365" t="str">
            <v xml:space="preserve">S.N.                                             </v>
          </cell>
          <cell r="J365" t="str">
            <v/>
          </cell>
          <cell r="K365" t="str">
            <v>ANTIOQUIA</v>
          </cell>
          <cell r="L365" t="str">
            <v>CAÑASGORDAS</v>
          </cell>
        </row>
        <row r="366">
          <cell r="A366">
            <v>1035302461</v>
          </cell>
          <cell r="B366" t="str">
            <v>8909002860</v>
          </cell>
          <cell r="C366" t="str">
            <v>CATASTRO ANTIOQUIA.</v>
          </cell>
          <cell r="D366" t="str">
            <v>R. C.</v>
          </cell>
          <cell r="E366" t="str">
            <v>1035302461</v>
          </cell>
          <cell r="F366" t="str">
            <v xml:space="preserve">MORENO          PEREZ          JOAQUIN GUILLERMO   </v>
          </cell>
          <cell r="G366">
            <v>1</v>
          </cell>
          <cell r="H366" t="str">
            <v>1382001000001600045000000000</v>
          </cell>
          <cell r="I366" t="str">
            <v xml:space="preserve">S.N.                                             </v>
          </cell>
          <cell r="J366" t="str">
            <v/>
          </cell>
          <cell r="K366" t="str">
            <v>ANTIOQUIA</v>
          </cell>
          <cell r="L366" t="str">
            <v>CAÑASGORDAS</v>
          </cell>
        </row>
        <row r="367">
          <cell r="A367">
            <v>1035302511</v>
          </cell>
          <cell r="B367" t="str">
            <v>8909002860</v>
          </cell>
          <cell r="C367" t="str">
            <v>CATASTRO ANTIOQUIA.</v>
          </cell>
          <cell r="D367" t="str">
            <v>R. C.</v>
          </cell>
          <cell r="E367" t="str">
            <v>1035302511</v>
          </cell>
          <cell r="F367" t="str">
            <v xml:space="preserve">CORREA          CASTRO         CLAUDIA ANDREA      </v>
          </cell>
          <cell r="G367">
            <v>1</v>
          </cell>
          <cell r="H367" t="str">
            <v>1382001000001700015000000000</v>
          </cell>
          <cell r="I367" t="str">
            <v xml:space="preserve">S.N.                                             </v>
          </cell>
          <cell r="J367" t="str">
            <v/>
          </cell>
          <cell r="K367" t="str">
            <v>ANTIOQUIA</v>
          </cell>
          <cell r="L367" t="str">
            <v>CAÑASGORDAS</v>
          </cell>
        </row>
        <row r="368">
          <cell r="A368">
            <v>1035302534</v>
          </cell>
          <cell r="B368" t="str">
            <v>8909002860</v>
          </cell>
          <cell r="C368" t="str">
            <v>CATASTRO ANTIOQUIA.</v>
          </cell>
          <cell r="D368" t="str">
            <v>R. C.</v>
          </cell>
          <cell r="E368" t="str">
            <v>1035302534</v>
          </cell>
          <cell r="F368" t="str">
            <v xml:space="preserve">DURANGO GIRALDO                DINACELA            </v>
          </cell>
          <cell r="G368">
            <v>1</v>
          </cell>
          <cell r="H368" t="str">
            <v>1381004001000300018000000000</v>
          </cell>
          <cell r="I368" t="str">
            <v xml:space="preserve">CL 20 N 19-25                                    </v>
          </cell>
          <cell r="J368" t="str">
            <v xml:space="preserve">006-7327       </v>
          </cell>
          <cell r="K368" t="str">
            <v>ANTIOQUIA</v>
          </cell>
          <cell r="L368" t="str">
            <v>CAÑASGORDAS</v>
          </cell>
        </row>
        <row r="369">
          <cell r="A369">
            <v>1035302543</v>
          </cell>
          <cell r="B369" t="str">
            <v>8909002860</v>
          </cell>
          <cell r="C369" t="str">
            <v>CATASTRO ANTIOQUIA.</v>
          </cell>
          <cell r="D369" t="str">
            <v>R. C.</v>
          </cell>
          <cell r="E369" t="str">
            <v>1035302543</v>
          </cell>
          <cell r="F369" t="str">
            <v xml:space="preserve">URIBE CRVAJAL                  GLORIA ESTER        </v>
          </cell>
          <cell r="G369">
            <v>1</v>
          </cell>
          <cell r="H369" t="str">
            <v>1381001001007400004000100067</v>
          </cell>
          <cell r="I369" t="str">
            <v xml:space="preserve">KR 23 N 51-70 AP 303 TORRE 5                     </v>
          </cell>
          <cell r="J369" t="str">
            <v xml:space="preserve">011-20222      </v>
          </cell>
          <cell r="K369" t="str">
            <v>ANTIOQUIA</v>
          </cell>
          <cell r="L369" t="str">
            <v>CAÑASGORDAS</v>
          </cell>
        </row>
        <row r="370">
          <cell r="A370">
            <v>1035303395</v>
          </cell>
          <cell r="B370" t="str">
            <v>8909002860</v>
          </cell>
          <cell r="C370" t="str">
            <v>CATASTRO ANTIOQUIA.</v>
          </cell>
          <cell r="D370" t="str">
            <v>R. C.</v>
          </cell>
          <cell r="E370" t="str">
            <v>1035303395</v>
          </cell>
          <cell r="F370" t="str">
            <v xml:space="preserve">RUEDA TANGARIFE                JOSE ORLANDO        </v>
          </cell>
          <cell r="G370">
            <v>1</v>
          </cell>
          <cell r="H370" t="str">
            <v>1382001000001200092000000000</v>
          </cell>
          <cell r="I370" t="str">
            <v xml:space="preserve">LA CUSUTI                                        </v>
          </cell>
          <cell r="J370" t="str">
            <v xml:space="preserve">011-17960      </v>
          </cell>
          <cell r="K370" t="str">
            <v>ANTIOQUIA</v>
          </cell>
          <cell r="L370" t="str">
            <v>CAÑASGORDAS</v>
          </cell>
        </row>
        <row r="371">
          <cell r="A371">
            <v>1035303483</v>
          </cell>
          <cell r="B371" t="str">
            <v>8909002860</v>
          </cell>
          <cell r="C371" t="str">
            <v>CATASTRO ANTIOQUIA.</v>
          </cell>
          <cell r="D371" t="str">
            <v>R. C.</v>
          </cell>
          <cell r="E371" t="str">
            <v>1035303483</v>
          </cell>
          <cell r="F371" t="str">
            <v xml:space="preserve">CORREA          MANCO          FRANCES ANTONIO     </v>
          </cell>
          <cell r="G371">
            <v>1</v>
          </cell>
          <cell r="H371" t="str">
            <v>1382004000000700137000000000</v>
          </cell>
          <cell r="I371" t="str">
            <v xml:space="preserve">EL  HOYO                                         </v>
          </cell>
          <cell r="J371" t="str">
            <v/>
          </cell>
          <cell r="K371" t="str">
            <v>ANTIOQUIA</v>
          </cell>
          <cell r="L371" t="str">
            <v>CAÑASGORDAS</v>
          </cell>
        </row>
        <row r="372">
          <cell r="A372">
            <v>1035305872</v>
          </cell>
          <cell r="B372" t="str">
            <v>8909002860</v>
          </cell>
          <cell r="C372" t="str">
            <v>CATASTRO ANTIOQUIA.</v>
          </cell>
          <cell r="D372" t="str">
            <v>R. C.</v>
          </cell>
          <cell r="E372" t="str">
            <v>1035305872</v>
          </cell>
          <cell r="F372" t="str">
            <v xml:space="preserve">USUGA MU?OZ                    JULIAN ENRIQUE      </v>
          </cell>
          <cell r="G372">
            <v>1</v>
          </cell>
          <cell r="H372" t="str">
            <v>1382001000000100007000000000</v>
          </cell>
          <cell r="I372" t="str">
            <v xml:space="preserve">ALTO BONITO                                      </v>
          </cell>
          <cell r="J372" t="str">
            <v/>
          </cell>
          <cell r="K372" t="str">
            <v>ANTIOQUIA</v>
          </cell>
          <cell r="L372" t="str">
            <v>CAÑASGORDAS</v>
          </cell>
        </row>
        <row r="373">
          <cell r="A373">
            <v>1038333330</v>
          </cell>
          <cell r="B373" t="str">
            <v>8909002860</v>
          </cell>
          <cell r="C373" t="str">
            <v>CATASTRO ANTIOQUIA.</v>
          </cell>
          <cell r="D373" t="str">
            <v>R. C.</v>
          </cell>
          <cell r="E373" t="str">
            <v>1038333330</v>
          </cell>
          <cell r="F373" t="str">
            <v xml:space="preserve">ALZATE          CARDONA        SANDRA MILENA       </v>
          </cell>
          <cell r="G373">
            <v>1</v>
          </cell>
          <cell r="H373" t="str">
            <v>1382002000001100034000000000</v>
          </cell>
          <cell r="I373" t="str">
            <v xml:space="preserve">CHORORO                                          </v>
          </cell>
          <cell r="J373" t="str">
            <v/>
          </cell>
          <cell r="K373" t="str">
            <v>ANTIOQUIA</v>
          </cell>
          <cell r="L373" t="str">
            <v>CAÑASGORDAS</v>
          </cell>
        </row>
        <row r="374">
          <cell r="A374">
            <v>1063281511</v>
          </cell>
          <cell r="B374" t="str">
            <v>8909002860</v>
          </cell>
          <cell r="C374" t="str">
            <v>CATASTRO ANTIOQUIA.</v>
          </cell>
          <cell r="D374" t="str">
            <v>R. C.</v>
          </cell>
          <cell r="E374" t="str">
            <v>1063281511</v>
          </cell>
          <cell r="F374" t="str">
            <v xml:space="preserve">ORTEGA ORTEGA                  ANA MILENA          </v>
          </cell>
          <cell r="G374">
            <v>1</v>
          </cell>
          <cell r="H374" t="str">
            <v>1382002000001300112000000000</v>
          </cell>
          <cell r="I374" t="str">
            <v xml:space="preserve">S.N.                                             </v>
          </cell>
          <cell r="J374" t="str">
            <v/>
          </cell>
          <cell r="K374" t="str">
            <v>ANTIOQUIA</v>
          </cell>
          <cell r="L374" t="str">
            <v>CAÑASGORDAS</v>
          </cell>
        </row>
        <row r="375">
          <cell r="A375">
            <v>3431228</v>
          </cell>
          <cell r="B375" t="str">
            <v>8909002860</v>
          </cell>
          <cell r="C375" t="str">
            <v>CATASTRO ANTIOQUIA.</v>
          </cell>
          <cell r="D375" t="str">
            <v>C.C.</v>
          </cell>
          <cell r="E375" t="str">
            <v>3431228</v>
          </cell>
          <cell r="F375" t="str">
            <v xml:space="preserve">CIFUENTES AGUIRRE              GILBERTO            </v>
          </cell>
          <cell r="G375">
            <v>1</v>
          </cell>
          <cell r="H375" t="str">
            <v>1471001005000600022000000000</v>
          </cell>
          <cell r="I375" t="str">
            <v xml:space="preserve">CR 68A N 84-45 MZ D LO 27                        </v>
          </cell>
          <cell r="J375" t="str">
            <v xml:space="preserve">008-18887      </v>
          </cell>
          <cell r="K375" t="str">
            <v>ANTIOQUIA</v>
          </cell>
          <cell r="L375" t="str">
            <v>CAREPA</v>
          </cell>
        </row>
        <row r="376">
          <cell r="A376">
            <v>43141123</v>
          </cell>
          <cell r="B376" t="str">
            <v>8909002860</v>
          </cell>
          <cell r="C376" t="str">
            <v>CATASTRO ANTIOQUIA.</v>
          </cell>
          <cell r="D376" t="str">
            <v>C.C.</v>
          </cell>
          <cell r="E376" t="str">
            <v>43141123</v>
          </cell>
          <cell r="F376" t="str">
            <v xml:space="preserve">GUERRA          RODRIGUEZ      BLANCA ROSA         </v>
          </cell>
          <cell r="G376">
            <v>1</v>
          </cell>
          <cell r="H376" t="str">
            <v>1472002002000500022000000000</v>
          </cell>
          <cell r="I376" t="str">
            <v xml:space="preserve">CL 49 N 48-19 MZ 6 LO 10                         </v>
          </cell>
          <cell r="J376" t="str">
            <v/>
          </cell>
          <cell r="K376" t="str">
            <v>ANTIOQUIA</v>
          </cell>
          <cell r="L376" t="str">
            <v>CAREPA</v>
          </cell>
        </row>
        <row r="377">
          <cell r="A377">
            <v>3431373</v>
          </cell>
          <cell r="B377" t="str">
            <v>8909002860</v>
          </cell>
          <cell r="C377" t="str">
            <v>CATASTRO ANTIOQUIA.</v>
          </cell>
          <cell r="D377" t="str">
            <v>C.C.</v>
          </cell>
          <cell r="E377" t="str">
            <v>3431373</v>
          </cell>
          <cell r="F377" t="str">
            <v xml:space="preserve">CIFUENTES RIVAS                EDUARDO DE JESUS    </v>
          </cell>
          <cell r="G377">
            <v>1</v>
          </cell>
          <cell r="H377" t="str">
            <v>1972001000004200010000000000</v>
          </cell>
          <cell r="I377" t="str">
            <v xml:space="preserve">S.N.                                             </v>
          </cell>
          <cell r="J377" t="str">
            <v/>
          </cell>
          <cell r="K377" t="str">
            <v>ANTIOQUIA</v>
          </cell>
          <cell r="L377" t="str">
            <v>COCORNA</v>
          </cell>
        </row>
        <row r="378">
          <cell r="A378">
            <v>1038335088</v>
          </cell>
          <cell r="B378" t="str">
            <v>8909002860</v>
          </cell>
          <cell r="C378" t="str">
            <v>CATASTRO ANTIOQUIA.</v>
          </cell>
          <cell r="D378" t="str">
            <v>R. C.</v>
          </cell>
          <cell r="E378" t="str">
            <v>1038335088</v>
          </cell>
          <cell r="F378" t="str">
            <v xml:space="preserve">CORREA ARIAS                   LEIDY JOHANA        </v>
          </cell>
          <cell r="G378">
            <v>0</v>
          </cell>
          <cell r="H378" t="str">
            <v>2341001005002600073000000000</v>
          </cell>
          <cell r="I378" t="str">
            <v xml:space="preserve">KR 10 N 13-256                                   </v>
          </cell>
          <cell r="J378" t="str">
            <v xml:space="preserve">007-23560      </v>
          </cell>
          <cell r="K378" t="str">
            <v>ANTIOQUIA</v>
          </cell>
          <cell r="L378" t="str">
            <v>DABEIBA</v>
          </cell>
        </row>
        <row r="379">
          <cell r="A379">
            <v>21697243</v>
          </cell>
          <cell r="B379" t="str">
            <v>8909002860</v>
          </cell>
          <cell r="C379" t="str">
            <v>CATASTRO ANTIOQUIA.</v>
          </cell>
          <cell r="D379" t="str">
            <v>C.C.</v>
          </cell>
          <cell r="E379" t="str">
            <v>21697243</v>
          </cell>
          <cell r="F379" t="str">
            <v xml:space="preserve">CORTES                         SILVIA MILENA       </v>
          </cell>
          <cell r="G379">
            <v>1</v>
          </cell>
          <cell r="H379" t="str">
            <v>2341001005001900019000000000</v>
          </cell>
          <cell r="I379" t="str">
            <v xml:space="preserve">CL 12 N 11-27/29                                 </v>
          </cell>
          <cell r="J379" t="str">
            <v/>
          </cell>
          <cell r="K379" t="str">
            <v>ANTIOQUIA</v>
          </cell>
          <cell r="L379" t="str">
            <v>DABEIBA</v>
          </cell>
        </row>
        <row r="380">
          <cell r="A380">
            <v>21614345</v>
          </cell>
          <cell r="B380" t="str">
            <v>8909002860</v>
          </cell>
          <cell r="C380" t="str">
            <v>CATASTRO ANTIOQUIA.</v>
          </cell>
          <cell r="D380" t="str">
            <v>C.C.</v>
          </cell>
          <cell r="E380" t="str">
            <v>21614345</v>
          </cell>
          <cell r="F380" t="str">
            <v xml:space="preserve">LONDO?O URIBE                  ROSMIRA             </v>
          </cell>
          <cell r="G380">
            <v>0</v>
          </cell>
          <cell r="H380" t="str">
            <v>2841001001001600012000000000</v>
          </cell>
          <cell r="I380" t="str">
            <v xml:space="preserve">CL 22 N 29-17                                    </v>
          </cell>
          <cell r="J380" t="str">
            <v xml:space="preserve">011-12284      </v>
          </cell>
          <cell r="K380" t="str">
            <v>ANTIOQUIA</v>
          </cell>
          <cell r="L380" t="str">
            <v>FRONTINO</v>
          </cell>
        </row>
        <row r="381">
          <cell r="A381">
            <v>21609095</v>
          </cell>
          <cell r="B381" t="str">
            <v>8909002860</v>
          </cell>
          <cell r="C381" t="str">
            <v>CATASTRO ANTIOQUIA.</v>
          </cell>
          <cell r="D381" t="str">
            <v>C.C.</v>
          </cell>
          <cell r="E381" t="str">
            <v>21609095</v>
          </cell>
          <cell r="F381" t="str">
            <v xml:space="preserve">USUGA DE CAMPO                 ROSA MARIA          </v>
          </cell>
          <cell r="G381">
            <v>0</v>
          </cell>
          <cell r="H381" t="str">
            <v>3061001001001000003000000000</v>
          </cell>
          <cell r="I381" t="str">
            <v xml:space="preserve">CL 12 N 10-20/24                                 </v>
          </cell>
          <cell r="J381" t="str">
            <v xml:space="preserve">024-6078       </v>
          </cell>
          <cell r="K381" t="str">
            <v>ANTIOQUIA</v>
          </cell>
          <cell r="L381" t="str">
            <v>GIRALDO</v>
          </cell>
        </row>
        <row r="382">
          <cell r="A382">
            <v>70433539</v>
          </cell>
          <cell r="B382" t="str">
            <v>8909002860</v>
          </cell>
          <cell r="C382" t="str">
            <v>CATASTRO ANTIOQUIA.</v>
          </cell>
          <cell r="D382" t="str">
            <v>C.C.</v>
          </cell>
          <cell r="E382" t="str">
            <v>70433539</v>
          </cell>
          <cell r="F382" t="str">
            <v xml:space="preserve">GONZALEZ PALACIO               IVAN DARIO          </v>
          </cell>
          <cell r="G382">
            <v>1</v>
          </cell>
          <cell r="H382" t="str">
            <v>3102004000001200042000000000</v>
          </cell>
          <cell r="I382" t="str">
            <v xml:space="preserve">S.D                                              </v>
          </cell>
          <cell r="J382" t="str">
            <v xml:space="preserve">025-24296      </v>
          </cell>
          <cell r="K382" t="str">
            <v>ANTIOQUIA</v>
          </cell>
          <cell r="L382" t="str">
            <v>GOMEZ PLATA</v>
          </cell>
        </row>
        <row r="383">
          <cell r="A383">
            <v>70430</v>
          </cell>
          <cell r="B383" t="str">
            <v>8999990049</v>
          </cell>
          <cell r="C383" t="str">
            <v>IGAC</v>
          </cell>
          <cell r="D383" t="str">
            <v>Tipo Documento No Reportado</v>
          </cell>
          <cell r="E383" t="str">
            <v>70430</v>
          </cell>
          <cell r="F383" t="str">
            <v xml:space="preserve"> VILLEGAS OCAMPO PEDRO            </v>
          </cell>
          <cell r="G383">
            <v>0</v>
          </cell>
          <cell r="H383" t="str">
            <v xml:space="preserve">000500560015000     </v>
          </cell>
          <cell r="I383" t="str">
            <v xml:space="preserve">K 17 15 99                        </v>
          </cell>
          <cell r="J383" t="str">
            <v>102010100019690001</v>
          </cell>
          <cell r="K383" t="str">
            <v>META</v>
          </cell>
          <cell r="L383" t="str">
            <v>GRANADA</v>
          </cell>
        </row>
        <row r="384">
          <cell r="A384">
            <v>70430</v>
          </cell>
          <cell r="B384" t="str">
            <v>8999990049</v>
          </cell>
          <cell r="C384" t="str">
            <v>IGAC</v>
          </cell>
          <cell r="D384" t="str">
            <v>Tipo Documento No Reportado</v>
          </cell>
          <cell r="E384" t="str">
            <v>70430</v>
          </cell>
          <cell r="F384" t="str">
            <v xml:space="preserve"> VILLEGAS OCAMPO PEDRO            </v>
          </cell>
          <cell r="G384">
            <v>0</v>
          </cell>
          <cell r="H384" t="str">
            <v xml:space="preserve">000500570002000     </v>
          </cell>
          <cell r="I384" t="str">
            <v xml:space="preserve">K 17 17 69                        </v>
          </cell>
          <cell r="J384" t="str">
            <v xml:space="preserve">236-0000087       </v>
          </cell>
          <cell r="K384" t="str">
            <v>META</v>
          </cell>
          <cell r="L384" t="str">
            <v>GRANADA</v>
          </cell>
        </row>
        <row r="385">
          <cell r="A385">
            <v>70430</v>
          </cell>
          <cell r="B385" t="str">
            <v>8999990049</v>
          </cell>
          <cell r="C385" t="str">
            <v>IGAC</v>
          </cell>
          <cell r="D385" t="str">
            <v>Tipo Documento No Reportado</v>
          </cell>
          <cell r="E385" t="str">
            <v>70430</v>
          </cell>
          <cell r="F385" t="str">
            <v xml:space="preserve"> VILLEGAS OCAMPO PEDRO            </v>
          </cell>
          <cell r="G385">
            <v>0</v>
          </cell>
          <cell r="H385" t="str">
            <v xml:space="preserve">000500740012000     </v>
          </cell>
          <cell r="I385" t="str">
            <v xml:space="preserve">K 17 18 131                       </v>
          </cell>
          <cell r="J385" t="str">
            <v>102025502314610000</v>
          </cell>
          <cell r="K385" t="str">
            <v>META</v>
          </cell>
          <cell r="L385" t="str">
            <v>GRANADA</v>
          </cell>
        </row>
        <row r="386">
          <cell r="A386">
            <v>70430</v>
          </cell>
          <cell r="B386" t="str">
            <v>8999990049</v>
          </cell>
          <cell r="C386" t="str">
            <v>IGAC</v>
          </cell>
          <cell r="D386" t="str">
            <v>Tipo Documento No Reportado</v>
          </cell>
          <cell r="E386" t="str">
            <v>70430</v>
          </cell>
          <cell r="F386" t="str">
            <v xml:space="preserve"> VILLEGAS OCAMPO PEDRO            </v>
          </cell>
          <cell r="G386">
            <v>0</v>
          </cell>
          <cell r="H386" t="str">
            <v xml:space="preserve">000500740014000     </v>
          </cell>
          <cell r="I386" t="str">
            <v xml:space="preserve">K 17 18 95                        </v>
          </cell>
          <cell r="J386" t="str">
            <v>102025502314610000</v>
          </cell>
          <cell r="K386" t="str">
            <v>META</v>
          </cell>
          <cell r="L386" t="str">
            <v>GRANADA</v>
          </cell>
        </row>
        <row r="387">
          <cell r="A387">
            <v>70430</v>
          </cell>
          <cell r="B387" t="str">
            <v>8999990049</v>
          </cell>
          <cell r="C387" t="str">
            <v>IGAC</v>
          </cell>
          <cell r="D387" t="str">
            <v>Tipo Documento No Reportado</v>
          </cell>
          <cell r="E387" t="str">
            <v>70430</v>
          </cell>
          <cell r="F387" t="str">
            <v xml:space="preserve"> VILLEGAS OCAMPO PEDRO            </v>
          </cell>
          <cell r="G387">
            <v>0</v>
          </cell>
          <cell r="H387" t="str">
            <v xml:space="preserve">000500740021000     </v>
          </cell>
          <cell r="I387" t="str">
            <v xml:space="preserve">K 17 18 19                        </v>
          </cell>
          <cell r="J387" t="str">
            <v>102025502314610000</v>
          </cell>
          <cell r="K387" t="str">
            <v>META</v>
          </cell>
          <cell r="L387" t="str">
            <v>GRANADA</v>
          </cell>
        </row>
        <row r="388">
          <cell r="A388">
            <v>345599</v>
          </cell>
          <cell r="B388" t="str">
            <v>8999990049</v>
          </cell>
          <cell r="C388" t="str">
            <v>IGAC</v>
          </cell>
          <cell r="D388" t="str">
            <v>Tipo Documento No Reportado</v>
          </cell>
          <cell r="E388" t="str">
            <v>345599</v>
          </cell>
          <cell r="F388" t="str">
            <v xml:space="preserve"> GABRIELA ELIANA RIOS CAMACHO                      </v>
          </cell>
          <cell r="G388">
            <v>0</v>
          </cell>
          <cell r="H388" t="str">
            <v>0101000001140905900000256</v>
          </cell>
          <cell r="I388" t="str">
            <v xml:space="preserve">K 23 74 14 Pq 19                                  </v>
          </cell>
          <cell r="J388" t="str">
            <v xml:space="preserve">100-175825        </v>
          </cell>
          <cell r="K388" t="str">
            <v>CALDAS</v>
          </cell>
          <cell r="L388" t="str">
            <v>MANIZALES</v>
          </cell>
        </row>
        <row r="389">
          <cell r="A389">
            <v>345599</v>
          </cell>
          <cell r="B389" t="str">
            <v>8999990049</v>
          </cell>
          <cell r="C389" t="str">
            <v>IGAC</v>
          </cell>
          <cell r="D389" t="str">
            <v>Tipo Documento No Reportado</v>
          </cell>
          <cell r="E389" t="str">
            <v>345599</v>
          </cell>
          <cell r="F389" t="str">
            <v xml:space="preserve"> GABRIELA ELIANA RIOS CAMACHO                      </v>
          </cell>
          <cell r="G389">
            <v>0</v>
          </cell>
          <cell r="H389" t="str">
            <v>0101000001140905900000285</v>
          </cell>
          <cell r="I389" t="str">
            <v xml:space="preserve">K 23 74 14 Ap 404                                 </v>
          </cell>
          <cell r="J389" t="str">
            <v xml:space="preserve">100-175854        </v>
          </cell>
          <cell r="K389" t="str">
            <v>CALDAS</v>
          </cell>
          <cell r="L389" t="str">
            <v>MANIZALES</v>
          </cell>
        </row>
        <row r="390">
          <cell r="A390">
            <v>6205889</v>
          </cell>
          <cell r="B390" t="str">
            <v>890905211</v>
          </cell>
          <cell r="C390" t="str">
            <v>CATASTRO MEDELLIN</v>
          </cell>
          <cell r="D390" t="str">
            <v>Tipo Documento No Reportado</v>
          </cell>
          <cell r="E390" t="str">
            <v>6205889</v>
          </cell>
          <cell r="F390" t="str">
            <v>BAENA VARGAS JAIR ANTONIO</v>
          </cell>
          <cell r="G390">
            <v>0</v>
          </cell>
          <cell r="H390" t="str">
            <v>07110050058</v>
          </cell>
          <cell r="I390" t="str">
            <v>CL  078   087  072 00104</v>
          </cell>
          <cell r="J390" t="str">
            <v>5107203</v>
          </cell>
          <cell r="K390" t="str">
            <v>ANTIOQUIA</v>
          </cell>
          <cell r="L390" t="str">
            <v>MEDELLIN</v>
          </cell>
        </row>
        <row r="391">
          <cell r="A391">
            <v>8412259</v>
          </cell>
          <cell r="B391" t="str">
            <v>890905211</v>
          </cell>
          <cell r="C391" t="str">
            <v>CATASTRO MEDELLIN</v>
          </cell>
          <cell r="D391" t="str">
            <v>Tipo Documento No Reportado</v>
          </cell>
          <cell r="E391" t="str">
            <v>8412259</v>
          </cell>
          <cell r="F391" t="str">
            <v>CARVAJAL CARTAGENA ALIRIO DE JESUS</v>
          </cell>
          <cell r="G391">
            <v>0</v>
          </cell>
          <cell r="H391" t="str">
            <v>03010150018</v>
          </cell>
          <cell r="I391" t="str">
            <v>CL  091 A  036 C 037 00000</v>
          </cell>
          <cell r="J391" t="str">
            <v>5148593</v>
          </cell>
          <cell r="K391" t="str">
            <v>ANTIOQUIA</v>
          </cell>
          <cell r="L391" t="str">
            <v>MEDELLIN</v>
          </cell>
        </row>
        <row r="392">
          <cell r="A392">
            <v>21608763</v>
          </cell>
          <cell r="B392" t="str">
            <v>890905211</v>
          </cell>
          <cell r="C392" t="str">
            <v>CATASTRO MEDELLIN</v>
          </cell>
          <cell r="D392" t="str">
            <v>Tipo Documento No Reportado</v>
          </cell>
          <cell r="E392" t="str">
            <v>21608763</v>
          </cell>
          <cell r="F392" t="str">
            <v>DURANGO DE GOEZ MARIA ELISENIA</v>
          </cell>
          <cell r="G392">
            <v>0</v>
          </cell>
          <cell r="H392" t="str">
            <v>13180710070</v>
          </cell>
          <cell r="I392" t="str">
            <v>CL  048 B  107 B 032 00117</v>
          </cell>
          <cell r="J392" t="str">
            <v>464517</v>
          </cell>
          <cell r="K392" t="str">
            <v>ANTIOQUIA</v>
          </cell>
          <cell r="L392" t="str">
            <v>MEDELLIN</v>
          </cell>
        </row>
        <row r="393">
          <cell r="A393">
            <v>21608763</v>
          </cell>
          <cell r="B393" t="str">
            <v>890905211</v>
          </cell>
          <cell r="C393" t="str">
            <v>CATASTRO MEDELLIN</v>
          </cell>
          <cell r="D393" t="str">
            <v>Tipo Documento No Reportado</v>
          </cell>
          <cell r="E393" t="str">
            <v>21608763</v>
          </cell>
          <cell r="F393" t="str">
            <v>DURANGO DE GOEZ MARIA ELISENIA</v>
          </cell>
          <cell r="G393">
            <v>0</v>
          </cell>
          <cell r="H393" t="str">
            <v>60850080024</v>
          </cell>
          <cell r="I393" t="str">
            <v>CL  062   133 D 087 0123</v>
          </cell>
          <cell r="J393" t="str">
            <v>700006709</v>
          </cell>
          <cell r="K393" t="str">
            <v>ANTIOQUIA</v>
          </cell>
          <cell r="L393" t="str">
            <v>MEDELLIN</v>
          </cell>
        </row>
        <row r="394">
          <cell r="A394">
            <v>21609456</v>
          </cell>
          <cell r="B394" t="str">
            <v>890905211</v>
          </cell>
          <cell r="C394" t="str">
            <v>CATASTRO MEDELLIN</v>
          </cell>
          <cell r="D394" t="str">
            <v>Tipo Documento No Reportado</v>
          </cell>
          <cell r="E394" t="str">
            <v>21609456</v>
          </cell>
          <cell r="F394" t="str">
            <v>GOEZ SEPULVEDA NOHEMI DE JESUS</v>
          </cell>
          <cell r="G394">
            <v>0</v>
          </cell>
          <cell r="H394" t="str">
            <v>06080420007</v>
          </cell>
          <cell r="I394" t="str">
            <v>CR  083   097 A 012 00000</v>
          </cell>
          <cell r="J394" t="str">
            <v>960020407</v>
          </cell>
          <cell r="K394" t="str">
            <v>ANTIOQUIA</v>
          </cell>
          <cell r="L394" t="str">
            <v>MEDELLIN</v>
          </cell>
        </row>
        <row r="395">
          <cell r="A395">
            <v>21609743</v>
          </cell>
          <cell r="B395" t="str">
            <v>890905211</v>
          </cell>
          <cell r="C395" t="str">
            <v>CATASTRO MEDELLIN</v>
          </cell>
          <cell r="D395" t="str">
            <v>Tipo Documento No Reportado</v>
          </cell>
          <cell r="E395" t="str">
            <v>21609743</v>
          </cell>
          <cell r="F395" t="str">
            <v>DAVID MANCO MARIA GRACIELA</v>
          </cell>
          <cell r="G395">
            <v>0</v>
          </cell>
          <cell r="H395" t="str">
            <v>03040210008</v>
          </cell>
          <cell r="I395" t="str">
            <v>CL  081 C  032  062 00000</v>
          </cell>
          <cell r="J395" t="str">
            <v>5170639</v>
          </cell>
          <cell r="K395" t="str">
            <v>ANTIOQUIA</v>
          </cell>
          <cell r="L395" t="str">
            <v>MEDELLIN</v>
          </cell>
        </row>
        <row r="396">
          <cell r="A396">
            <v>21610634</v>
          </cell>
          <cell r="B396" t="str">
            <v>890905211</v>
          </cell>
          <cell r="C396" t="str">
            <v>CATASTRO MEDELLIN</v>
          </cell>
          <cell r="D396" t="str">
            <v>Tipo Documento No Reportado</v>
          </cell>
          <cell r="E396" t="str">
            <v>21610634</v>
          </cell>
          <cell r="F396" t="str">
            <v>HIGUITA HIGUITA ROSA ADELA</v>
          </cell>
          <cell r="G396">
            <v>0</v>
          </cell>
          <cell r="H396" t="str">
            <v>07130180016</v>
          </cell>
          <cell r="I396" t="str">
            <v>CL  076 CA  090  031 00000</v>
          </cell>
          <cell r="J396" t="str">
            <v>400938</v>
          </cell>
          <cell r="K396" t="str">
            <v>ANTIOQUIA</v>
          </cell>
          <cell r="L396" t="str">
            <v>MEDELLIN</v>
          </cell>
        </row>
        <row r="397">
          <cell r="A397">
            <v>21612454</v>
          </cell>
          <cell r="B397" t="str">
            <v>890905211</v>
          </cell>
          <cell r="C397" t="str">
            <v>CATASTRO MEDELLIN</v>
          </cell>
          <cell r="D397" t="str">
            <v>Tipo Documento No Reportado</v>
          </cell>
          <cell r="E397" t="str">
            <v>21612454</v>
          </cell>
          <cell r="F397" t="str">
            <v>MONROY MONROY DELIA ROSA</v>
          </cell>
          <cell r="G397">
            <v>0</v>
          </cell>
          <cell r="H397" t="str">
            <v>16100010211</v>
          </cell>
          <cell r="I397" t="str">
            <v>CR  080 B S 002 B 017 0102</v>
          </cell>
          <cell r="J397" t="str">
            <v>299880</v>
          </cell>
          <cell r="K397" t="str">
            <v>ANTIOQUIA</v>
          </cell>
          <cell r="L397" t="str">
            <v>MEDELLIN</v>
          </cell>
        </row>
        <row r="398">
          <cell r="A398">
            <v>21969442</v>
          </cell>
          <cell r="B398" t="str">
            <v>890905211</v>
          </cell>
          <cell r="C398" t="str">
            <v>CATASTRO MEDELLIN</v>
          </cell>
          <cell r="D398" t="str">
            <v>Tipo Documento No Reportado</v>
          </cell>
          <cell r="E398" t="str">
            <v>21969442</v>
          </cell>
          <cell r="F398" t="str">
            <v>VALENCIA ROJAS ORFA LIDIA</v>
          </cell>
          <cell r="G398">
            <v>0</v>
          </cell>
          <cell r="H398" t="str">
            <v>09130570048</v>
          </cell>
          <cell r="I398" t="str">
            <v>CL  038 C  026 EE 120 0000</v>
          </cell>
          <cell r="J398" t="str">
            <v>960111231</v>
          </cell>
          <cell r="K398" t="str">
            <v>ANTIOQUIA</v>
          </cell>
          <cell r="L398" t="str">
            <v>MEDELLIN</v>
          </cell>
        </row>
        <row r="399">
          <cell r="A399">
            <v>21969442</v>
          </cell>
          <cell r="B399" t="str">
            <v>890905211</v>
          </cell>
          <cell r="C399" t="str">
            <v>CATASTRO MEDELLIN</v>
          </cell>
          <cell r="D399" t="str">
            <v>Tipo Documento No Reportado</v>
          </cell>
          <cell r="E399" t="str">
            <v>21969442</v>
          </cell>
          <cell r="F399" t="str">
            <v>VALENCIA ROJAS ORFA LIDIA</v>
          </cell>
          <cell r="G399">
            <v>0</v>
          </cell>
          <cell r="H399" t="str">
            <v>09130570048</v>
          </cell>
          <cell r="I399" t="str">
            <v>CL 38 C CR 26 EE MZ 057 LT 48</v>
          </cell>
          <cell r="J399" t="str">
            <v>1017829</v>
          </cell>
          <cell r="K399" t="str">
            <v>ANTIOQUIA</v>
          </cell>
          <cell r="L399" t="str">
            <v>MEDELLIN</v>
          </cell>
        </row>
        <row r="400">
          <cell r="A400">
            <v>39295184</v>
          </cell>
          <cell r="B400" t="str">
            <v>890905211</v>
          </cell>
          <cell r="C400" t="str">
            <v>CATASTRO MEDELLIN</v>
          </cell>
          <cell r="D400" t="str">
            <v>Tipo Documento No Reportado</v>
          </cell>
          <cell r="E400" t="str">
            <v>39295184</v>
          </cell>
          <cell r="F400" t="str">
            <v>URIBE URIBE ALICIA DE JESUS</v>
          </cell>
          <cell r="G400">
            <v>0</v>
          </cell>
          <cell r="H400" t="str">
            <v>07160100016</v>
          </cell>
          <cell r="I400" t="str">
            <v>CR  087 A  068 B 076 00000</v>
          </cell>
          <cell r="J400" t="str">
            <v>182508</v>
          </cell>
          <cell r="K400" t="str">
            <v>ANTIOQUIA</v>
          </cell>
          <cell r="L400" t="str">
            <v>MEDELLIN</v>
          </cell>
        </row>
        <row r="401">
          <cell r="A401">
            <v>43041824</v>
          </cell>
          <cell r="B401" t="str">
            <v>890905211</v>
          </cell>
          <cell r="C401" t="str">
            <v>CATASTRO MEDELLIN</v>
          </cell>
          <cell r="D401" t="str">
            <v>Tipo Documento No Reportado</v>
          </cell>
          <cell r="E401" t="str">
            <v>43041824</v>
          </cell>
          <cell r="F401" t="str">
            <v>CASTAÑEDA OSORIO ADRIANA</v>
          </cell>
          <cell r="G401">
            <v>0</v>
          </cell>
          <cell r="H401" t="str">
            <v>16050070009</v>
          </cell>
          <cell r="I401" t="str">
            <v>CL  018 A  074 A 058 00201</v>
          </cell>
          <cell r="J401" t="str">
            <v>954847</v>
          </cell>
          <cell r="K401" t="str">
            <v>ANTIOQUIA</v>
          </cell>
          <cell r="L401" t="str">
            <v>MEDELLIN</v>
          </cell>
        </row>
        <row r="402">
          <cell r="A402">
            <v>43041824</v>
          </cell>
          <cell r="B402" t="str">
            <v>890905211</v>
          </cell>
          <cell r="C402" t="str">
            <v>CATASTRO MEDELLIN</v>
          </cell>
          <cell r="D402" t="str">
            <v>Tipo Documento No Reportado</v>
          </cell>
          <cell r="E402" t="str">
            <v>43041824</v>
          </cell>
          <cell r="F402" t="str">
            <v>CASTAÑEDA OSORIO ADRIANA</v>
          </cell>
          <cell r="G402">
            <v>0</v>
          </cell>
          <cell r="H402" t="str">
            <v>16050070009</v>
          </cell>
          <cell r="I402" t="str">
            <v>CL  018 A  074 A 060 00000</v>
          </cell>
          <cell r="J402" t="str">
            <v>954846</v>
          </cell>
          <cell r="K402" t="str">
            <v>ANTIOQUIA</v>
          </cell>
          <cell r="L402" t="str">
            <v>MEDELLIN</v>
          </cell>
        </row>
        <row r="403">
          <cell r="A403">
            <v>43782572</v>
          </cell>
          <cell r="B403" t="str">
            <v>890905211</v>
          </cell>
          <cell r="C403" t="str">
            <v>CATASTRO MEDELLIN</v>
          </cell>
          <cell r="D403" t="str">
            <v>Tipo Documento No Reportado</v>
          </cell>
          <cell r="E403" t="str">
            <v>43782572</v>
          </cell>
          <cell r="F403" t="str">
            <v>HOYOS GOMEZ MARIA ROSMIRA</v>
          </cell>
          <cell r="G403">
            <v>0</v>
          </cell>
          <cell r="H403" t="str">
            <v>16110020247</v>
          </cell>
          <cell r="I403" t="str">
            <v>CL  007   083  031 01464</v>
          </cell>
          <cell r="J403" t="str">
            <v>1027379</v>
          </cell>
          <cell r="K403" t="str">
            <v>ANTIOQUIA</v>
          </cell>
          <cell r="L403" t="str">
            <v>MEDELLIN</v>
          </cell>
        </row>
        <row r="404">
          <cell r="A404">
            <v>43782572</v>
          </cell>
          <cell r="B404" t="str">
            <v>890905211</v>
          </cell>
          <cell r="C404" t="str">
            <v>CATASTRO MEDELLIN</v>
          </cell>
          <cell r="D404" t="str">
            <v>Tipo Documento No Reportado</v>
          </cell>
          <cell r="E404" t="str">
            <v>43782572</v>
          </cell>
          <cell r="F404" t="str">
            <v>HOYOS GOMEZ MARIA ROSMIRA</v>
          </cell>
          <cell r="G404">
            <v>0</v>
          </cell>
          <cell r="H404" t="str">
            <v>16110020247</v>
          </cell>
          <cell r="I404" t="str">
            <v>CL  007   083  031 1013</v>
          </cell>
          <cell r="J404" t="str">
            <v>1027242</v>
          </cell>
          <cell r="K404" t="str">
            <v>ANTIOQUIA</v>
          </cell>
          <cell r="L404" t="str">
            <v>MEDELLIN</v>
          </cell>
        </row>
        <row r="405">
          <cell r="A405">
            <v>43782572</v>
          </cell>
          <cell r="B405" t="str">
            <v>890905211</v>
          </cell>
          <cell r="C405" t="str">
            <v>CATASTRO MEDELLIN</v>
          </cell>
          <cell r="D405" t="str">
            <v>Tipo Documento No Reportado</v>
          </cell>
          <cell r="E405" t="str">
            <v>43782572</v>
          </cell>
          <cell r="F405" t="str">
            <v>HOYOS GOMEZ MARIA ROSMIRA</v>
          </cell>
          <cell r="G405">
            <v>0</v>
          </cell>
          <cell r="H405" t="str">
            <v>16110020247</v>
          </cell>
          <cell r="I405" t="str">
            <v>CL  007   083  031 97390</v>
          </cell>
          <cell r="J405" t="str">
            <v>1027211</v>
          </cell>
          <cell r="K405" t="str">
            <v>ANTIOQUIA</v>
          </cell>
          <cell r="L405" t="str">
            <v>MEDELLIN</v>
          </cell>
        </row>
        <row r="406">
          <cell r="A406">
            <v>70430072</v>
          </cell>
          <cell r="B406" t="str">
            <v>890905211</v>
          </cell>
          <cell r="C406" t="str">
            <v>CATASTRO MEDELLIN</v>
          </cell>
          <cell r="D406" t="str">
            <v>Tipo Documento No Reportado</v>
          </cell>
          <cell r="E406" t="str">
            <v>70430072</v>
          </cell>
          <cell r="F406" t="str">
            <v>OCAMPO MORENO OSCAR DE JESUS</v>
          </cell>
          <cell r="G406">
            <v>0</v>
          </cell>
          <cell r="H406" t="str">
            <v>09070130037</v>
          </cell>
          <cell r="I406" t="str">
            <v>CR  034   046  045 00000</v>
          </cell>
          <cell r="J406" t="str">
            <v>775700</v>
          </cell>
          <cell r="K406" t="str">
            <v>ANTIOQUIA</v>
          </cell>
          <cell r="L406" t="str">
            <v>MEDELLIN</v>
          </cell>
        </row>
        <row r="407">
          <cell r="A407">
            <v>73141733</v>
          </cell>
          <cell r="B407" t="str">
            <v>890905211</v>
          </cell>
          <cell r="C407" t="str">
            <v>CATASTRO MEDELLIN</v>
          </cell>
          <cell r="D407" t="str">
            <v>Tipo Documento No Reportado</v>
          </cell>
          <cell r="E407" t="str">
            <v>73141733</v>
          </cell>
          <cell r="F407" t="str">
            <v>SANCHEZ TOBON JHON WILSON</v>
          </cell>
          <cell r="G407">
            <v>0</v>
          </cell>
          <cell r="H407" t="str">
            <v>07060010010</v>
          </cell>
          <cell r="I407" t="str">
            <v>CL  074   073  027 00201</v>
          </cell>
          <cell r="J407" t="str">
            <v>5294454</v>
          </cell>
          <cell r="K407" t="str">
            <v>ANTIOQUIA</v>
          </cell>
          <cell r="L407" t="str">
            <v>MEDELLIN</v>
          </cell>
        </row>
        <row r="408">
          <cell r="A408">
            <v>73141733</v>
          </cell>
          <cell r="B408" t="str">
            <v>890905211</v>
          </cell>
          <cell r="C408" t="str">
            <v>CATASTRO MEDELLIN</v>
          </cell>
          <cell r="D408" t="str">
            <v>Tipo Documento No Reportado</v>
          </cell>
          <cell r="E408" t="str">
            <v>73141733</v>
          </cell>
          <cell r="F408" t="str">
            <v>SANCHEZ TOBON JHON WILSON</v>
          </cell>
          <cell r="G408">
            <v>0</v>
          </cell>
          <cell r="H408" t="str">
            <v>07060010010</v>
          </cell>
          <cell r="I408" t="str">
            <v>CL  074   073  027 99011</v>
          </cell>
          <cell r="J408" t="str">
            <v>5294420</v>
          </cell>
          <cell r="K408" t="str">
            <v>ANTIOQUIA</v>
          </cell>
          <cell r="L408" t="str">
            <v>MEDELLIN</v>
          </cell>
        </row>
        <row r="409">
          <cell r="A409">
            <v>3480676</v>
          </cell>
          <cell r="B409" t="str">
            <v>890905211</v>
          </cell>
          <cell r="C409" t="str">
            <v>CATASTRO MEDELLIN</v>
          </cell>
          <cell r="D409" t="str">
            <v>Tipo Documento No Reportado</v>
          </cell>
          <cell r="E409" t="str">
            <v>3480676</v>
          </cell>
          <cell r="F409" t="str">
            <v>ROBLEDO SILVA JESUS ALFONSO</v>
          </cell>
          <cell r="G409">
            <v>1</v>
          </cell>
          <cell r="H409" t="str">
            <v>80004070012</v>
          </cell>
          <cell r="I409" t="str">
            <v>CL S 036 D  055 C 045 0000</v>
          </cell>
          <cell r="J409" t="str">
            <v>719916</v>
          </cell>
          <cell r="K409" t="str">
            <v>ANTIOQUIA</v>
          </cell>
          <cell r="L409" t="str">
            <v>MEDELLIN</v>
          </cell>
        </row>
        <row r="410">
          <cell r="A410">
            <v>21609450</v>
          </cell>
          <cell r="B410" t="str">
            <v>890905211</v>
          </cell>
          <cell r="C410" t="str">
            <v>CATASTRO MEDELLIN</v>
          </cell>
          <cell r="D410" t="str">
            <v>Tipo Documento No Reportado</v>
          </cell>
          <cell r="E410" t="str">
            <v>21609450</v>
          </cell>
          <cell r="F410" t="str">
            <v>ARANGO DE FLOREZ TERESA</v>
          </cell>
          <cell r="G410">
            <v>1</v>
          </cell>
          <cell r="H410" t="str">
            <v>12070020005</v>
          </cell>
          <cell r="I410" t="str">
            <v>CL  040   090  038 00402</v>
          </cell>
          <cell r="J410" t="str">
            <v>968897</v>
          </cell>
          <cell r="K410" t="str">
            <v>ANTIOQUIA</v>
          </cell>
          <cell r="L410" t="str">
            <v>MEDELLIN</v>
          </cell>
        </row>
        <row r="411">
          <cell r="A411">
            <v>21610690</v>
          </cell>
          <cell r="B411" t="str">
            <v>890905211</v>
          </cell>
          <cell r="C411" t="str">
            <v>CATASTRO MEDELLIN</v>
          </cell>
          <cell r="D411" t="str">
            <v>Tipo Documento No Reportado</v>
          </cell>
          <cell r="E411" t="str">
            <v>21610690</v>
          </cell>
          <cell r="F411" t="str">
            <v>VILLA USUGA LUZ DARY</v>
          </cell>
          <cell r="G411">
            <v>1</v>
          </cell>
          <cell r="H411" t="str">
            <v>04020450007</v>
          </cell>
          <cell r="I411" t="str">
            <v>CL  097 A  051 B 008 0218</v>
          </cell>
          <cell r="J411" t="str">
            <v>700010180</v>
          </cell>
          <cell r="K411" t="str">
            <v>ANTIOQUIA</v>
          </cell>
          <cell r="L411" t="str">
            <v>MEDELLIN</v>
          </cell>
        </row>
        <row r="412">
          <cell r="A412">
            <v>21610722</v>
          </cell>
          <cell r="B412" t="str">
            <v>890905211</v>
          </cell>
          <cell r="C412" t="str">
            <v>CATASTRO MEDELLIN</v>
          </cell>
          <cell r="D412" t="str">
            <v>Tipo Documento No Reportado</v>
          </cell>
          <cell r="E412" t="str">
            <v>21610722</v>
          </cell>
          <cell r="F412" t="str">
            <v>ZAPATA VALENCIA LUZ MARINA</v>
          </cell>
          <cell r="G412">
            <v>1</v>
          </cell>
          <cell r="H412" t="str">
            <v>04050900142</v>
          </cell>
          <cell r="I412" t="str">
            <v>CR  058 EE  084 A 039 00000</v>
          </cell>
          <cell r="J412" t="str">
            <v>5260316</v>
          </cell>
          <cell r="K412" t="str">
            <v>ANTIOQUIA</v>
          </cell>
          <cell r="L412" t="str">
            <v>MEDELLIN</v>
          </cell>
        </row>
        <row r="413">
          <cell r="A413">
            <v>21611279</v>
          </cell>
          <cell r="B413" t="str">
            <v>890905211</v>
          </cell>
          <cell r="C413" t="str">
            <v>CATASTRO MEDELLIN</v>
          </cell>
          <cell r="D413" t="str">
            <v>Tipo Documento No Reportado</v>
          </cell>
          <cell r="E413" t="str">
            <v>21611279</v>
          </cell>
          <cell r="F413" t="str">
            <v>USUGA GUISAO GLORIA AMPARO</v>
          </cell>
          <cell r="G413">
            <v>1</v>
          </cell>
          <cell r="H413" t="str">
            <v>03110030054</v>
          </cell>
          <cell r="I413" t="str">
            <v>CL  077   025  081 00109</v>
          </cell>
          <cell r="J413" t="str">
            <v>950123562</v>
          </cell>
          <cell r="K413" t="str">
            <v>ANTIOQUIA</v>
          </cell>
          <cell r="L413" t="str">
            <v>MEDELLIN</v>
          </cell>
        </row>
        <row r="414">
          <cell r="A414">
            <v>21611289</v>
          </cell>
          <cell r="B414" t="str">
            <v>890905211</v>
          </cell>
          <cell r="C414" t="str">
            <v>CATASTRO MEDELLIN</v>
          </cell>
          <cell r="D414" t="str">
            <v>Tipo Documento No Reportado</v>
          </cell>
          <cell r="E414" t="str">
            <v>21611289</v>
          </cell>
          <cell r="F414" t="str">
            <v>ALVAREZ BEDOYA MARIA OTONIELA</v>
          </cell>
          <cell r="G414">
            <v>1</v>
          </cell>
          <cell r="H414" t="str">
            <v>08060350160</v>
          </cell>
          <cell r="I414" t="str">
            <v>CR  018 B  062  016 00101</v>
          </cell>
          <cell r="J414" t="str">
            <v>700014012</v>
          </cell>
          <cell r="K414" t="str">
            <v>ANTIOQUIA</v>
          </cell>
          <cell r="L414" t="str">
            <v>MEDELLIN</v>
          </cell>
        </row>
        <row r="415">
          <cell r="A415">
            <v>21612300</v>
          </cell>
          <cell r="B415" t="str">
            <v>890905211</v>
          </cell>
          <cell r="C415" t="str">
            <v>CATASTRO MEDELLIN</v>
          </cell>
          <cell r="D415" t="str">
            <v>Tipo Documento No Reportado</v>
          </cell>
          <cell r="E415" t="str">
            <v>21612300</v>
          </cell>
          <cell r="F415" t="str">
            <v>RODRIGUEZ USUGA MARIELA DE JESUS</v>
          </cell>
          <cell r="G415">
            <v>1</v>
          </cell>
          <cell r="H415" t="str">
            <v>03110170029</v>
          </cell>
          <cell r="I415" t="str">
            <v>CL  081   024  055 00000</v>
          </cell>
          <cell r="J415" t="str">
            <v>5354385</v>
          </cell>
          <cell r="K415" t="str">
            <v>ANTIOQUIA</v>
          </cell>
          <cell r="L415" t="str">
            <v>MEDELLIN</v>
          </cell>
        </row>
        <row r="416">
          <cell r="A416">
            <v>21624116</v>
          </cell>
          <cell r="B416" t="str">
            <v>890905211</v>
          </cell>
          <cell r="C416" t="str">
            <v>CATASTRO MEDELLIN</v>
          </cell>
          <cell r="D416" t="str">
            <v>Tipo Documento No Reportado</v>
          </cell>
          <cell r="E416" t="str">
            <v>21624116</v>
          </cell>
          <cell r="F416" t="str">
            <v>SANCHEZ CORREA LUZ EDILIA</v>
          </cell>
          <cell r="G416">
            <v>1</v>
          </cell>
          <cell r="H416" t="str">
            <v>05020110007</v>
          </cell>
          <cell r="I416" t="str">
            <v>CL  112 B  064 D 054 00101</v>
          </cell>
          <cell r="J416" t="str">
            <v>5171824</v>
          </cell>
          <cell r="K416" t="str">
            <v>ANTIOQUIA</v>
          </cell>
          <cell r="L416" t="str">
            <v>MEDELLIN</v>
          </cell>
        </row>
        <row r="417">
          <cell r="A417">
            <v>30650089</v>
          </cell>
          <cell r="B417" t="str">
            <v>890905211</v>
          </cell>
          <cell r="C417" t="str">
            <v>CATASTRO MEDELLIN</v>
          </cell>
          <cell r="D417" t="str">
            <v>Tipo Documento No Reportado</v>
          </cell>
          <cell r="E417" t="str">
            <v>30650089</v>
          </cell>
          <cell r="F417" t="str">
            <v>VALENCIA MONTENEGRO VERENA CECILIA</v>
          </cell>
          <cell r="G417">
            <v>1</v>
          </cell>
          <cell r="H417" t="str">
            <v>07100050049</v>
          </cell>
          <cell r="I417" t="str">
            <v>CL  081   075  017 00000</v>
          </cell>
          <cell r="J417" t="str">
            <v>415448</v>
          </cell>
          <cell r="K417" t="str">
            <v>ANTIOQUIA</v>
          </cell>
          <cell r="L417" t="str">
            <v>MEDELLIN</v>
          </cell>
        </row>
        <row r="418">
          <cell r="A418">
            <v>32521624</v>
          </cell>
          <cell r="B418" t="str">
            <v>890905211</v>
          </cell>
          <cell r="C418" t="str">
            <v>CATASTRO MEDELLIN</v>
          </cell>
          <cell r="D418" t="str">
            <v>Tipo Documento No Reportado</v>
          </cell>
          <cell r="E418" t="str">
            <v>32521624</v>
          </cell>
          <cell r="F418" t="str">
            <v>GARCES USUGA TERESA DE JESUS</v>
          </cell>
          <cell r="G418">
            <v>1</v>
          </cell>
          <cell r="H418" t="str">
            <v>09130580060</v>
          </cell>
          <cell r="I418" t="str">
            <v>CR  026 EE  038 B 050 00000</v>
          </cell>
          <cell r="J418" t="str">
            <v>960114150</v>
          </cell>
          <cell r="K418" t="str">
            <v>ANTIOQUIA</v>
          </cell>
          <cell r="L418" t="str">
            <v>MEDELLIN</v>
          </cell>
        </row>
        <row r="419">
          <cell r="A419">
            <v>43036933</v>
          </cell>
          <cell r="B419" t="str">
            <v>890905211</v>
          </cell>
          <cell r="C419" t="str">
            <v>CATASTRO MEDELLIN</v>
          </cell>
          <cell r="D419" t="str">
            <v>Tipo Documento No Reportado</v>
          </cell>
          <cell r="E419" t="str">
            <v>43036933</v>
          </cell>
          <cell r="F419" t="str">
            <v>USUGA HIGUITA MARIA MERCEDES</v>
          </cell>
          <cell r="G419">
            <v>1</v>
          </cell>
          <cell r="H419" t="str">
            <v>80004600096</v>
          </cell>
          <cell r="I419" t="str">
            <v>CL S 057   065  138 0504</v>
          </cell>
          <cell r="J419" t="str">
            <v>1067706</v>
          </cell>
          <cell r="K419" t="str">
            <v>ANTIOQUIA</v>
          </cell>
          <cell r="L419" t="str">
            <v>MEDELLIN</v>
          </cell>
        </row>
        <row r="420">
          <cell r="A420">
            <v>43635796</v>
          </cell>
          <cell r="B420" t="str">
            <v>890905211</v>
          </cell>
          <cell r="C420" t="str">
            <v>CATASTRO MEDELLIN</v>
          </cell>
          <cell r="D420" t="str">
            <v>Tipo Documento No Reportado</v>
          </cell>
          <cell r="E420" t="str">
            <v>43635796</v>
          </cell>
          <cell r="F420" t="str">
            <v>RIAÑO HIGUITA NUBIA HELENA</v>
          </cell>
          <cell r="G420">
            <v>1</v>
          </cell>
          <cell r="H420" t="str">
            <v>60840260035</v>
          </cell>
          <cell r="I420" t="str">
            <v>CL  055   119 B 027 0000</v>
          </cell>
          <cell r="J420" t="str">
            <v>700012277</v>
          </cell>
          <cell r="K420" t="str">
            <v>ANTIOQUIA</v>
          </cell>
          <cell r="L420" t="str">
            <v>MEDELLIN</v>
          </cell>
        </row>
        <row r="421">
          <cell r="A421">
            <v>43749966</v>
          </cell>
          <cell r="B421" t="str">
            <v>890905211</v>
          </cell>
          <cell r="C421" t="str">
            <v>CATASTRO MEDELLIN</v>
          </cell>
          <cell r="D421" t="str">
            <v>Tipo Documento No Reportado</v>
          </cell>
          <cell r="E421" t="str">
            <v>43749966</v>
          </cell>
          <cell r="F421" t="str">
            <v>GIRALDO MARTINEZ BIBIANA</v>
          </cell>
          <cell r="G421">
            <v>1</v>
          </cell>
          <cell r="H421" t="str">
            <v>60980380181</v>
          </cell>
          <cell r="I421" t="str">
            <v>CL  067 C  105  079 0602</v>
          </cell>
          <cell r="J421" t="str">
            <v>5322975</v>
          </cell>
          <cell r="K421" t="str">
            <v>ANTIOQUIA</v>
          </cell>
          <cell r="L421" t="str">
            <v>MEDELLIN</v>
          </cell>
        </row>
        <row r="422">
          <cell r="A422">
            <v>43780294</v>
          </cell>
          <cell r="B422" t="str">
            <v>890905211</v>
          </cell>
          <cell r="C422" t="str">
            <v>CATASTRO MEDELLIN</v>
          </cell>
          <cell r="D422" t="str">
            <v>Tipo Documento No Reportado</v>
          </cell>
          <cell r="E422" t="str">
            <v>43780294</v>
          </cell>
          <cell r="F422" t="str">
            <v>USUGA GRACIANO MARTA</v>
          </cell>
          <cell r="G422">
            <v>1</v>
          </cell>
          <cell r="H422" t="str">
            <v>08080550011</v>
          </cell>
          <cell r="I422" t="str">
            <v>CR  027   059 C 011 9801</v>
          </cell>
          <cell r="J422" t="str">
            <v>800014600</v>
          </cell>
          <cell r="K422" t="str">
            <v>ANTIOQUIA</v>
          </cell>
          <cell r="L422" t="str">
            <v>MEDELLIN</v>
          </cell>
        </row>
        <row r="423">
          <cell r="A423">
            <v>43870488</v>
          </cell>
          <cell r="B423" t="str">
            <v>890905211</v>
          </cell>
          <cell r="C423" t="str">
            <v>CATASTRO MEDELLIN</v>
          </cell>
          <cell r="D423" t="str">
            <v>Tipo Documento No Reportado</v>
          </cell>
          <cell r="E423" t="str">
            <v>43870488</v>
          </cell>
          <cell r="F423" t="str">
            <v>CORREA OCAMPO CLAUDIA ELENA</v>
          </cell>
          <cell r="G423">
            <v>1</v>
          </cell>
          <cell r="H423" t="str">
            <v>70960280014</v>
          </cell>
          <cell r="I423" t="str">
            <v>CR  090 B  015 A 033 00000</v>
          </cell>
          <cell r="J423" t="str">
            <v>943764</v>
          </cell>
          <cell r="K423" t="str">
            <v>ANTIOQUIA</v>
          </cell>
          <cell r="L423" t="str">
            <v>MEDELLIN</v>
          </cell>
        </row>
        <row r="424">
          <cell r="A424">
            <v>70106981</v>
          </cell>
          <cell r="B424" t="str">
            <v>890905211</v>
          </cell>
          <cell r="C424" t="str">
            <v>CATASTRO MEDELLIN</v>
          </cell>
          <cell r="D424" t="str">
            <v>Tipo Documento No Reportado</v>
          </cell>
          <cell r="E424" t="str">
            <v>70106981</v>
          </cell>
          <cell r="F424" t="str">
            <v>URIBE RIOS ERNESTO DE JESUS</v>
          </cell>
          <cell r="G424">
            <v>1</v>
          </cell>
          <cell r="H424" t="str">
            <v>06100140046</v>
          </cell>
          <cell r="I424" t="str">
            <v>CR  084   101 C 033 00000</v>
          </cell>
          <cell r="J424" t="str">
            <v>5289811</v>
          </cell>
          <cell r="K424" t="str">
            <v>ANTIOQUIA</v>
          </cell>
          <cell r="L424" t="str">
            <v>MEDELLIN</v>
          </cell>
        </row>
        <row r="425">
          <cell r="A425">
            <v>70430467</v>
          </cell>
          <cell r="B425" t="str">
            <v>890905211</v>
          </cell>
          <cell r="C425" t="str">
            <v>CATASTRO MEDELLIN</v>
          </cell>
          <cell r="D425" t="str">
            <v>Tipo Documento No Reportado</v>
          </cell>
          <cell r="E425" t="str">
            <v>70430467</v>
          </cell>
          <cell r="F425" t="str">
            <v>OQUENDO LOPEZ GUILLERMO</v>
          </cell>
          <cell r="G425">
            <v>1</v>
          </cell>
          <cell r="H425" t="str">
            <v>13100440021</v>
          </cell>
          <cell r="I425" t="str">
            <v>CL  039 B  108  070 00000</v>
          </cell>
          <cell r="J425" t="str">
            <v>634561</v>
          </cell>
          <cell r="K425" t="str">
            <v>ANTIOQUIA</v>
          </cell>
          <cell r="L425" t="str">
            <v>MEDELLIN</v>
          </cell>
        </row>
        <row r="426">
          <cell r="A426">
            <v>70431551</v>
          </cell>
          <cell r="B426" t="str">
            <v>890905211</v>
          </cell>
          <cell r="C426" t="str">
            <v>CATASTRO MEDELLIN</v>
          </cell>
          <cell r="D426" t="str">
            <v>Tipo Documento No Reportado</v>
          </cell>
          <cell r="E426" t="str">
            <v>70431551</v>
          </cell>
          <cell r="F426" t="str">
            <v>ARIAS HURTADO GERARDO ANTONIO</v>
          </cell>
          <cell r="G426">
            <v>1</v>
          </cell>
          <cell r="H426" t="str">
            <v>07240010213</v>
          </cell>
          <cell r="I426" t="str">
            <v>CR  101   070 D 058 0304</v>
          </cell>
          <cell r="J426" t="str">
            <v>5379852</v>
          </cell>
          <cell r="K426" t="str">
            <v>ANTIOQUIA</v>
          </cell>
          <cell r="L426" t="str">
            <v>MEDELLIN</v>
          </cell>
        </row>
        <row r="427">
          <cell r="A427">
            <v>70431653</v>
          </cell>
          <cell r="B427" t="str">
            <v>890905211</v>
          </cell>
          <cell r="C427" t="str">
            <v>CATASTRO MEDELLIN</v>
          </cell>
          <cell r="D427" t="str">
            <v>Tipo Documento No Reportado</v>
          </cell>
          <cell r="E427" t="str">
            <v>70431653</v>
          </cell>
          <cell r="F427" t="str">
            <v>MONROY HIGUITA LUIS ANGEL</v>
          </cell>
          <cell r="G427">
            <v>1</v>
          </cell>
          <cell r="H427" t="str">
            <v>16100010211</v>
          </cell>
          <cell r="I427" t="str">
            <v>CR  080 B S 002 B 017 0102</v>
          </cell>
          <cell r="J427" t="str">
            <v>299880</v>
          </cell>
          <cell r="K427" t="str">
            <v>ANTIOQUIA</v>
          </cell>
          <cell r="L427" t="str">
            <v>MEDELLIN</v>
          </cell>
        </row>
        <row r="428">
          <cell r="A428">
            <v>70432140</v>
          </cell>
          <cell r="B428" t="str">
            <v>890905211</v>
          </cell>
          <cell r="C428" t="str">
            <v>CATASTRO MEDELLIN</v>
          </cell>
          <cell r="D428" t="str">
            <v>Tipo Documento No Reportado</v>
          </cell>
          <cell r="E428" t="str">
            <v>70432140</v>
          </cell>
          <cell r="F428" t="str">
            <v>JIMENEZ HIGUITA LIBARDO ANTONIO</v>
          </cell>
          <cell r="G428">
            <v>1</v>
          </cell>
          <cell r="H428" t="str">
            <v>01110110098</v>
          </cell>
          <cell r="I428" t="str">
            <v>CL  106 BB  021 B 090 0101</v>
          </cell>
          <cell r="J428" t="str">
            <v>800015785</v>
          </cell>
          <cell r="K428" t="str">
            <v>ANTIOQUIA</v>
          </cell>
          <cell r="L428" t="str">
            <v>MEDELLIN</v>
          </cell>
        </row>
        <row r="429">
          <cell r="A429">
            <v>70433064</v>
          </cell>
          <cell r="B429" t="str">
            <v>890905211</v>
          </cell>
          <cell r="C429" t="str">
            <v>CATASTRO MEDELLIN</v>
          </cell>
          <cell r="D429" t="str">
            <v>Tipo Documento No Reportado</v>
          </cell>
          <cell r="E429" t="str">
            <v>70433064</v>
          </cell>
          <cell r="F429" t="str">
            <v>DAVID MANCO OVIDIO</v>
          </cell>
          <cell r="G429">
            <v>1</v>
          </cell>
          <cell r="H429" t="str">
            <v>05080010002</v>
          </cell>
          <cell r="I429" t="str">
            <v>CR  063   101 C 055 0116</v>
          </cell>
          <cell r="J429" t="str">
            <v>800016360</v>
          </cell>
          <cell r="K429" t="str">
            <v>ANTIOQUIA</v>
          </cell>
          <cell r="L429" t="str">
            <v>MEDELLIN</v>
          </cell>
        </row>
        <row r="430">
          <cell r="A430">
            <v>70435275</v>
          </cell>
          <cell r="B430" t="str">
            <v>890905211</v>
          </cell>
          <cell r="C430" t="str">
            <v>CATASTRO MEDELLIN</v>
          </cell>
          <cell r="D430" t="str">
            <v>Tipo Documento No Reportado</v>
          </cell>
          <cell r="E430" t="str">
            <v>70435275</v>
          </cell>
          <cell r="F430" t="str">
            <v>SUAREZ MIRANDA CESAR ALCIDES</v>
          </cell>
          <cell r="G430">
            <v>1</v>
          </cell>
          <cell r="H430" t="str">
            <v>03080440020</v>
          </cell>
          <cell r="I430" t="str">
            <v>CR  041   071  038 0202</v>
          </cell>
          <cell r="J430" t="str">
            <v>5455994</v>
          </cell>
          <cell r="K430" t="str">
            <v>ANTIOQUIA</v>
          </cell>
          <cell r="L430" t="str">
            <v>MEDELLIN</v>
          </cell>
        </row>
        <row r="431">
          <cell r="A431">
            <v>70435557</v>
          </cell>
          <cell r="B431" t="str">
            <v>890905211</v>
          </cell>
          <cell r="C431" t="str">
            <v>CATASTRO MEDELLIN</v>
          </cell>
          <cell r="D431" t="str">
            <v>Tipo Documento No Reportado</v>
          </cell>
          <cell r="E431" t="str">
            <v>70435557</v>
          </cell>
          <cell r="F431" t="str">
            <v>MUÑOZ ROBEIRO DE JESUS</v>
          </cell>
          <cell r="G431">
            <v>1</v>
          </cell>
          <cell r="H431" t="str">
            <v>08060100027</v>
          </cell>
          <cell r="I431" t="str">
            <v>CL  057 A  017 A 055 0103</v>
          </cell>
          <cell r="J431" t="str">
            <v>800014266</v>
          </cell>
          <cell r="K431" t="str">
            <v>ANTIOQUIA</v>
          </cell>
          <cell r="L431" t="str">
            <v>MEDELLIN</v>
          </cell>
        </row>
        <row r="432">
          <cell r="A432">
            <v>70542853</v>
          </cell>
          <cell r="B432" t="str">
            <v>890905211</v>
          </cell>
          <cell r="C432" t="str">
            <v>CATASTRO MEDELLIN</v>
          </cell>
          <cell r="D432" t="str">
            <v>Tipo Documento No Reportado</v>
          </cell>
          <cell r="E432" t="str">
            <v>70542853</v>
          </cell>
          <cell r="F432" t="str">
            <v>FERNANDEZ ZAPATA DUBER HERNANDO</v>
          </cell>
          <cell r="G432">
            <v>1</v>
          </cell>
          <cell r="H432" t="str">
            <v>08060260105</v>
          </cell>
          <cell r="I432" t="str">
            <v>CR  019   059 C 060 0180</v>
          </cell>
          <cell r="J432" t="str">
            <v>700013493</v>
          </cell>
          <cell r="K432" t="str">
            <v>ANTIOQUIA</v>
          </cell>
          <cell r="L432" t="str">
            <v>MEDELLIN</v>
          </cell>
        </row>
        <row r="433">
          <cell r="A433">
            <v>71760213</v>
          </cell>
          <cell r="B433" t="str">
            <v>890905211</v>
          </cell>
          <cell r="C433" t="str">
            <v>CATASTRO MEDELLIN</v>
          </cell>
          <cell r="D433" t="str">
            <v>Tipo Documento No Reportado</v>
          </cell>
          <cell r="E433" t="str">
            <v>71760213</v>
          </cell>
          <cell r="F433" t="str">
            <v>JIMENEZ HIGUITA FRAIDE AMANDO</v>
          </cell>
          <cell r="G433">
            <v>1</v>
          </cell>
          <cell r="H433" t="str">
            <v>06031370015</v>
          </cell>
          <cell r="I433" t="str">
            <v>CL  103   077 B 035 00301</v>
          </cell>
          <cell r="J433" t="str">
            <v>5075641</v>
          </cell>
          <cell r="K433" t="str">
            <v>ANTIOQUIA</v>
          </cell>
          <cell r="L433" t="str">
            <v>MEDELLIN</v>
          </cell>
        </row>
        <row r="434">
          <cell r="A434">
            <v>98455886</v>
          </cell>
          <cell r="B434" t="str">
            <v>890905211</v>
          </cell>
          <cell r="C434" t="str">
            <v>CATASTRO MEDELLIN</v>
          </cell>
          <cell r="D434" t="str">
            <v>Tipo Documento No Reportado</v>
          </cell>
          <cell r="E434" t="str">
            <v>98455886</v>
          </cell>
          <cell r="F434" t="str">
            <v>MORALES TORO JOSE OCTAVIO</v>
          </cell>
          <cell r="G434">
            <v>1</v>
          </cell>
          <cell r="H434" t="str">
            <v>09130830039</v>
          </cell>
          <cell r="I434" t="str">
            <v>CR  026 EE  037  157 0000</v>
          </cell>
          <cell r="J434" t="str">
            <v>1018323</v>
          </cell>
          <cell r="K434" t="str">
            <v>ANTIOQUIA</v>
          </cell>
          <cell r="L434" t="str">
            <v>MEDELLIN</v>
          </cell>
        </row>
        <row r="435">
          <cell r="A435">
            <v>1046952085</v>
          </cell>
          <cell r="B435" t="str">
            <v>890905211</v>
          </cell>
          <cell r="C435" t="str">
            <v>CATASTRO MEDELLIN</v>
          </cell>
          <cell r="D435" t="str">
            <v>Tipo Documento No Reportado</v>
          </cell>
          <cell r="E435" t="str">
            <v>1046952085</v>
          </cell>
          <cell r="F435" t="str">
            <v>MORENO USUGA LUIS CARLOS</v>
          </cell>
          <cell r="G435">
            <v>1</v>
          </cell>
          <cell r="H435" t="str">
            <v>60120000244</v>
          </cell>
          <cell r="I435" t="str">
            <v>CL  084 A  094 B 122 0000</v>
          </cell>
          <cell r="J435" t="str">
            <v>800009249</v>
          </cell>
          <cell r="K435" t="str">
            <v>ANTIOQUIA</v>
          </cell>
          <cell r="L435" t="str">
            <v>MEDELLIN</v>
          </cell>
        </row>
        <row r="436">
          <cell r="A436">
            <v>1128479466</v>
          </cell>
          <cell r="B436" t="str">
            <v>890905211</v>
          </cell>
          <cell r="C436" t="str">
            <v>CATASTRO MEDELLIN</v>
          </cell>
          <cell r="D436" t="str">
            <v>Tipo Documento No Reportado</v>
          </cell>
          <cell r="E436" t="str">
            <v>1128479466</v>
          </cell>
          <cell r="F436" t="str">
            <v>MARTINEZ USUAGA EVER ANDREY</v>
          </cell>
          <cell r="G436">
            <v>1</v>
          </cell>
          <cell r="H436" t="str">
            <v>60980290024</v>
          </cell>
          <cell r="I436" t="str">
            <v>CL  063 AG  099  035 00104</v>
          </cell>
          <cell r="J436" t="str">
            <v>5280287</v>
          </cell>
          <cell r="K436" t="str">
            <v>ANTIOQUIA</v>
          </cell>
          <cell r="L436" t="str">
            <v>MEDELLIN</v>
          </cell>
        </row>
        <row r="437">
          <cell r="A437">
            <v>1151434597</v>
          </cell>
          <cell r="B437" t="str">
            <v>890905211</v>
          </cell>
          <cell r="C437" t="str">
            <v>CATASTRO MEDELLIN</v>
          </cell>
          <cell r="D437" t="str">
            <v>Tipo Documento No Reportado</v>
          </cell>
          <cell r="E437" t="str">
            <v>1151434597</v>
          </cell>
          <cell r="F437" t="str">
            <v>DAVID HURTADO LUZ ERNEIDA</v>
          </cell>
          <cell r="G437">
            <v>1</v>
          </cell>
          <cell r="H437" t="str">
            <v>03120150154</v>
          </cell>
          <cell r="I437" t="str">
            <v>CL  085 A  023 CC 042 0000</v>
          </cell>
          <cell r="J437" t="str">
            <v>800014998</v>
          </cell>
          <cell r="K437" t="str">
            <v>ANTIOQUIA</v>
          </cell>
          <cell r="L437" t="str">
            <v>MEDELLIN</v>
          </cell>
        </row>
        <row r="438">
          <cell r="A438">
            <v>43662021</v>
          </cell>
          <cell r="B438" t="str">
            <v>8909002860</v>
          </cell>
          <cell r="C438" t="str">
            <v>CATASTRO ANTIOQUIA.</v>
          </cell>
          <cell r="D438" t="str">
            <v>C.C.</v>
          </cell>
          <cell r="E438" t="str">
            <v>43662021</v>
          </cell>
          <cell r="F438" t="str">
            <v xml:space="preserve">HIGUITA VELASQUEZ              MARLENY DEL SOCORRO </v>
          </cell>
          <cell r="G438">
            <v>1</v>
          </cell>
          <cell r="H438" t="str">
            <v>4802002000000400002000000000</v>
          </cell>
          <cell r="I438" t="str">
            <v xml:space="preserve">S.N.                                             </v>
          </cell>
          <cell r="J438" t="str">
            <v/>
          </cell>
          <cell r="K438" t="str">
            <v>ANTIOQUIA</v>
          </cell>
          <cell r="L438" t="str">
            <v>MUTATA</v>
          </cell>
        </row>
        <row r="439">
          <cell r="A439">
            <v>70092399</v>
          </cell>
          <cell r="B439" t="str">
            <v>8901410902</v>
          </cell>
          <cell r="C439" t="str">
            <v>AMCO</v>
          </cell>
          <cell r="D439" t="str">
            <v>C.C.</v>
          </cell>
          <cell r="E439" t="str">
            <v>70092399</v>
          </cell>
          <cell r="F439" t="str">
            <v xml:space="preserve"> HERNAN DE JESUS VELASQUEZ GEORGE</v>
          </cell>
          <cell r="G439">
            <v>0</v>
          </cell>
          <cell r="H439" t="str">
            <v>0108000002010901900000002</v>
          </cell>
          <cell r="I439" t="str">
            <v>K 15 32 11 Ap 101 Ed VELASQUEZ GEO</v>
          </cell>
          <cell r="J439" t="str">
            <v>290-142314</v>
          </cell>
          <cell r="K439" t="str">
            <v>RISARALDA</v>
          </cell>
          <cell r="L439" t="str">
            <v>PEREIRA</v>
          </cell>
        </row>
        <row r="440">
          <cell r="A440">
            <v>70092399</v>
          </cell>
          <cell r="B440" t="str">
            <v>8901410902</v>
          </cell>
          <cell r="C440" t="str">
            <v>AMCO</v>
          </cell>
          <cell r="D440" t="str">
            <v>C.C.</v>
          </cell>
          <cell r="E440" t="str">
            <v>70092399</v>
          </cell>
          <cell r="F440" t="str">
            <v xml:space="preserve"> HERNAN DE JESUS VELASQUEZ GEORGE</v>
          </cell>
          <cell r="G440">
            <v>0</v>
          </cell>
          <cell r="H440" t="str">
            <v>0108000002010901900000004</v>
          </cell>
          <cell r="I440" t="str">
            <v>C 32B 15 11 Ap 001 Ed VELASQUEZ GE</v>
          </cell>
          <cell r="J440" t="str">
            <v>290-142315</v>
          </cell>
          <cell r="K440" t="str">
            <v>RISARALDA</v>
          </cell>
          <cell r="L440" t="str">
            <v>PEREIRA</v>
          </cell>
        </row>
        <row r="441">
          <cell r="A441">
            <v>4378284</v>
          </cell>
          <cell r="B441" t="str">
            <v>8901410902</v>
          </cell>
          <cell r="C441" t="str">
            <v>AMCO</v>
          </cell>
          <cell r="D441" t="str">
            <v>C.C.</v>
          </cell>
          <cell r="E441" t="str">
            <v>4378284</v>
          </cell>
          <cell r="F441" t="str">
            <v xml:space="preserve"> LUIS ANDRES AGUDELO LOPEZ</v>
          </cell>
          <cell r="G441">
            <v>1</v>
          </cell>
          <cell r="H441" t="str">
            <v>0106000003430022000000000</v>
          </cell>
          <cell r="I441" t="str">
            <v>K 26A 32 22 Mz 36 Cs 23 EL POBLADO</v>
          </cell>
          <cell r="J441" t="str">
            <v>290-74838</v>
          </cell>
          <cell r="K441" t="str">
            <v>RISARALDA</v>
          </cell>
          <cell r="L441" t="str">
            <v>PEREIRA</v>
          </cell>
        </row>
        <row r="442">
          <cell r="A442">
            <v>21610670</v>
          </cell>
          <cell r="B442" t="str">
            <v>8901410902</v>
          </cell>
          <cell r="C442" t="str">
            <v>AMCO</v>
          </cell>
          <cell r="D442" t="str">
            <v>C.C.</v>
          </cell>
          <cell r="E442" t="str">
            <v>21610670</v>
          </cell>
          <cell r="F442" t="str">
            <v xml:space="preserve"> ROSA ANTONIA MANCO GOMEZ</v>
          </cell>
          <cell r="G442">
            <v>1</v>
          </cell>
          <cell r="H442" t="str">
            <v>0109000002470004000000000</v>
          </cell>
          <cell r="I442" t="str">
            <v>C 66D K 35 Y 35A Cs 123 LAS MERCED</v>
          </cell>
          <cell r="J442" t="str">
            <v>290-48902</v>
          </cell>
          <cell r="K442" t="str">
            <v>RISARALDA</v>
          </cell>
          <cell r="L442" t="str">
            <v>PEREIRA</v>
          </cell>
        </row>
        <row r="443">
          <cell r="A443">
            <v>7432377</v>
          </cell>
          <cell r="B443" t="str">
            <v>8999990049</v>
          </cell>
          <cell r="C443" t="str">
            <v>IGAC</v>
          </cell>
          <cell r="D443" t="str">
            <v>Tipo Documento No Reportado</v>
          </cell>
          <cell r="E443" t="str">
            <v>7432377</v>
          </cell>
          <cell r="F443" t="str">
            <v xml:space="preserve"> CARLOS ARTURO REYES CASTRO                        </v>
          </cell>
          <cell r="G443">
            <v>0</v>
          </cell>
          <cell r="H443" t="str">
            <v>0100000005460004000000000</v>
          </cell>
          <cell r="I443" t="str">
            <v xml:space="preserve">C 28A 14 45                                       </v>
          </cell>
          <cell r="J443" t="str">
            <v xml:space="preserve">045-27334         </v>
          </cell>
          <cell r="K443" t="str">
            <v>ATLANTICO</v>
          </cell>
          <cell r="L443" t="str">
            <v>SABANALARGA</v>
          </cell>
        </row>
        <row r="444">
          <cell r="A444">
            <v>70430519</v>
          </cell>
          <cell r="B444" t="str">
            <v>8909002860</v>
          </cell>
          <cell r="C444" t="str">
            <v>CATASTRO ANTIOQUIA.</v>
          </cell>
          <cell r="D444" t="str">
            <v>C.C.</v>
          </cell>
          <cell r="E444" t="str">
            <v>70430519</v>
          </cell>
          <cell r="F444" t="str">
            <v xml:space="preserve">TANGARIFE DAVID                LUIS ANTONIO        </v>
          </cell>
          <cell r="G444">
            <v>1</v>
          </cell>
          <cell r="H444" t="str">
            <v>6792003000001000072000000000</v>
          </cell>
          <cell r="I444" t="str">
            <v xml:space="preserve">MORROPLANCHO                                     </v>
          </cell>
          <cell r="J444" t="str">
            <v/>
          </cell>
          <cell r="K444" t="str">
            <v>ANTIOQUIA</v>
          </cell>
          <cell r="L444" t="str">
            <v>SANTA BARBARA</v>
          </cell>
        </row>
        <row r="445">
          <cell r="A445">
            <v>7432377</v>
          </cell>
          <cell r="B445" t="str">
            <v>8999990049</v>
          </cell>
          <cell r="C445" t="str">
            <v>IGAC</v>
          </cell>
          <cell r="D445" t="str">
            <v>Tipo Documento No Reportado</v>
          </cell>
          <cell r="E445" t="str">
            <v>7432377</v>
          </cell>
          <cell r="F445" t="str">
            <v xml:space="preserve"> REYES CASTRO CARLOS-ARTURO       </v>
          </cell>
          <cell r="G445">
            <v>0</v>
          </cell>
          <cell r="H445" t="str">
            <v xml:space="preserve">010700190177905     </v>
          </cell>
          <cell r="I445" t="str">
            <v xml:space="preserve">C 6 1 54 PQ 22 ED DINERS          </v>
          </cell>
          <cell r="J445" t="str">
            <v xml:space="preserve">080-45741         </v>
          </cell>
          <cell r="K445" t="str">
            <v>MAGDALENA</v>
          </cell>
          <cell r="L445" t="str">
            <v>SANTA MARTA</v>
          </cell>
        </row>
        <row r="446">
          <cell r="A446">
            <v>7432377</v>
          </cell>
          <cell r="B446" t="str">
            <v>8999990049</v>
          </cell>
          <cell r="C446" t="str">
            <v>IGAC</v>
          </cell>
          <cell r="D446" t="str">
            <v>Tipo Documento No Reportado</v>
          </cell>
          <cell r="E446" t="str">
            <v>7432377</v>
          </cell>
          <cell r="F446" t="str">
            <v xml:space="preserve"> REYES CASTRO CARLOS-ARTURO       </v>
          </cell>
          <cell r="G446">
            <v>0</v>
          </cell>
          <cell r="H446" t="str">
            <v xml:space="preserve">010700190264905     </v>
          </cell>
          <cell r="I446" t="str">
            <v xml:space="preserve">C 6 1 54 AP 1404 ED DINERS        </v>
          </cell>
          <cell r="J446" t="str">
            <v xml:space="preserve">080-45828         </v>
          </cell>
          <cell r="K446" t="str">
            <v>MAGDALENA</v>
          </cell>
          <cell r="L446" t="str">
            <v>SANTA MARTA</v>
          </cell>
        </row>
        <row r="447">
          <cell r="A447">
            <v>98613817</v>
          </cell>
          <cell r="B447" t="str">
            <v>8999990049</v>
          </cell>
          <cell r="C447" t="str">
            <v>IGAC</v>
          </cell>
          <cell r="D447" t="str">
            <v>Tipo Documento No Reportado</v>
          </cell>
          <cell r="E447" t="str">
            <v>98613817</v>
          </cell>
          <cell r="F447" t="str">
            <v xml:space="preserve"> JUAN EUGENIO RODRIGUEZ                            </v>
          </cell>
          <cell r="G447">
            <v>1</v>
          </cell>
          <cell r="H447" t="str">
            <v>0001000000010015500000002</v>
          </cell>
          <cell r="I447" t="str">
            <v xml:space="preserve">LA AMELIA                                         </v>
          </cell>
          <cell r="J447" t="str">
            <v/>
          </cell>
          <cell r="K447" t="str">
            <v>HUILA</v>
          </cell>
          <cell r="L447" t="str">
            <v>TARQUI</v>
          </cell>
        </row>
        <row r="448">
          <cell r="A448">
            <v>7486394</v>
          </cell>
          <cell r="B448" t="str">
            <v>8999990049</v>
          </cell>
          <cell r="C448" t="str">
            <v>IGAC</v>
          </cell>
          <cell r="D448" t="str">
            <v>Tipo Documento No Reportado</v>
          </cell>
          <cell r="E448" t="str">
            <v>7486394</v>
          </cell>
          <cell r="F448" t="str">
            <v xml:space="preserve"> EULOGIO VELAZQUEZ AYALA                           </v>
          </cell>
          <cell r="G448">
            <v>1</v>
          </cell>
          <cell r="H448" t="str">
            <v>0100000000430012000000000</v>
          </cell>
          <cell r="I448" t="str">
            <v xml:space="preserve">K 16D 15C 79                                      </v>
          </cell>
          <cell r="J448" t="str">
            <v/>
          </cell>
          <cell r="K448" t="str">
            <v>CORDOBA</v>
          </cell>
          <cell r="L448" t="str">
            <v>TUCHIN</v>
          </cell>
        </row>
        <row r="449">
          <cell r="A449">
            <v>21610409</v>
          </cell>
          <cell r="B449" t="str">
            <v>8909002860</v>
          </cell>
          <cell r="C449" t="str">
            <v>CATASTRO ANTIOQUIA.</v>
          </cell>
          <cell r="D449" t="str">
            <v>C.C.</v>
          </cell>
          <cell r="E449" t="str">
            <v>21610409</v>
          </cell>
          <cell r="F449" t="str">
            <v xml:space="preserve">BEDOYA GOEZ                    MARIA FRANQUELINA   </v>
          </cell>
          <cell r="G449">
            <v>1</v>
          </cell>
          <cell r="H449" t="str">
            <v>8371008006001100011000000000</v>
          </cell>
          <cell r="I449" t="str">
            <v xml:space="preserve">CL 52A N 46-96                                   </v>
          </cell>
          <cell r="J449" t="str">
            <v xml:space="preserve">034-48559      </v>
          </cell>
          <cell r="K449" t="str">
            <v>ANTIOQUIA</v>
          </cell>
          <cell r="L449" t="str">
            <v>TURBO</v>
          </cell>
        </row>
        <row r="450">
          <cell r="A450">
            <v>43781485</v>
          </cell>
          <cell r="B450" t="str">
            <v>8909002860</v>
          </cell>
          <cell r="C450" t="str">
            <v>CATASTRO ANTIOQUIA.</v>
          </cell>
          <cell r="D450" t="str">
            <v>C.C.</v>
          </cell>
          <cell r="E450" t="str">
            <v>43781485</v>
          </cell>
          <cell r="F450" t="str">
            <v xml:space="preserve">VIDALES AGUDELO                MARIA SOREIDA       </v>
          </cell>
          <cell r="G450">
            <v>1</v>
          </cell>
          <cell r="H450" t="str">
            <v>8471001003000600021000100001</v>
          </cell>
          <cell r="I450" t="str">
            <v xml:space="preserve">CR 33 N 19-70 A 101                              </v>
          </cell>
          <cell r="J450" t="str">
            <v xml:space="preserve">035-25483      </v>
          </cell>
          <cell r="K450" t="str">
            <v>ANTIOQUIA</v>
          </cell>
          <cell r="L450" t="str">
            <v>URRAO</v>
          </cell>
        </row>
      </sheetData>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1-Resumen Ejecutivo"/>
      <sheetName val="2-Presupuesto"/>
      <sheetName val="3-CANTIDADES"/>
      <sheetName val="4-APU"/>
      <sheetName val="4.1-APU Aux"/>
      <sheetName val="4.2-Insumos 2023"/>
      <sheetName val="4.3.1-CÁLCULO DE F. PREST"/>
      <sheetName val="4.3.2-JORNALES Y CUADRILLAS"/>
      <sheetName val="4.3.3-VIV-ALIM-TTE"/>
      <sheetName val="5-Costos Administracion"/>
      <sheetName val="5.1- Otros Costos Admin"/>
      <sheetName val="6.1 OBRA_PÓLIZAS"/>
      <sheetName val="6.2 PMGSA"/>
      <sheetName val="7.1-Base Calculo FM"/>
      <sheetName val="7.2-Interventoria"/>
      <sheetName val="Hoja1"/>
    </sheetNames>
    <sheetDataSet>
      <sheetData sheetId="0" refreshError="1"/>
      <sheetData sheetId="1" refreshError="1"/>
      <sheetData sheetId="2" refreshError="1"/>
      <sheetData sheetId="3" refreshError="1"/>
      <sheetData sheetId="4" refreshError="1"/>
      <sheetData sheetId="5"/>
      <sheetData sheetId="6"/>
      <sheetData sheetId="7"/>
      <sheetData sheetId="8" refreshError="1"/>
      <sheetData sheetId="9" refreshError="1"/>
      <sheetData sheetId="10" refreshError="1"/>
      <sheetData sheetId="11" refreshError="1"/>
      <sheetData sheetId="12"/>
      <sheetData sheetId="13" refreshError="1"/>
      <sheetData sheetId="14"/>
      <sheetData sheetId="15"/>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ACLARACIONES"/>
      <sheetName val="ENTIDADES"/>
      <sheetName val="DATOS INICIALES"/>
      <sheetName val="PRESUPUESTO"/>
      <sheetName val="MEMORIAS"/>
      <sheetName val="APU"/>
      <sheetName val="AIU"/>
      <sheetName val="LEGALIZACIÓN OBRA"/>
      <sheetName val="PMA"/>
      <sheetName val="PMT"/>
      <sheetName val="PAPSO OBRA"/>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APSO INTERVENTORÍA"/>
      <sheetName val="PÓLIZAS INTERVENTORÍ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_LEGALIZACIÓN"/>
      <sheetName val="OBRA_PÓLIZAS"/>
      <sheetName val="Menu"/>
      <sheetName val="5-Costos Administracion"/>
      <sheetName val="1-Resumen Ejecutivo"/>
      <sheetName val="2-Presupuesto"/>
      <sheetName val="3-Cant Obra"/>
      <sheetName val="4-APU"/>
      <sheetName val="4.1-APU Aux"/>
      <sheetName val="HIERRO"/>
      <sheetName val="4.2-Insumos BASE"/>
      <sheetName val="4.2-Insumos"/>
      <sheetName val="4.3-Factor Prest"/>
      <sheetName val="Polizas"/>
      <sheetName val="6-Costos Ambientales"/>
      <sheetName val="7-Interventoria"/>
      <sheetName val="7.1-Base Calculo FM"/>
      <sheetName val="Cadena de Valor"/>
      <sheetName val="9-Flujo de inversion"/>
      <sheetName val="9.1-Inv mens-Inv acum"/>
      <sheetName val="14-Propuesta de Giro SGR"/>
      <sheetName val="Salarios 2023"/>
    </sheetNames>
    <sheetDataSet>
      <sheetData sheetId="0"/>
      <sheetData sheetId="1"/>
      <sheetData sheetId="2"/>
      <sheetData sheetId="3"/>
      <sheetData sheetId="4"/>
      <sheetData sheetId="5">
        <row r="5">
          <cell r="B5" t="str">
            <v>Ítem</v>
          </cell>
          <cell r="C5" t="str">
            <v>Descripción</v>
          </cell>
          <cell r="D5" t="str">
            <v>Unidad</v>
          </cell>
          <cell r="E5" t="str">
            <v>Cant</v>
          </cell>
          <cell r="F5" t="str">
            <v>Vr Unit</v>
          </cell>
          <cell r="G5" t="str">
            <v>Vr. Total/U.V</v>
          </cell>
          <cell r="H5" t="str">
            <v>Vr. Total</v>
          </cell>
          <cell r="I5" t="str">
            <v>Vr Aproximado al peso</v>
          </cell>
        </row>
        <row r="6">
          <cell r="B6" t="str">
            <v>1.</v>
          </cell>
          <cell r="C6" t="str">
            <v>PRELIMINARES</v>
          </cell>
          <cell r="G6" t="str">
            <v/>
          </cell>
          <cell r="I6">
            <v>13772584</v>
          </cell>
        </row>
        <row r="7">
          <cell r="B7" t="str">
            <v>1.1</v>
          </cell>
          <cell r="C7" t="str">
            <v>Localizacion y replanteo metodo manual. incluye largueros, nylon, transporte interno y todo lo necesario para su correcta ejecucion.</v>
          </cell>
          <cell r="D7" t="str">
            <v>m2</v>
          </cell>
          <cell r="E7">
            <v>50.12</v>
          </cell>
          <cell r="F7">
            <v>3127</v>
          </cell>
          <cell r="G7">
            <v>156725</v>
          </cell>
          <cell r="H7">
            <v>8776600</v>
          </cell>
        </row>
        <row r="8">
          <cell r="B8" t="str">
            <v>1.2</v>
          </cell>
          <cell r="C8" t="str">
            <v>Nivelacion del terreno metodo manual. incluye herramienta para apisonado.</v>
          </cell>
          <cell r="D8" t="str">
            <v>m2</v>
          </cell>
          <cell r="E8">
            <v>50.12</v>
          </cell>
          <cell r="F8">
            <v>1780</v>
          </cell>
          <cell r="G8">
            <v>89214</v>
          </cell>
          <cell r="H8">
            <v>4995984</v>
          </cell>
        </row>
        <row r="9">
          <cell r="B9" t="str">
            <v>2.</v>
          </cell>
          <cell r="C9" t="str">
            <v>EXCAVACIONES Y CIMENTACIONES</v>
          </cell>
          <cell r="G9" t="str">
            <v/>
          </cell>
          <cell r="I9">
            <v>304558240</v>
          </cell>
        </row>
        <row r="10">
          <cell r="B10" t="str">
            <v>2.1</v>
          </cell>
          <cell r="C10"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D10" t="str">
            <v>m3</v>
          </cell>
          <cell r="E10">
            <v>14.16</v>
          </cell>
          <cell r="F10">
            <v>25040</v>
          </cell>
          <cell r="G10">
            <v>354566</v>
          </cell>
          <cell r="H10">
            <v>19855696</v>
          </cell>
        </row>
        <row r="11">
          <cell r="B11" t="str">
            <v>2.2</v>
          </cell>
          <cell r="C11" t="str">
            <v>Viga de fundación en concreto de 21 mpa a nivel de cimentacion, de seccion 30 x 30 cms. incluye formaleta, equipo y todo lo necesario para su correcta colocacion y funcionamiento.</v>
          </cell>
          <cell r="D11" t="str">
            <v>m</v>
          </cell>
          <cell r="E11">
            <v>35.799999999999997</v>
          </cell>
          <cell r="F11">
            <v>95655</v>
          </cell>
          <cell r="G11">
            <v>3424449</v>
          </cell>
          <cell r="H11">
            <v>191769144</v>
          </cell>
        </row>
        <row r="12">
          <cell r="B12" t="str">
            <v>2.3</v>
          </cell>
          <cell r="C12" t="str">
            <v xml:space="preserve">Sobrecimiento dos hiladas en bloque de 10 cm normalizado. incluye impermeabilización a 3 caras. </v>
          </cell>
          <cell r="D12" t="str">
            <v>m</v>
          </cell>
          <cell r="E12">
            <v>33.450000000000003</v>
          </cell>
          <cell r="F12">
            <v>26800</v>
          </cell>
          <cell r="G12">
            <v>896460</v>
          </cell>
          <cell r="H12">
            <v>50201760</v>
          </cell>
        </row>
        <row r="13">
          <cell r="B13" t="str">
            <v>2.4</v>
          </cell>
          <cell r="C13" t="str">
            <v>Zapata de cimentación para columna metálica en concreto de 21mpa, de sección 80x80 cms.  incluye todo lo necesario para su correcta colocación y funcionamiento</v>
          </cell>
          <cell r="D13" t="str">
            <v>Un</v>
          </cell>
          <cell r="E13">
            <v>1</v>
          </cell>
          <cell r="F13">
            <v>157229</v>
          </cell>
          <cell r="G13">
            <v>157229</v>
          </cell>
          <cell r="H13">
            <v>8804824</v>
          </cell>
        </row>
        <row r="14">
          <cell r="B14" t="str">
            <v>2.5</v>
          </cell>
          <cell r="C14" t="str">
            <v>Botada de escombros provenientes de construcción y material sobrante de la excavación. no se permite disposición en el lote</v>
          </cell>
          <cell r="D14" t="str">
            <v>m3</v>
          </cell>
          <cell r="E14">
            <v>18.41</v>
          </cell>
          <cell r="F14">
            <v>32908</v>
          </cell>
          <cell r="G14">
            <v>605836</v>
          </cell>
          <cell r="H14">
            <v>33926816</v>
          </cell>
        </row>
        <row r="15">
          <cell r="B15" t="str">
            <v>3.</v>
          </cell>
          <cell r="C15" t="str">
            <v>ELEMENTOS ESTRUCTURALES</v>
          </cell>
          <cell r="G15" t="str">
            <v/>
          </cell>
          <cell r="I15">
            <v>559445712</v>
          </cell>
        </row>
        <row r="16">
          <cell r="B16" t="str">
            <v>3.1</v>
          </cell>
          <cell r="C16" t="str">
            <v>Viga de amarre superior en concreto a la vista de 21 mpa sobre mamposteria, de seccion 10 x 20 cms. incluye formaleta, equipo y todo lo necesario para su correcta colocacion y funcionamiento.</v>
          </cell>
          <cell r="D16" t="str">
            <v>m</v>
          </cell>
          <cell r="E16">
            <v>36.25</v>
          </cell>
          <cell r="F16">
            <v>44999</v>
          </cell>
          <cell r="G16">
            <v>1631214</v>
          </cell>
          <cell r="H16">
            <v>91347984</v>
          </cell>
        </row>
        <row r="17">
          <cell r="B17" t="str">
            <v>3.2</v>
          </cell>
          <cell r="C17" t="str">
            <v>Viga cinta en concreto a la vista de 21 mpa sobre mamposteria, de seccion 10 x 10 cms. incluye formaleta, equipo y todo lo necesario para su correcta colocacion y funcionamiento.</v>
          </cell>
          <cell r="D17" t="str">
            <v>m</v>
          </cell>
          <cell r="E17">
            <v>24.65</v>
          </cell>
          <cell r="F17">
            <v>31475</v>
          </cell>
          <cell r="G17">
            <v>775859</v>
          </cell>
          <cell r="H17">
            <v>43448104</v>
          </cell>
        </row>
        <row r="18">
          <cell r="B18" t="str">
            <v>3.3</v>
          </cell>
          <cell r="C18" t="str">
            <v>Columna de confinamiento en concreto de a la vista 21 mpa  de seccion 0.15x0.20 m. incluye refuerzo en acero según diseño.</v>
          </cell>
          <cell r="D18" t="str">
            <v>m</v>
          </cell>
          <cell r="E18">
            <v>36.6</v>
          </cell>
          <cell r="F18">
            <v>90057</v>
          </cell>
          <cell r="G18">
            <v>3296086</v>
          </cell>
          <cell r="H18">
            <v>184580816</v>
          </cell>
        </row>
        <row r="19">
          <cell r="B19" t="str">
            <v>3.4</v>
          </cell>
          <cell r="C19" t="str">
            <v>Construccion de piso en concreto de 21 mpa para baño, acabado escobillado, e=10 cm, reforzado con malla electrosoldada d84. con desnivel hacia desague para evitar encharcamiento, con zona de encharque en ducha de -0,03m, incluye el concreto, la malla, formaleteria, polietileno y todo lo necesario para su correcta instalacion.</v>
          </cell>
          <cell r="D19" t="str">
            <v>m2</v>
          </cell>
          <cell r="E19">
            <v>2.2999999999999998</v>
          </cell>
          <cell r="F19">
            <v>93437</v>
          </cell>
          <cell r="G19">
            <v>214905</v>
          </cell>
          <cell r="H19">
            <v>12034680</v>
          </cell>
        </row>
        <row r="20">
          <cell r="B20" t="str">
            <v>3.5</v>
          </cell>
          <cell r="C20" t="str">
            <v>Construccion de piso en concreto de 21 mpa, acabado escobillado, e=10 cm, reforzado con malla electrosoldada d106. incluye el concreto, la malla, formaleteria, material de recebo b-200 e=10 cm, polietileno y todo lo necesario para su correcta instalacion.</v>
          </cell>
          <cell r="D20" t="str">
            <v>m2</v>
          </cell>
          <cell r="E20">
            <v>41.63</v>
          </cell>
          <cell r="F20">
            <v>97815</v>
          </cell>
          <cell r="G20">
            <v>4072038</v>
          </cell>
          <cell r="H20">
            <v>228034128</v>
          </cell>
        </row>
        <row r="21">
          <cell r="B21" t="str">
            <v>4.</v>
          </cell>
          <cell r="C21" t="str">
            <v>MAMPOSTERIA Y ELEMENTOS NO ESTRUCTURALES</v>
          </cell>
          <cell r="G21" t="str">
            <v/>
          </cell>
          <cell r="I21">
            <v>268165968</v>
          </cell>
        </row>
        <row r="22">
          <cell r="B22" t="str">
            <v>4.1</v>
          </cell>
          <cell r="C22" t="str">
            <v>Construccion de mamposteria en ladrillo, perforacion horizontal, de 10x20x40 cm. revitada a dos caras, sin rebabas. incluye el suministro, transporte y colocacion del ladrillo, el mortero de pega, espesor de pega max=0.02 m y todos los elementos necesarios para su correcta instalacion.</v>
          </cell>
          <cell r="D22" t="str">
            <v>m2</v>
          </cell>
          <cell r="E22">
            <v>67.349999999999994</v>
          </cell>
          <cell r="F22">
            <v>57990</v>
          </cell>
          <cell r="G22">
            <v>3905627</v>
          </cell>
          <cell r="H22">
            <v>218715112</v>
          </cell>
        </row>
        <row r="23">
          <cell r="B23" t="str">
            <v>4.2</v>
          </cell>
          <cell r="C23" t="str">
            <v>Construccion de mamposteria en muro calado de 10x20x20 cm. en zona de baños, según detalle. revitado a dos caras, sin rebabas. incluye el suministro, transporte y colocacion del ladrillo, el mortero de pega, espesor de pega max=0.02 m y todos los elementos necesarios para su correcta instalacion.</v>
          </cell>
          <cell r="D23" t="str">
            <v>m2</v>
          </cell>
          <cell r="E23">
            <v>0.48</v>
          </cell>
          <cell r="F23">
            <v>72009</v>
          </cell>
          <cell r="G23">
            <v>34564</v>
          </cell>
          <cell r="H23">
            <v>1935584</v>
          </cell>
        </row>
        <row r="24">
          <cell r="B24" t="str">
            <v>4.3</v>
          </cell>
          <cell r="C24" t="str">
            <v>Encorazado en liston de madera chanul</v>
          </cell>
          <cell r="D24" t="str">
            <v>m</v>
          </cell>
          <cell r="E24">
            <v>28.24</v>
          </cell>
          <cell r="F24">
            <v>11549</v>
          </cell>
          <cell r="G24">
            <v>326144</v>
          </cell>
          <cell r="H24">
            <v>18264064</v>
          </cell>
        </row>
        <row r="25">
          <cell r="B25" t="str">
            <v>4.4</v>
          </cell>
          <cell r="C25" t="str">
            <v>Revoque para adecuacion de superficie en zonas de salpicadero en cocina y lavadero para instalación de enchape. altura de 40 cms</v>
          </cell>
          <cell r="D25" t="str">
            <v>m2</v>
          </cell>
          <cell r="E25">
            <v>5.92</v>
          </cell>
          <cell r="F25">
            <v>16746</v>
          </cell>
          <cell r="G25">
            <v>99136</v>
          </cell>
          <cell r="H25">
            <v>5551616</v>
          </cell>
        </row>
        <row r="26">
          <cell r="B26" t="str">
            <v>4.5</v>
          </cell>
          <cell r="C26" t="str">
            <v>Meson de 1.20mx0.50m en acero inoxidable, con poceta derecha, incluye 2 machones de soporte. desagues y demas elementos</v>
          </cell>
          <cell r="D26" t="str">
            <v>Un</v>
          </cell>
          <cell r="E26">
            <v>1</v>
          </cell>
          <cell r="F26">
            <v>423207</v>
          </cell>
          <cell r="G26">
            <v>423207</v>
          </cell>
          <cell r="H26">
            <v>23699592</v>
          </cell>
        </row>
        <row r="27">
          <cell r="B27" t="str">
            <v>5.</v>
          </cell>
          <cell r="C27" t="str">
            <v>INSTALACIONES HIDRÁULICAS E HIDROSANITARIAS</v>
          </cell>
          <cell r="G27" t="str">
            <v/>
          </cell>
          <cell r="I27">
            <v>71283968</v>
          </cell>
        </row>
        <row r="28">
          <cell r="B28" t="str">
            <v>5.1</v>
          </cell>
          <cell r="C28" t="str">
            <v>Punto hidráulico en pvc-p 1/2" rde 13.5, incluye tubería presión, accesorios, limpiador, soldadura y todos los elementos necesarios para su correcta instalación.</v>
          </cell>
          <cell r="D28" t="str">
            <v>Un</v>
          </cell>
          <cell r="E28">
            <v>4</v>
          </cell>
          <cell r="F28">
            <v>16544</v>
          </cell>
          <cell r="G28">
            <v>66176</v>
          </cell>
          <cell r="H28">
            <v>3705856</v>
          </cell>
        </row>
        <row r="29">
          <cell r="B29" t="str">
            <v>5.2</v>
          </cell>
          <cell r="C29" t="str">
            <v>Suministro, transporte e instalación de tubería pvc-p x 1/2" rde-13.5, incluye tubería presión, accesorios, limpiador, soldadura y todos los elementos necesarios para su correcta instalación.</v>
          </cell>
          <cell r="D29" t="str">
            <v>m</v>
          </cell>
          <cell r="E29">
            <v>10</v>
          </cell>
          <cell r="F29">
            <v>9824</v>
          </cell>
          <cell r="G29">
            <v>98240</v>
          </cell>
          <cell r="H29">
            <v>5501440</v>
          </cell>
        </row>
        <row r="30">
          <cell r="B30" t="str">
            <v>5.3</v>
          </cell>
          <cell r="C30" t="str">
            <v>Suministro e instalación válvula de bola en pvc 1/2" extremo soldado. se entregará debidamente instalada sin presencia de fugas ni fisuras.</v>
          </cell>
          <cell r="D30" t="str">
            <v>Un</v>
          </cell>
          <cell r="E30">
            <v>1</v>
          </cell>
          <cell r="F30">
            <v>12285</v>
          </cell>
          <cell r="G30">
            <v>12285</v>
          </cell>
          <cell r="H30">
            <v>687960</v>
          </cell>
        </row>
        <row r="31">
          <cell r="B31" t="str">
            <v>5.4</v>
          </cell>
          <cell r="C31" t="str">
            <v>Salidas sanitarias de 2" incluye materiales, accesorios y todos los elementos necesarios para su correcta instalación y funcionamiento</v>
          </cell>
          <cell r="D31" t="str">
            <v>Un</v>
          </cell>
          <cell r="E31">
            <v>4</v>
          </cell>
          <cell r="F31">
            <v>24402</v>
          </cell>
          <cell r="G31">
            <v>97608</v>
          </cell>
          <cell r="H31">
            <v>5466048</v>
          </cell>
        </row>
        <row r="32">
          <cell r="B32" t="str">
            <v>5.5</v>
          </cell>
          <cell r="C32" t="str">
            <v>Salida sanitaria de 4" incluye materiales, accesorios y todos los elementos necesarios para su correcta instalación y funcionamiento</v>
          </cell>
          <cell r="D32" t="str">
            <v>Un</v>
          </cell>
          <cell r="E32">
            <v>1</v>
          </cell>
          <cell r="F32">
            <v>34185</v>
          </cell>
          <cell r="G32">
            <v>34185</v>
          </cell>
          <cell r="H32">
            <v>1914360</v>
          </cell>
        </row>
        <row r="33">
          <cell r="B33" t="str">
            <v>5.6</v>
          </cell>
          <cell r="C33" t="str">
            <v>Red sanitaria de piso para en tubería pvc-s 2", incuye accesorios y todo lo necesario para su correcta instalación.</v>
          </cell>
          <cell r="D33" t="str">
            <v>m</v>
          </cell>
          <cell r="E33">
            <v>4.5</v>
          </cell>
          <cell r="F33">
            <v>23068</v>
          </cell>
          <cell r="G33">
            <v>103806</v>
          </cell>
          <cell r="H33">
            <v>5813136</v>
          </cell>
        </row>
        <row r="34">
          <cell r="B34" t="str">
            <v>5.7</v>
          </cell>
          <cell r="C34" t="str">
            <v>Red sanitaria de piso en tubería pvc-s 4", incuye accesorios y todo lo necesario para su correcta instalación. sometida al sistema ya presurizado.</v>
          </cell>
          <cell r="D34" t="str">
            <v>m</v>
          </cell>
          <cell r="E34">
            <v>14</v>
          </cell>
          <cell r="F34">
            <v>37572</v>
          </cell>
          <cell r="G34">
            <v>526008</v>
          </cell>
          <cell r="H34">
            <v>29456448</v>
          </cell>
        </row>
        <row r="35">
          <cell r="B35" t="str">
            <v>5.8</v>
          </cell>
          <cell r="C35" t="str">
            <v>Suministro e instalación de red sanitaria de ventilación en pvc-s 2". incuye accesorios y todo lo necesario para su correcta instalación.</v>
          </cell>
          <cell r="D35" t="str">
            <v>m</v>
          </cell>
          <cell r="E35">
            <v>3.5</v>
          </cell>
          <cell r="F35">
            <v>22888</v>
          </cell>
          <cell r="G35">
            <v>80108</v>
          </cell>
          <cell r="H35">
            <v>4486048</v>
          </cell>
        </row>
        <row r="36">
          <cell r="B36" t="str">
            <v>5.9</v>
          </cell>
          <cell r="C36" t="str">
            <v>Construcción de caja de empalme, dimensiones de 0,5 m x 0,5 mts, con altura de 0,7 m-espesor de paredes 0,1 mts.  incluye: herraje para tapa, cañuela y todos los materiales indicados en el plano, mano de obra, herramientas, formaleta, equipo, concreto de 21 mpa, todos los demás elementos necesarios para el normal desarrollo de la actividad.</v>
          </cell>
          <cell r="D36" t="str">
            <v>Un</v>
          </cell>
          <cell r="E36">
            <v>1</v>
          </cell>
          <cell r="F36">
            <v>254512</v>
          </cell>
          <cell r="G36">
            <v>254512</v>
          </cell>
          <cell r="H36">
            <v>14252672</v>
          </cell>
        </row>
        <row r="37">
          <cell r="B37" t="str">
            <v>6.</v>
          </cell>
          <cell r="C37" t="str">
            <v>INSTALACIONES ELECTRICAS</v>
          </cell>
          <cell r="G37" t="str">
            <v/>
          </cell>
          <cell r="I37">
            <v>127271256</v>
          </cell>
        </row>
        <row r="38">
          <cell r="B38" t="str">
            <v>6.1</v>
          </cell>
          <cell r="C38" t="str">
            <v>Suministro e instalación de toma corriente 125v doble con polo a tierra, 15a. de empotrar. incluye caja, accesorios, fijaciones y todos los elementos para su correcta instalación. los materiales deben cumplir con certificación retie.</v>
          </cell>
          <cell r="D38" t="str">
            <v>Un</v>
          </cell>
          <cell r="E38">
            <v>10</v>
          </cell>
          <cell r="F38">
            <v>8976</v>
          </cell>
          <cell r="G38">
            <v>89760</v>
          </cell>
          <cell r="H38">
            <v>5026560</v>
          </cell>
        </row>
        <row r="39">
          <cell r="B39" t="str">
            <v>6.2</v>
          </cell>
          <cell r="C39" t="str">
            <v>Suministro e instalación de tomas gfci, blanca, de empotrar. incluye caja, accesorios, fijaciones y todos los elementos para su correcta instalación. los materiales deben cumplir con certificación retie.</v>
          </cell>
          <cell r="D39" t="str">
            <v>Un</v>
          </cell>
          <cell r="E39">
            <v>2</v>
          </cell>
          <cell r="F39">
            <v>38266</v>
          </cell>
          <cell r="G39">
            <v>76532</v>
          </cell>
          <cell r="H39">
            <v>4285792</v>
          </cell>
        </row>
        <row r="40">
          <cell r="B40" t="str">
            <v>6.3</v>
          </cell>
          <cell r="C40" t="str">
            <v xml:space="preserve">Suministro e instalación de interruptor sencillo blanco, de empotrar. incluye caja, accesorios, fijaciones y todos los elementos para su correcta instalación. los materiales deben cumplir con certificación retie. </v>
          </cell>
          <cell r="D40" t="str">
            <v>Un</v>
          </cell>
          <cell r="E40">
            <v>6</v>
          </cell>
          <cell r="F40">
            <v>8576</v>
          </cell>
          <cell r="G40">
            <v>51456</v>
          </cell>
          <cell r="H40">
            <v>2881536</v>
          </cell>
        </row>
        <row r="41">
          <cell r="B41" t="str">
            <v>6.4</v>
          </cell>
          <cell r="C41" t="str">
            <v xml:space="preserve">Suministro e instalación de interruptor doble, blanco, de empotrar. incluye caja, accesorios, fijaciones y todos los elementos para su correcta instalación. los materiales deben cumplir con certificación retie. </v>
          </cell>
          <cell r="D41" t="str">
            <v>Un</v>
          </cell>
          <cell r="E41">
            <v>1</v>
          </cell>
          <cell r="F41">
            <v>10376</v>
          </cell>
          <cell r="G41">
            <v>10376</v>
          </cell>
          <cell r="H41">
            <v>581056</v>
          </cell>
        </row>
        <row r="42">
          <cell r="B42" t="str">
            <v>6.5</v>
          </cell>
          <cell r="C42" t="str">
            <v xml:space="preserve">Suministro e instalación de plafones, salidas para iluminación. en baquelita, blanco, de sobreponer. incluye caja, accesorios, fijaciones y todos los elementos para su correcta instalación. los materiales deben cumplir con certificación retie. </v>
          </cell>
          <cell r="D42" t="str">
            <v>Un</v>
          </cell>
          <cell r="E42">
            <v>8</v>
          </cell>
          <cell r="F42">
            <v>6076</v>
          </cell>
          <cell r="G42">
            <v>48608</v>
          </cell>
          <cell r="H42">
            <v>2722048</v>
          </cell>
        </row>
        <row r="43">
          <cell r="B43" t="str">
            <v>6.6</v>
          </cell>
          <cell r="C43" t="str">
            <v xml:space="preserve">Suministro e instalación de protección del circuito de 1x20a.  los materiales deben cumplir con certificación retie. </v>
          </cell>
          <cell r="D43" t="str">
            <v>Un</v>
          </cell>
          <cell r="E43">
            <v>4</v>
          </cell>
          <cell r="F43">
            <v>11342</v>
          </cell>
          <cell r="G43">
            <v>45368</v>
          </cell>
          <cell r="H43">
            <v>2540608</v>
          </cell>
        </row>
        <row r="44">
          <cell r="B44" t="str">
            <v>6.7</v>
          </cell>
          <cell r="C44" t="str">
            <v xml:space="preserve">Suministro e instalación de protección del circuito de 1x30a.  los materiales deben cumplir con certificación retie. </v>
          </cell>
          <cell r="D44" t="str">
            <v>Un</v>
          </cell>
          <cell r="E44">
            <v>1</v>
          </cell>
          <cell r="F44">
            <v>11342</v>
          </cell>
          <cell r="G44">
            <v>11342</v>
          </cell>
          <cell r="H44">
            <v>635152</v>
          </cell>
        </row>
        <row r="45">
          <cell r="B45" t="str">
            <v>6.8</v>
          </cell>
          <cell r="C45" t="str">
            <v xml:space="preserve">Suministro e instalación de cable antifraude 2 n° 8 cu thwn + 1 n° 10 cu thwn para acometida.  los materiales deben cumplir con certificación retie. </v>
          </cell>
          <cell r="D45" t="str">
            <v>m</v>
          </cell>
          <cell r="E45">
            <v>12</v>
          </cell>
          <cell r="F45">
            <v>46578</v>
          </cell>
          <cell r="G45">
            <v>558936</v>
          </cell>
          <cell r="H45">
            <v>31300416</v>
          </cell>
        </row>
        <row r="46">
          <cell r="B46" t="str">
            <v>6.9</v>
          </cell>
          <cell r="C46" t="str">
            <v xml:space="preserve">Suministro e instalación de tubería pvc 1/2" tipo conduit o similar. incluye accesorios y todos los elementos para su correcta instalación. los materiales deben cumplir con certificación retie. </v>
          </cell>
          <cell r="D46" t="str">
            <v>m</v>
          </cell>
          <cell r="E46">
            <v>70</v>
          </cell>
          <cell r="F46">
            <v>4166</v>
          </cell>
          <cell r="G46">
            <v>291620</v>
          </cell>
          <cell r="H46">
            <v>16330720</v>
          </cell>
        </row>
        <row r="47">
          <cell r="B47" t="str">
            <v>6.10</v>
          </cell>
          <cell r="C47" t="str">
            <v xml:space="preserve">Suministro e instalación de cable de cobre n° 12awu-cu-thhn-thwn 90°c.  los materiales deben cumplir con certificación retie. </v>
          </cell>
          <cell r="D47" t="str">
            <v>m</v>
          </cell>
          <cell r="E47">
            <v>210</v>
          </cell>
          <cell r="F47">
            <v>3877</v>
          </cell>
          <cell r="G47">
            <v>814170</v>
          </cell>
          <cell r="H47">
            <v>45593520</v>
          </cell>
        </row>
        <row r="48">
          <cell r="B48" t="str">
            <v>6.11</v>
          </cell>
          <cell r="C48" t="str">
            <v>Suministro e instalación de contador bifasico con todos los elementos para su correcta instalación. los materiales deben cumplir con certificacion retie.</v>
          </cell>
          <cell r="D48" t="str">
            <v>Un</v>
          </cell>
          <cell r="E48">
            <v>1</v>
          </cell>
          <cell r="F48">
            <v>119443</v>
          </cell>
          <cell r="G48">
            <v>119443</v>
          </cell>
          <cell r="H48">
            <v>6688808</v>
          </cell>
        </row>
        <row r="49">
          <cell r="B49" t="str">
            <v>6.12</v>
          </cell>
          <cell r="C49" t="str">
            <v>Suministro e instalación de varilla de puesta a tierra, con conector y cable.  debe cumplir con certificacion retie.</v>
          </cell>
          <cell r="D49" t="str">
            <v>Un</v>
          </cell>
          <cell r="E49">
            <v>1</v>
          </cell>
          <cell r="F49">
            <v>78383</v>
          </cell>
          <cell r="G49">
            <v>78383</v>
          </cell>
          <cell r="H49">
            <v>4389448</v>
          </cell>
        </row>
        <row r="50">
          <cell r="B50" t="str">
            <v>6.13</v>
          </cell>
          <cell r="C50" t="str">
            <v>Suministro e instalación de tablero de distribución con todos los elementos para su correcta instalación. los materiales deben cumplir con certificacion retie.</v>
          </cell>
          <cell r="D50" t="str">
            <v>Un</v>
          </cell>
          <cell r="E50">
            <v>1</v>
          </cell>
          <cell r="F50">
            <v>59641</v>
          </cell>
          <cell r="G50">
            <v>59641</v>
          </cell>
          <cell r="H50">
            <v>3339896</v>
          </cell>
        </row>
        <row r="51">
          <cell r="B51" t="str">
            <v>6.14</v>
          </cell>
          <cell r="C51" t="str">
            <v xml:space="preserve">Suministro e instalación de toma corriente 220v doble pata trabada con polo a tierra, 30a.  incluye accesorios y todos los elementos para su correcta instalación. los materiales deben cumplir con certificación retie. </v>
          </cell>
          <cell r="D51" t="str">
            <v>Un</v>
          </cell>
          <cell r="E51">
            <v>1</v>
          </cell>
          <cell r="F51">
            <v>17066</v>
          </cell>
          <cell r="G51">
            <v>17066</v>
          </cell>
          <cell r="H51">
            <v>955696</v>
          </cell>
        </row>
        <row r="52">
          <cell r="B52" t="str">
            <v>7.</v>
          </cell>
          <cell r="C52" t="str">
            <v>ENCHAPES Y ACABADOS</v>
          </cell>
          <cell r="I52">
            <v>37805712</v>
          </cell>
        </row>
        <row r="53">
          <cell r="B53" t="str">
            <v>7.1</v>
          </cell>
          <cell r="C53" t="str">
            <v>Enchape ceramico para piso 33.8x33.8 cm, uso residencial, según diseño arquitectónico, Acabado mate, color blanco para baños. Incluye pega para ceramica, boquilla y demás elementos necesarios para una correcta instalación</v>
          </cell>
          <cell r="D53" t="str">
            <v>m2</v>
          </cell>
          <cell r="E53">
            <v>2.2799999999999998</v>
          </cell>
          <cell r="F53">
            <v>56571</v>
          </cell>
          <cell r="G53">
            <v>128982</v>
          </cell>
          <cell r="H53">
            <v>7222992</v>
          </cell>
        </row>
        <row r="54">
          <cell r="B54" t="str">
            <v>7.2</v>
          </cell>
          <cell r="C54" t="str">
            <v>Enchape ceramico para pared 20.5 x 20.5 tipo egeo o similar, uso residencial, según diseño arquitectónico, color blanco. Para baños y cocinas. Instalar en sentido horizontal sobre Revoque. Incluye pega para ceramica, boquilla y demas elementos necesarios para una correcta instalación.</v>
          </cell>
          <cell r="D54" t="str">
            <v>m2</v>
          </cell>
          <cell r="E54">
            <v>5.92</v>
          </cell>
          <cell r="F54">
            <v>47317</v>
          </cell>
          <cell r="G54">
            <v>280117</v>
          </cell>
          <cell r="H54">
            <v>15686552</v>
          </cell>
        </row>
        <row r="55">
          <cell r="B55" t="str">
            <v>7.3</v>
          </cell>
          <cell r="C55" t="str">
            <v>Aplicacion de pintura acrilica para exteriores (tipo koraza o similar) sobre adobe en fachada, dos manos, color a definir. incluye adecuacion de la superficie antes de aplicacion, limpieza de superficie, resanes de perforaciones menores, aplicacion final y todo lo necesario para su correcto acabado.</v>
          </cell>
          <cell r="D55" t="str">
            <v>m2</v>
          </cell>
          <cell r="E55">
            <v>18.52</v>
          </cell>
          <cell r="F55">
            <v>14363</v>
          </cell>
          <cell r="G55">
            <v>266003</v>
          </cell>
          <cell r="H55">
            <v>14896168</v>
          </cell>
        </row>
        <row r="56">
          <cell r="B56" t="str">
            <v>8.</v>
          </cell>
          <cell r="C56" t="str">
            <v>CUBIERTA</v>
          </cell>
          <cell r="G56" t="str">
            <v/>
          </cell>
          <cell r="I56">
            <v>388657416</v>
          </cell>
        </row>
        <row r="57">
          <cell r="B57" t="str">
            <v>8.1</v>
          </cell>
          <cell r="C57" t="str">
            <v>Suministro, transporte e instalacion de cubierta en teja ecoroof, incluye sistemas de anclaje a elementos estructurales y de fijacion. la medida sera tomada en pendiente de cubierta.</v>
          </cell>
          <cell r="D57" t="str">
            <v>m2</v>
          </cell>
          <cell r="E57">
            <v>54.56</v>
          </cell>
          <cell r="F57">
            <v>82138</v>
          </cell>
          <cell r="G57">
            <v>4481449</v>
          </cell>
          <cell r="H57">
            <v>250961144</v>
          </cell>
        </row>
        <row r="58">
          <cell r="B58" t="str">
            <v>8.2</v>
          </cell>
          <cell r="C58" t="str">
            <v>Suministro e instalación de correas metálicas phr c 120x60x1.2mm.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58" t="str">
            <v>m</v>
          </cell>
          <cell r="E58">
            <v>25.2</v>
          </cell>
          <cell r="F58">
            <v>37533</v>
          </cell>
          <cell r="G58">
            <v>945832</v>
          </cell>
          <cell r="H58">
            <v>52966592</v>
          </cell>
        </row>
        <row r="59">
          <cell r="B59" t="str">
            <v>8.3</v>
          </cell>
          <cell r="C59" t="str">
            <v>Suministro e instalación de correas metálicas phr c 120x60x3.0mm.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59" t="str">
            <v>m</v>
          </cell>
          <cell r="E59">
            <v>25.2</v>
          </cell>
          <cell r="F59">
            <v>48640</v>
          </cell>
          <cell r="G59">
            <v>1225728</v>
          </cell>
          <cell r="H59">
            <v>68640768</v>
          </cell>
        </row>
        <row r="60">
          <cell r="B60" t="str">
            <v>8.4</v>
          </cell>
          <cell r="C60" t="str">
            <v>Suministro e instalación de columna metálica pts 100x100x4mm.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60" t="str">
            <v>m</v>
          </cell>
          <cell r="E60">
            <v>2.4</v>
          </cell>
          <cell r="F60">
            <v>119709</v>
          </cell>
          <cell r="G60">
            <v>287302</v>
          </cell>
          <cell r="H60">
            <v>16088912</v>
          </cell>
        </row>
        <row r="61">
          <cell r="B61" t="str">
            <v>9.</v>
          </cell>
          <cell r="C61" t="str">
            <v>APARATOS Y MUEBLES ESPECIALES</v>
          </cell>
          <cell r="G61" t="str">
            <v/>
          </cell>
          <cell r="I61">
            <v>33094656</v>
          </cell>
        </row>
        <row r="62">
          <cell r="B62" t="str">
            <v>9.1</v>
          </cell>
          <cell r="C62" t="str">
            <v>Suministro e instalacion de rejilla de piso cuadrada para ducha 2". incluye material de pega y todo lo necesario para su correcta instalacion.</v>
          </cell>
          <cell r="D62" t="str">
            <v>Un</v>
          </cell>
          <cell r="E62">
            <v>2</v>
          </cell>
          <cell r="F62">
            <v>7430</v>
          </cell>
          <cell r="G62">
            <v>14860</v>
          </cell>
          <cell r="H62">
            <v>832160</v>
          </cell>
        </row>
        <row r="63">
          <cell r="B63" t="str">
            <v>9.2</v>
          </cell>
          <cell r="C63" t="str">
            <v>Sanitario económico, incluye accesorios y todos los materiales necesarios para su correcta ejecucion.</v>
          </cell>
          <cell r="D63" t="str">
            <v>Un</v>
          </cell>
          <cell r="E63">
            <v>1</v>
          </cell>
          <cell r="F63">
            <v>250995</v>
          </cell>
          <cell r="G63">
            <v>250995</v>
          </cell>
          <cell r="H63">
            <v>14055720</v>
          </cell>
        </row>
        <row r="64">
          <cell r="B64" t="str">
            <v>9.3</v>
          </cell>
          <cell r="C64" t="str">
            <v>Griferia sencilla para ducha. comprende el suministro e instalacion de griferia sencilla (monocontrol) referencia piscis o equivalente.</v>
          </cell>
          <cell r="D64" t="str">
            <v>Un</v>
          </cell>
          <cell r="E64">
            <v>1</v>
          </cell>
          <cell r="F64">
            <v>45656</v>
          </cell>
          <cell r="G64">
            <v>45656</v>
          </cell>
          <cell r="H64">
            <v>2556736</v>
          </cell>
        </row>
        <row r="65">
          <cell r="B65" t="str">
            <v>9.4</v>
          </cell>
          <cell r="C65" t="str">
            <v>Griferia sencilla para lavaplatos. comprende el suministro e instalacion de griferia sencilla tipo cuello de ganso (monocontrol) referencia piscis o equivalente.</v>
          </cell>
          <cell r="D65" t="str">
            <v>Un</v>
          </cell>
          <cell r="E65">
            <v>1</v>
          </cell>
          <cell r="F65">
            <v>51813</v>
          </cell>
          <cell r="G65">
            <v>51813</v>
          </cell>
          <cell r="H65">
            <v>2901528</v>
          </cell>
        </row>
        <row r="66">
          <cell r="B66" t="str">
            <v>9.5</v>
          </cell>
          <cell r="C66" t="str">
            <v>Suministro, transporte e instalacion de lavadero de 100x60 cm en grano blanco; incluye muretes de soporte.</v>
          </cell>
          <cell r="D66" t="str">
            <v>Un</v>
          </cell>
          <cell r="E66">
            <v>1</v>
          </cell>
          <cell r="F66">
            <v>227652</v>
          </cell>
          <cell r="G66">
            <v>227652</v>
          </cell>
          <cell r="H66">
            <v>12748512</v>
          </cell>
        </row>
        <row r="67">
          <cell r="B67" t="str">
            <v>10.</v>
          </cell>
          <cell r="C67" t="str">
            <v>CARPINTERIA EN MADERA</v>
          </cell>
          <cell r="G67" t="str">
            <v/>
          </cell>
          <cell r="I67">
            <v>94970288</v>
          </cell>
        </row>
        <row r="68">
          <cell r="B68" t="str">
            <v>10.1</v>
          </cell>
          <cell r="C68" t="str">
            <v>Suministro de puerta en madera tipo economica de 1.00x2.10 m, incluye marco, chapa economica, bisagras y demas elementos para su correcto funcionamiento.</v>
          </cell>
          <cell r="D68" t="str">
            <v>Un</v>
          </cell>
          <cell r="E68">
            <v>2</v>
          </cell>
          <cell r="F68">
            <v>285109</v>
          </cell>
          <cell r="G68">
            <v>570218</v>
          </cell>
          <cell r="H68">
            <v>31932208</v>
          </cell>
        </row>
        <row r="69">
          <cell r="B69" t="str">
            <v>10.2</v>
          </cell>
          <cell r="C69" t="str">
            <v>Suministro de puerta en madera tipo economica de 0.80x2.10 m, incluye marco, chapa economica, bisagras y demas elementos para su correcto funcionamiento.</v>
          </cell>
          <cell r="D69" t="str">
            <v>Un</v>
          </cell>
          <cell r="E69">
            <v>1</v>
          </cell>
          <cell r="F69">
            <v>274645</v>
          </cell>
          <cell r="G69">
            <v>274645</v>
          </cell>
          <cell r="H69">
            <v>15380120</v>
          </cell>
        </row>
        <row r="70">
          <cell r="B70" t="str">
            <v>10.3</v>
          </cell>
          <cell r="C70" t="str">
            <v>Suministro de ventana en madera tipo economica de 1.20x1.40 m, incluye marco, bisagras y demas elementos para su correcto funcionamiento.</v>
          </cell>
          <cell r="D70" t="str">
            <v>Un</v>
          </cell>
          <cell r="E70">
            <v>3</v>
          </cell>
          <cell r="F70">
            <v>220779</v>
          </cell>
          <cell r="G70">
            <v>662337</v>
          </cell>
          <cell r="H70">
            <v>37090872</v>
          </cell>
        </row>
        <row r="71">
          <cell r="B71" t="str">
            <v>10.4</v>
          </cell>
          <cell r="C71" t="str">
            <v>Suministro de ventana en madera tipo economica de 1.20x1.20 m, incluye marco, bisagras y demas elementos para su correcto funcionamiento.</v>
          </cell>
          <cell r="D71" t="str">
            <v>Un</v>
          </cell>
          <cell r="E71">
            <v>1</v>
          </cell>
          <cell r="F71">
            <v>188698</v>
          </cell>
          <cell r="G71">
            <v>188698</v>
          </cell>
          <cell r="H71">
            <v>10567088</v>
          </cell>
        </row>
        <row r="72">
          <cell r="B72" t="str">
            <v>11.</v>
          </cell>
          <cell r="C72" t="str">
            <v>SISTEMA SÉPTICO</v>
          </cell>
          <cell r="G72" t="str">
            <v/>
          </cell>
          <cell r="I72">
            <v>140221256</v>
          </cell>
        </row>
        <row r="73">
          <cell r="B73" t="str">
            <v>11.1</v>
          </cell>
          <cell r="C73" t="str">
            <v xml:space="preserve">Sistema séptico en polietileno, compuesto por: trampa de grasas 250l, tanque séptico de 1000l y tanque para filtro anaeróbico de flujo ascendente -fafa 1000l. incuye accesorios y todos los elementos necesarios para su correcta instalación. sistema diseñado conforme al ras – resolución 0330 de 2017 y prefabricado conforme a la ntc 4384. </v>
          </cell>
          <cell r="D73" t="str">
            <v>Un</v>
          </cell>
          <cell r="E73">
            <v>1</v>
          </cell>
          <cell r="F73">
            <v>1849864</v>
          </cell>
          <cell r="G73">
            <v>1849864</v>
          </cell>
          <cell r="H73">
            <v>103592384</v>
          </cell>
        </row>
        <row r="74">
          <cell r="B74" t="str">
            <v>11.2</v>
          </cell>
          <cell r="C74" t="str">
            <v>Construccion de pozo de absorcion de 1.50 m x 1.50 m (profundidad de referencia 2,0 m) en mamposteria construido en sitio, para manejo de clarificante y disposicion final; incluye excavacion, accesorios pvc, concreto, formaletas y tapa</v>
          </cell>
          <cell r="D74" t="str">
            <v>Un</v>
          </cell>
          <cell r="E74">
            <v>1</v>
          </cell>
          <cell r="F74">
            <v>654087</v>
          </cell>
          <cell r="G74">
            <v>654087</v>
          </cell>
          <cell r="H74">
            <v>36628872</v>
          </cell>
        </row>
        <row r="75">
          <cell r="C75" t="str">
            <v>TOTAL COSTO DIRECTO</v>
          </cell>
          <cell r="I75">
            <v>2039247056</v>
          </cell>
        </row>
      </sheetData>
      <sheetData sheetId="6"/>
      <sheetData sheetId="7">
        <row r="4">
          <cell r="B4" t="str">
            <v>ITEM</v>
          </cell>
          <cell r="C4" t="str">
            <v>DESCRIPCION</v>
          </cell>
          <cell r="D4" t="str">
            <v>UN</v>
          </cell>
          <cell r="E4" t="str">
            <v>CANTIDAD</v>
          </cell>
          <cell r="F4" t="str">
            <v>%</v>
          </cell>
          <cell r="G4" t="str">
            <v>VR. UNIT.</v>
          </cell>
          <cell r="H4" t="str">
            <v>VR. TOTAL</v>
          </cell>
        </row>
        <row r="5">
          <cell r="B5" t="str">
            <v>1.</v>
          </cell>
          <cell r="C5" t="str">
            <v>PRELIMINARES</v>
          </cell>
          <cell r="D5" t="str">
            <v/>
          </cell>
          <cell r="G5" t="str">
            <v/>
          </cell>
          <cell r="H5" t="str">
            <v/>
          </cell>
        </row>
        <row r="6">
          <cell r="B6" t="str">
            <v>1.1</v>
          </cell>
          <cell r="C6" t="str">
            <v>Localizacion y replanteo metodo manual. incluye largueros, nylon, transporte interno y todo lo necesario para su correcta ejecucion.</v>
          </cell>
          <cell r="D6" t="str">
            <v>m2</v>
          </cell>
          <cell r="E6">
            <v>50.12</v>
          </cell>
          <cell r="G6" t="str">
            <v/>
          </cell>
          <cell r="H6">
            <v>3127</v>
          </cell>
        </row>
        <row r="7">
          <cell r="B7" t="str">
            <v>I. EQUIPO Y HERRAMIENTA</v>
          </cell>
          <cell r="H7">
            <v>105.96250000000001</v>
          </cell>
        </row>
        <row r="8">
          <cell r="B8">
            <v>46111</v>
          </cell>
          <cell r="C8" t="str">
            <v>Herramienta Y Equipo Menor</v>
          </cell>
          <cell r="D8" t="str">
            <v>%</v>
          </cell>
          <cell r="F8">
            <v>0.05</v>
          </cell>
          <cell r="G8">
            <v>2119.25</v>
          </cell>
          <cell r="H8">
            <v>105.96250000000001</v>
          </cell>
        </row>
        <row r="9">
          <cell r="B9" t="str">
            <v>II. MATERIALES</v>
          </cell>
          <cell r="H9">
            <v>900</v>
          </cell>
        </row>
        <row r="10">
          <cell r="B10" t="str">
            <v>18Z17</v>
          </cell>
          <cell r="C10" t="str">
            <v>Liston 2" X 2" X 3 M</v>
          </cell>
          <cell r="D10" t="str">
            <v>un</v>
          </cell>
          <cell r="E10">
            <v>0.1</v>
          </cell>
          <cell r="G10">
            <v>7100</v>
          </cell>
          <cell r="H10">
            <v>710</v>
          </cell>
        </row>
        <row r="11">
          <cell r="B11">
            <v>15421</v>
          </cell>
          <cell r="C11" t="str">
            <v>Clavos</v>
          </cell>
          <cell r="D11" t="str">
            <v>lb</v>
          </cell>
          <cell r="E11">
            <v>0.05</v>
          </cell>
          <cell r="G11">
            <v>3800</v>
          </cell>
          <cell r="H11">
            <v>190</v>
          </cell>
        </row>
        <row r="12">
          <cell r="B12" t="str">
            <v>III. TRANSPORTES</v>
          </cell>
          <cell r="E12" t="str">
            <v>km</v>
          </cell>
          <cell r="F12" t="str">
            <v>Ton</v>
          </cell>
          <cell r="H12">
            <v>1.3837500000000003</v>
          </cell>
        </row>
        <row r="13">
          <cell r="B13" t="str">
            <v>6TB11</v>
          </cell>
          <cell r="C13" t="str">
            <v xml:space="preserve">Transporte de materiales varios </v>
          </cell>
          <cell r="D13" t="str">
            <v>T/km</v>
          </cell>
          <cell r="E13">
            <v>10</v>
          </cell>
          <cell r="F13">
            <v>2.0500000000000002E-4</v>
          </cell>
          <cell r="G13">
            <v>675</v>
          </cell>
          <cell r="H13">
            <v>1.3837500000000003</v>
          </cell>
        </row>
        <row r="14">
          <cell r="B14" t="str">
            <v>IV. MANO DE OBRA</v>
          </cell>
          <cell r="H14">
            <v>2119.25</v>
          </cell>
        </row>
        <row r="15">
          <cell r="B15">
            <v>21151</v>
          </cell>
          <cell r="C15" t="str">
            <v>Mo Cadenero 1</v>
          </cell>
          <cell r="D15" t="str">
            <v>jor</v>
          </cell>
          <cell r="E15">
            <v>2.5000000000000001E-2</v>
          </cell>
          <cell r="G15">
            <v>84770</v>
          </cell>
          <cell r="H15">
            <v>2119.25</v>
          </cell>
        </row>
        <row r="16">
          <cell r="B16" t="str">
            <v>1.2</v>
          </cell>
          <cell r="C16" t="str">
            <v>Nivelacion del terreno metodo manual. incluye herramienta para apisonado.</v>
          </cell>
          <cell r="D16" t="str">
            <v>m2</v>
          </cell>
          <cell r="E16">
            <v>50.12</v>
          </cell>
          <cell r="G16" t="str">
            <v/>
          </cell>
          <cell r="H16">
            <v>1780</v>
          </cell>
        </row>
        <row r="17">
          <cell r="B17" t="str">
            <v>I. EQUIPO Y HERRAMIENTA</v>
          </cell>
          <cell r="H17">
            <v>149.50875000000002</v>
          </cell>
        </row>
        <row r="18">
          <cell r="B18">
            <v>46111</v>
          </cell>
          <cell r="C18" t="str">
            <v>Herramienta Y Equipo Menor</v>
          </cell>
          <cell r="D18" t="str">
            <v>%</v>
          </cell>
          <cell r="F18">
            <v>0.05</v>
          </cell>
          <cell r="G18">
            <v>1630.1750000000002</v>
          </cell>
          <cell r="H18">
            <v>81.50875000000002</v>
          </cell>
        </row>
        <row r="19">
          <cell r="B19" t="str">
            <v>43M16</v>
          </cell>
          <cell r="C19" t="str">
            <v>Apisonador manual</v>
          </cell>
          <cell r="D19" t="str">
            <v>día</v>
          </cell>
          <cell r="E19">
            <v>0.04</v>
          </cell>
          <cell r="G19">
            <v>1700</v>
          </cell>
          <cell r="H19">
            <v>68</v>
          </cell>
        </row>
        <row r="20">
          <cell r="B20" t="str">
            <v>II. MATERIALES</v>
          </cell>
          <cell r="H20">
            <v>0</v>
          </cell>
        </row>
        <row r="21">
          <cell r="B21" t="str">
            <v>NA</v>
          </cell>
        </row>
        <row r="22">
          <cell r="B22" t="str">
            <v>III. TRANSPORTES</v>
          </cell>
          <cell r="H22">
            <v>0</v>
          </cell>
        </row>
        <row r="23">
          <cell r="B23" t="str">
            <v>NA</v>
          </cell>
          <cell r="H23">
            <v>0</v>
          </cell>
        </row>
        <row r="24">
          <cell r="B24" t="str">
            <v>IV. MANO DE OBRA</v>
          </cell>
          <cell r="H24">
            <v>1630.1750000000002</v>
          </cell>
        </row>
        <row r="25">
          <cell r="B25">
            <v>21131</v>
          </cell>
          <cell r="C25" t="str">
            <v>Mo Ayudante Raso</v>
          </cell>
          <cell r="D25" t="str">
            <v>jor</v>
          </cell>
          <cell r="E25">
            <v>2.5000000000000001E-2</v>
          </cell>
          <cell r="G25">
            <v>65207</v>
          </cell>
          <cell r="H25">
            <v>1630.1750000000002</v>
          </cell>
        </row>
        <row r="26">
          <cell r="B26" t="str">
            <v>2.</v>
          </cell>
          <cell r="C26" t="str">
            <v>EXCAVACIONES Y CIMENTACIONES</v>
          </cell>
          <cell r="D26" t="str">
            <v/>
          </cell>
          <cell r="G26" t="str">
            <v/>
          </cell>
          <cell r="H26" t="str">
            <v/>
          </cell>
        </row>
        <row r="27">
          <cell r="B27" t="str">
            <v>2.1</v>
          </cell>
          <cell r="C27"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D27" t="str">
            <v>m3</v>
          </cell>
          <cell r="E27">
            <v>14.16</v>
          </cell>
          <cell r="G27" t="str">
            <v/>
          </cell>
          <cell r="H27">
            <v>25040</v>
          </cell>
        </row>
        <row r="28">
          <cell r="B28" t="str">
            <v>I. EQUIPO Y HERRAMIENTA</v>
          </cell>
          <cell r="H28">
            <v>978.10500000000002</v>
          </cell>
        </row>
        <row r="29">
          <cell r="B29">
            <v>46111</v>
          </cell>
          <cell r="C29" t="str">
            <v>Herramienta Y Equipo Menor</v>
          </cell>
          <cell r="D29" t="str">
            <v>%</v>
          </cell>
          <cell r="F29">
            <v>0.05</v>
          </cell>
          <cell r="G29">
            <v>19562.099999999999</v>
          </cell>
          <cell r="H29">
            <v>978.10500000000002</v>
          </cell>
        </row>
        <row r="30">
          <cell r="B30" t="str">
            <v>II. MATERIALES</v>
          </cell>
          <cell r="H30">
            <v>0</v>
          </cell>
        </row>
        <row r="31">
          <cell r="B31" t="str">
            <v>NA</v>
          </cell>
          <cell r="H31">
            <v>0</v>
          </cell>
        </row>
        <row r="32">
          <cell r="B32" t="str">
            <v>III. TRANSPORTES</v>
          </cell>
          <cell r="H32">
            <v>4500</v>
          </cell>
        </row>
        <row r="33">
          <cell r="B33" t="str">
            <v>TR1080</v>
          </cell>
          <cell r="C33" t="str">
            <v>Transporte interno materiales</v>
          </cell>
          <cell r="D33" t="str">
            <v>viaje</v>
          </cell>
          <cell r="E33">
            <v>1</v>
          </cell>
          <cell r="G33">
            <v>4500</v>
          </cell>
          <cell r="H33">
            <v>4500</v>
          </cell>
        </row>
        <row r="34">
          <cell r="B34" t="str">
            <v>IV. MANO DE OBRA</v>
          </cell>
          <cell r="H34">
            <v>19562.099999999999</v>
          </cell>
        </row>
        <row r="35">
          <cell r="B35">
            <v>21131</v>
          </cell>
          <cell r="C35" t="str">
            <v>Mo Ayudante Raso</v>
          </cell>
          <cell r="D35" t="str">
            <v>jor</v>
          </cell>
          <cell r="E35">
            <v>0.15</v>
          </cell>
          <cell r="G35">
            <v>65207</v>
          </cell>
          <cell r="H35">
            <v>9781.0499999999993</v>
          </cell>
        </row>
        <row r="36">
          <cell r="B36">
            <v>21131</v>
          </cell>
          <cell r="C36" t="str">
            <v>Mo Ayudante Raso</v>
          </cell>
          <cell r="D36" t="str">
            <v>jor</v>
          </cell>
          <cell r="E36">
            <v>0.15</v>
          </cell>
          <cell r="G36">
            <v>65207</v>
          </cell>
          <cell r="H36">
            <v>9781.0499999999993</v>
          </cell>
        </row>
        <row r="37">
          <cell r="B37" t="str">
            <v>2.2</v>
          </cell>
          <cell r="C37" t="str">
            <v>Viga de fundación en concreto de 21 mpa a nivel de cimentacion, de seccion 30 x 30 cms. incluye formaleta, equipo y todo lo necesario para su correcta colocacion y funcionamiento.</v>
          </cell>
          <cell r="D37" t="str">
            <v>m</v>
          </cell>
          <cell r="E37">
            <v>35.799999999999997</v>
          </cell>
          <cell r="G37" t="str">
            <v/>
          </cell>
          <cell r="H37">
            <v>95655</v>
          </cell>
        </row>
        <row r="38">
          <cell r="B38" t="str">
            <v>I. EQUIPO Y HERRAMIENTA</v>
          </cell>
          <cell r="H38">
            <v>834.98100000000011</v>
          </cell>
        </row>
        <row r="39">
          <cell r="B39">
            <v>46111</v>
          </cell>
          <cell r="C39" t="str">
            <v>Herramienta Y Equipo Menor</v>
          </cell>
          <cell r="D39" t="str">
            <v>%</v>
          </cell>
          <cell r="F39">
            <v>0.05</v>
          </cell>
          <cell r="G39">
            <v>12099.62</v>
          </cell>
          <cell r="H39">
            <v>604.98100000000011</v>
          </cell>
        </row>
        <row r="40">
          <cell r="B40" t="str">
            <v>EQ1220</v>
          </cell>
          <cell r="C40" t="str">
            <v>Vibrador a gasolina</v>
          </cell>
          <cell r="D40" t="str">
            <v>día</v>
          </cell>
          <cell r="E40">
            <v>0.01</v>
          </cell>
          <cell r="G40">
            <v>23000</v>
          </cell>
          <cell r="H40">
            <v>230</v>
          </cell>
        </row>
        <row r="41">
          <cell r="B41" t="str">
            <v>II. MATERIALES</v>
          </cell>
          <cell r="H41">
            <v>78219.820000000007</v>
          </cell>
        </row>
        <row r="42">
          <cell r="B42">
            <v>72132</v>
          </cell>
          <cell r="C42" t="str">
            <v>Aux Concreto 3000 Psi (21.1 Mpa) -Obra- 3/4"</v>
          </cell>
          <cell r="D42" t="str">
            <v>m3</v>
          </cell>
          <cell r="E42">
            <v>0.09</v>
          </cell>
          <cell r="G42">
            <v>487024</v>
          </cell>
          <cell r="H42">
            <v>43832.159999999996</v>
          </cell>
        </row>
        <row r="43">
          <cell r="B43">
            <v>15120</v>
          </cell>
          <cell r="C43" t="str">
            <v>Acero de Refuerzo</v>
          </cell>
          <cell r="D43" t="str">
            <v>kg</v>
          </cell>
          <cell r="E43">
            <v>6.24</v>
          </cell>
          <cell r="G43">
            <v>5484</v>
          </cell>
          <cell r="H43">
            <v>34220.160000000003</v>
          </cell>
        </row>
        <row r="44">
          <cell r="B44">
            <v>15231</v>
          </cell>
          <cell r="C44" t="str">
            <v>Alambre negro recocido</v>
          </cell>
          <cell r="D44" t="str">
            <v>kg</v>
          </cell>
          <cell r="E44">
            <v>2.5000000000000001E-2</v>
          </cell>
          <cell r="G44">
            <v>6700</v>
          </cell>
          <cell r="H44">
            <v>167.5</v>
          </cell>
        </row>
        <row r="45">
          <cell r="B45" t="str">
            <v>III. TRANSPORTES</v>
          </cell>
          <cell r="H45">
            <v>4500.86625</v>
          </cell>
        </row>
        <row r="46">
          <cell r="B46" t="str">
            <v>6TB11</v>
          </cell>
          <cell r="C46" t="str">
            <v xml:space="preserve">Transporte de materiales varios </v>
          </cell>
          <cell r="D46" t="str">
            <v>T/km</v>
          </cell>
          <cell r="E46">
            <v>30</v>
          </cell>
          <cell r="F46">
            <v>0.22226500000000002</v>
          </cell>
          <cell r="G46">
            <v>675</v>
          </cell>
          <cell r="H46">
            <v>4500.86625</v>
          </cell>
        </row>
        <row r="47">
          <cell r="B47" t="str">
            <v>IV. MANO DE OBRA</v>
          </cell>
          <cell r="H47">
            <v>12099.62</v>
          </cell>
        </row>
        <row r="48">
          <cell r="B48">
            <v>21111</v>
          </cell>
          <cell r="C48" t="str">
            <v>Mo Oficial</v>
          </cell>
          <cell r="D48" t="str">
            <v>jor</v>
          </cell>
          <cell r="E48">
            <v>7.0000000000000007E-2</v>
          </cell>
          <cell r="G48">
            <v>116960</v>
          </cell>
          <cell r="H48">
            <v>8187.2000000000007</v>
          </cell>
        </row>
        <row r="49">
          <cell r="B49">
            <v>21131</v>
          </cell>
          <cell r="C49" t="str">
            <v>Mo Ayudante Raso</v>
          </cell>
          <cell r="D49" t="str">
            <v>jor</v>
          </cell>
          <cell r="E49">
            <v>0.06</v>
          </cell>
          <cell r="G49">
            <v>65207</v>
          </cell>
          <cell r="H49">
            <v>3912.42</v>
          </cell>
        </row>
        <row r="50">
          <cell r="B50" t="str">
            <v>2.3</v>
          </cell>
          <cell r="C50" t="str">
            <v xml:space="preserve">Sobrecimiento dos hiladas en bloque de 10 cm normalizado. incluye impermeabilización a 3 caras. </v>
          </cell>
          <cell r="D50" t="str">
            <v>m</v>
          </cell>
          <cell r="E50">
            <v>33.450000000000003</v>
          </cell>
          <cell r="G50" t="str">
            <v/>
          </cell>
          <cell r="H50">
            <v>26800</v>
          </cell>
        </row>
        <row r="51">
          <cell r="B51" t="str">
            <v>I. EQUIPO Y HERRAMIENTA</v>
          </cell>
          <cell r="H51">
            <v>604.98100000000011</v>
          </cell>
        </row>
        <row r="52">
          <cell r="B52">
            <v>46111</v>
          </cell>
          <cell r="C52" t="str">
            <v>Herramienta Y Equipo Menor</v>
          </cell>
          <cell r="D52" t="str">
            <v>%</v>
          </cell>
          <cell r="F52">
            <v>0.05</v>
          </cell>
          <cell r="G52">
            <v>12099.62</v>
          </cell>
          <cell r="H52">
            <v>604.98100000000011</v>
          </cell>
        </row>
        <row r="53">
          <cell r="B53" t="str">
            <v>II. MATERIALES</v>
          </cell>
          <cell r="H53">
            <v>12971.445</v>
          </cell>
        </row>
        <row r="54">
          <cell r="B54" t="str">
            <v>71A54</v>
          </cell>
          <cell r="C54" t="str">
            <v>Aux Mortero De Revoque 1:4</v>
          </cell>
          <cell r="D54" t="str">
            <v>m3</v>
          </cell>
          <cell r="E54">
            <v>7.0000000000000001E-3</v>
          </cell>
          <cell r="G54">
            <v>406515</v>
          </cell>
          <cell r="H54">
            <v>2845.605</v>
          </cell>
        </row>
        <row r="55">
          <cell r="B55">
            <v>18316</v>
          </cell>
          <cell r="C55" t="str">
            <v>Bloque de Concreto 10X20X40</v>
          </cell>
          <cell r="D55" t="str">
            <v>un</v>
          </cell>
          <cell r="E55">
            <v>5</v>
          </cell>
          <cell r="G55">
            <v>1850</v>
          </cell>
          <cell r="H55">
            <v>9250</v>
          </cell>
        </row>
        <row r="56">
          <cell r="B56">
            <v>12551</v>
          </cell>
          <cell r="C56" t="str">
            <v>Impermeabilizante con base en cemento tipo Broncosil o similar</v>
          </cell>
          <cell r="D56" t="str">
            <v>kg</v>
          </cell>
          <cell r="E56">
            <v>0.34</v>
          </cell>
          <cell r="G56">
            <v>2576</v>
          </cell>
          <cell r="H56">
            <v>875.84</v>
          </cell>
        </row>
        <row r="57">
          <cell r="B57" t="str">
            <v>III. TRANSPORTES</v>
          </cell>
          <cell r="H57">
            <v>1124.13825</v>
          </cell>
        </row>
        <row r="58">
          <cell r="B58" t="str">
            <v>6TB11</v>
          </cell>
          <cell r="C58" t="str">
            <v xml:space="preserve">Transporte de materiales varios </v>
          </cell>
          <cell r="D58" t="str">
            <v>T/km</v>
          </cell>
          <cell r="E58">
            <v>30</v>
          </cell>
          <cell r="F58">
            <v>5.5513E-2</v>
          </cell>
          <cell r="G58">
            <v>675</v>
          </cell>
          <cell r="H58">
            <v>1124.13825</v>
          </cell>
        </row>
        <row r="59">
          <cell r="B59" t="str">
            <v>IV. MANO DE OBRA</v>
          </cell>
          <cell r="H59">
            <v>12099.62</v>
          </cell>
        </row>
        <row r="60">
          <cell r="B60">
            <v>21111</v>
          </cell>
          <cell r="C60" t="str">
            <v>Mo Oficial</v>
          </cell>
          <cell r="D60" t="str">
            <v>jor</v>
          </cell>
          <cell r="E60">
            <v>7.0000000000000007E-2</v>
          </cell>
          <cell r="G60">
            <v>116960</v>
          </cell>
          <cell r="H60">
            <v>8187.2000000000007</v>
          </cell>
        </row>
        <row r="61">
          <cell r="B61">
            <v>21131</v>
          </cell>
          <cell r="C61" t="str">
            <v>Mo Ayudante Raso</v>
          </cell>
          <cell r="D61" t="str">
            <v>jor</v>
          </cell>
          <cell r="E61">
            <v>0.06</v>
          </cell>
          <cell r="G61">
            <v>65207</v>
          </cell>
          <cell r="H61">
            <v>3912.42</v>
          </cell>
        </row>
        <row r="62">
          <cell r="B62" t="str">
            <v>2.4</v>
          </cell>
          <cell r="C62" t="str">
            <v>Zapata de cimentación para columna metálica en concreto de 21mpa, de sección 80x80 cms.  incluye todo lo necesario para su correcta colocación y funcionamiento</v>
          </cell>
          <cell r="D62" t="str">
            <v>Un</v>
          </cell>
          <cell r="E62">
            <v>1</v>
          </cell>
          <cell r="G62" t="str">
            <v/>
          </cell>
          <cell r="H62">
            <v>157229</v>
          </cell>
        </row>
        <row r="63">
          <cell r="B63" t="str">
            <v>I. EQUIPO Y HERRAMIENTA</v>
          </cell>
          <cell r="H63">
            <v>422.81400000000008</v>
          </cell>
        </row>
        <row r="64">
          <cell r="B64">
            <v>46111</v>
          </cell>
          <cell r="C64" t="str">
            <v>Herramienta Y Equipo Menor</v>
          </cell>
          <cell r="D64" t="str">
            <v>%</v>
          </cell>
          <cell r="F64">
            <v>0.05</v>
          </cell>
          <cell r="G64">
            <v>8456.2800000000007</v>
          </cell>
          <cell r="H64">
            <v>422.81400000000008</v>
          </cell>
        </row>
        <row r="65">
          <cell r="B65" t="str">
            <v>II. MATERIALES</v>
          </cell>
          <cell r="H65">
            <v>140343.92000000001</v>
          </cell>
        </row>
        <row r="66">
          <cell r="B66">
            <v>72132</v>
          </cell>
          <cell r="C66" t="str">
            <v>Aux Concreto 3000 Psi (21.1 Mpa) -Obra- 3/4"</v>
          </cell>
          <cell r="D66" t="str">
            <v>m3</v>
          </cell>
          <cell r="E66">
            <v>0.16000000000000003</v>
          </cell>
          <cell r="G66">
            <v>487024</v>
          </cell>
          <cell r="H66">
            <v>77923.840000000011</v>
          </cell>
        </row>
        <row r="67">
          <cell r="B67">
            <v>15120</v>
          </cell>
          <cell r="C67" t="str">
            <v>Acero de Refuerzo</v>
          </cell>
          <cell r="D67" t="str">
            <v>kg</v>
          </cell>
          <cell r="E67">
            <v>11.37</v>
          </cell>
          <cell r="G67">
            <v>5484</v>
          </cell>
          <cell r="H67">
            <v>62353.079999999994</v>
          </cell>
        </row>
        <row r="68">
          <cell r="B68">
            <v>15231</v>
          </cell>
          <cell r="C68" t="str">
            <v>Alambre negro recocido</v>
          </cell>
          <cell r="D68" t="str">
            <v>kg</v>
          </cell>
          <cell r="E68">
            <v>0.01</v>
          </cell>
          <cell r="G68">
            <v>6700</v>
          </cell>
          <cell r="H68">
            <v>67</v>
          </cell>
        </row>
        <row r="69">
          <cell r="B69" t="str">
            <v>III. TRANSPORTES</v>
          </cell>
          <cell r="H69">
            <v>8006.4450000000006</v>
          </cell>
        </row>
        <row r="70">
          <cell r="B70" t="str">
            <v>6TB11</v>
          </cell>
          <cell r="C70" t="str">
            <v xml:space="preserve">Transporte de materiales varios </v>
          </cell>
          <cell r="D70" t="str">
            <v>T/km</v>
          </cell>
          <cell r="E70">
            <v>30</v>
          </cell>
          <cell r="F70">
            <v>0.39538000000000006</v>
          </cell>
          <cell r="G70">
            <v>675</v>
          </cell>
          <cell r="H70">
            <v>8006.4450000000006</v>
          </cell>
        </row>
        <row r="71">
          <cell r="B71" t="str">
            <v>IV. MANO DE OBRA</v>
          </cell>
          <cell r="H71">
            <v>8456.2800000000007</v>
          </cell>
        </row>
        <row r="72">
          <cell r="B72">
            <v>21111</v>
          </cell>
          <cell r="C72" t="str">
            <v>Mo Oficial</v>
          </cell>
          <cell r="D72" t="str">
            <v>jor</v>
          </cell>
          <cell r="E72">
            <v>0.05</v>
          </cell>
          <cell r="G72">
            <v>116960</v>
          </cell>
          <cell r="H72">
            <v>5848</v>
          </cell>
        </row>
        <row r="73">
          <cell r="B73">
            <v>21131</v>
          </cell>
          <cell r="C73" t="str">
            <v>Mo Ayudante Raso</v>
          </cell>
          <cell r="D73" t="str">
            <v>jor</v>
          </cell>
          <cell r="E73">
            <v>0.04</v>
          </cell>
          <cell r="G73">
            <v>65207</v>
          </cell>
          <cell r="H73">
            <v>2608.2800000000002</v>
          </cell>
        </row>
        <row r="74">
          <cell r="B74" t="str">
            <v>2.5</v>
          </cell>
          <cell r="C74" t="str">
            <v>Botada de escombros provenientes de construcción y material sobrante de la excavación. no se permite disposición en el lote</v>
          </cell>
          <cell r="D74" t="str">
            <v>m3</v>
          </cell>
          <cell r="E74">
            <v>18.41</v>
          </cell>
          <cell r="G74" t="str">
            <v/>
          </cell>
          <cell r="H74">
            <v>32908</v>
          </cell>
        </row>
        <row r="75">
          <cell r="B75" t="str">
            <v>I. EQUIPO Y HERRAMIENTA</v>
          </cell>
          <cell r="H75">
            <v>195.62100000000001</v>
          </cell>
        </row>
        <row r="76">
          <cell r="B76">
            <v>46111</v>
          </cell>
          <cell r="C76" t="str">
            <v>Herramienta Y Equipo Menor</v>
          </cell>
          <cell r="D76" t="str">
            <v>%</v>
          </cell>
          <cell r="F76">
            <v>0.05</v>
          </cell>
          <cell r="G76">
            <v>3912.42</v>
          </cell>
          <cell r="H76">
            <v>195.62100000000001</v>
          </cell>
        </row>
        <row r="77">
          <cell r="B77" t="str">
            <v>II. MATERIALES</v>
          </cell>
          <cell r="H77">
            <v>0</v>
          </cell>
        </row>
        <row r="78">
          <cell r="B78" t="str">
            <v>NA</v>
          </cell>
        </row>
        <row r="79">
          <cell r="B79" t="str">
            <v>III. TRANSPORTES</v>
          </cell>
          <cell r="H79">
            <v>28800</v>
          </cell>
        </row>
        <row r="80">
          <cell r="B80" t="str">
            <v>TR1060</v>
          </cell>
          <cell r="C80" t="str">
            <v xml:space="preserve">Transporte de materiales en volqueta </v>
          </cell>
          <cell r="D80" t="str">
            <v>viaje</v>
          </cell>
          <cell r="F80">
            <v>0.06</v>
          </cell>
          <cell r="G80">
            <v>480000</v>
          </cell>
          <cell r="H80">
            <v>28800</v>
          </cell>
        </row>
        <row r="81">
          <cell r="B81" t="str">
            <v>IV. MANO DE OBRA</v>
          </cell>
          <cell r="H81">
            <v>3912.42</v>
          </cell>
        </row>
        <row r="82">
          <cell r="B82">
            <v>21131</v>
          </cell>
          <cell r="C82" t="str">
            <v>Mo Ayudante Raso</v>
          </cell>
          <cell r="D82" t="str">
            <v>jor</v>
          </cell>
          <cell r="E82">
            <v>0.06</v>
          </cell>
          <cell r="G82">
            <v>65207</v>
          </cell>
          <cell r="H82">
            <v>3912.42</v>
          </cell>
        </row>
        <row r="83">
          <cell r="B83" t="str">
            <v>3.</v>
          </cell>
          <cell r="C83" t="str">
            <v>ELEMENTOS ESTRUCTURALES</v>
          </cell>
          <cell r="D83" t="str">
            <v/>
          </cell>
          <cell r="G83" t="str">
            <v/>
          </cell>
          <cell r="H83" t="str">
            <v/>
          </cell>
        </row>
        <row r="84">
          <cell r="B84" t="str">
            <v>3.1</v>
          </cell>
          <cell r="C84" t="str">
            <v>Viga de amarre superior en concreto a la vista de 21 mpa sobre mamposteria, de seccion 10 x 20 cms. incluye formaleta, equipo y todo lo necesario para su correcta colocacion y funcionamiento.</v>
          </cell>
          <cell r="D84" t="str">
            <v>m</v>
          </cell>
          <cell r="E84">
            <v>36.25</v>
          </cell>
          <cell r="G84" t="str">
            <v/>
          </cell>
          <cell r="H84">
            <v>44999</v>
          </cell>
        </row>
        <row r="85">
          <cell r="B85" t="str">
            <v>I. EQUIPO Y HERRAMIENTA</v>
          </cell>
          <cell r="H85">
            <v>1514.0645</v>
          </cell>
        </row>
        <row r="86">
          <cell r="B86">
            <v>46111</v>
          </cell>
          <cell r="C86" t="str">
            <v>Herramienta Y Equipo Menor</v>
          </cell>
          <cell r="D86" t="str">
            <v>%</v>
          </cell>
          <cell r="F86">
            <v>0.05</v>
          </cell>
          <cell r="G86">
            <v>13921.29</v>
          </cell>
          <cell r="H86">
            <v>696.06450000000007</v>
          </cell>
        </row>
        <row r="87">
          <cell r="B87" t="str">
            <v>43M11</v>
          </cell>
          <cell r="C87" t="str">
            <v>Seccion Completa Andamio 1.20X1.50M</v>
          </cell>
          <cell r="D87" t="str">
            <v>día</v>
          </cell>
          <cell r="E87">
            <v>0.8</v>
          </cell>
          <cell r="F87">
            <v>0.05</v>
          </cell>
          <cell r="G87">
            <v>700</v>
          </cell>
          <cell r="H87">
            <v>588</v>
          </cell>
        </row>
        <row r="88">
          <cell r="B88" t="str">
            <v>EQ1220</v>
          </cell>
          <cell r="C88" t="str">
            <v>Vibrador a gasolina</v>
          </cell>
          <cell r="D88" t="str">
            <v>día</v>
          </cell>
          <cell r="E88">
            <v>0.01</v>
          </cell>
          <cell r="G88">
            <v>23000</v>
          </cell>
          <cell r="H88">
            <v>230</v>
          </cell>
        </row>
        <row r="89">
          <cell r="B89" t="str">
            <v>II. MATERIALES</v>
          </cell>
          <cell r="H89">
            <v>28502</v>
          </cell>
        </row>
        <row r="90">
          <cell r="B90">
            <v>72132</v>
          </cell>
          <cell r="C90" t="str">
            <v>Aux Concreto 3000 Psi (21.1 Mpa) -Obra- 3/4"</v>
          </cell>
          <cell r="D90" t="str">
            <v>m3</v>
          </cell>
          <cell r="E90">
            <v>2.0000000000000004E-2</v>
          </cell>
          <cell r="G90">
            <v>487024</v>
          </cell>
          <cell r="H90">
            <v>9740.4800000000014</v>
          </cell>
        </row>
        <row r="91">
          <cell r="B91">
            <v>15421</v>
          </cell>
          <cell r="C91" t="str">
            <v>Clavos</v>
          </cell>
          <cell r="D91" t="str">
            <v>lb</v>
          </cell>
          <cell r="E91">
            <v>0.05</v>
          </cell>
          <cell r="G91">
            <v>3800</v>
          </cell>
          <cell r="H91">
            <v>190</v>
          </cell>
        </row>
        <row r="92">
          <cell r="B92">
            <v>18010</v>
          </cell>
          <cell r="C92" t="str">
            <v>Formaleta Supert  15mm 183X244.</v>
          </cell>
          <cell r="D92" t="str">
            <v>m2</v>
          </cell>
          <cell r="E92">
            <v>0.02</v>
          </cell>
          <cell r="G92">
            <v>45720</v>
          </cell>
          <cell r="H92">
            <v>914.4</v>
          </cell>
        </row>
        <row r="93">
          <cell r="B93" t="str">
            <v>18Z17</v>
          </cell>
          <cell r="C93" t="str">
            <v>Liston 2" X 2" X 3 M</v>
          </cell>
          <cell r="D93" t="str">
            <v>un</v>
          </cell>
          <cell r="E93">
            <v>0.1</v>
          </cell>
          <cell r="G93">
            <v>7100</v>
          </cell>
          <cell r="H93">
            <v>710</v>
          </cell>
        </row>
        <row r="94">
          <cell r="B94">
            <v>15120</v>
          </cell>
          <cell r="C94" t="str">
            <v>Acero de Refuerzo</v>
          </cell>
          <cell r="D94" t="str">
            <v>kg</v>
          </cell>
          <cell r="E94">
            <v>3.0300000000000002</v>
          </cell>
          <cell r="G94">
            <v>5484</v>
          </cell>
          <cell r="H94">
            <v>16616.52</v>
          </cell>
        </row>
        <row r="95">
          <cell r="B95">
            <v>15231</v>
          </cell>
          <cell r="C95" t="str">
            <v>Alambre negro recocido</v>
          </cell>
          <cell r="D95" t="str">
            <v>kg</v>
          </cell>
          <cell r="E95">
            <v>1.7999999999999999E-2</v>
          </cell>
          <cell r="G95">
            <v>6700</v>
          </cell>
          <cell r="H95">
            <v>120.6</v>
          </cell>
        </row>
        <row r="96">
          <cell r="B96" t="str">
            <v>1SK56</v>
          </cell>
          <cell r="C96" t="str">
            <v>Separol - N (20K) o similar</v>
          </cell>
          <cell r="D96" t="str">
            <v>kg</v>
          </cell>
          <cell r="E96">
            <v>1.2E-2</v>
          </cell>
          <cell r="G96">
            <v>17500</v>
          </cell>
          <cell r="H96">
            <v>210</v>
          </cell>
        </row>
        <row r="97">
          <cell r="B97" t="str">
            <v>III. TRANSPORTES</v>
          </cell>
          <cell r="H97">
            <v>1061.3632499999999</v>
          </cell>
        </row>
        <row r="98">
          <cell r="B98" t="str">
            <v>6TB11</v>
          </cell>
          <cell r="C98" t="str">
            <v xml:space="preserve">Transporte de materiales varios </v>
          </cell>
          <cell r="D98" t="str">
            <v>T/km</v>
          </cell>
          <cell r="E98">
            <v>30</v>
          </cell>
          <cell r="F98">
            <v>5.2413000000000001E-2</v>
          </cell>
          <cell r="G98">
            <v>675</v>
          </cell>
          <cell r="H98">
            <v>1061.3632499999999</v>
          </cell>
        </row>
        <row r="99">
          <cell r="B99" t="str">
            <v>IV. MANO DE OBRA</v>
          </cell>
          <cell r="H99">
            <v>13921.29</v>
          </cell>
        </row>
        <row r="100">
          <cell r="B100">
            <v>21111</v>
          </cell>
          <cell r="C100" t="str">
            <v>Mo Oficial</v>
          </cell>
          <cell r="D100" t="str">
            <v>jor</v>
          </cell>
          <cell r="E100">
            <v>0.08</v>
          </cell>
          <cell r="G100">
            <v>116960</v>
          </cell>
          <cell r="H100">
            <v>9356.8000000000011</v>
          </cell>
        </row>
        <row r="101">
          <cell r="B101">
            <v>21131</v>
          </cell>
          <cell r="C101" t="str">
            <v>Mo Ayudante Raso</v>
          </cell>
          <cell r="D101" t="str">
            <v>jor</v>
          </cell>
          <cell r="E101">
            <v>7.0000000000000007E-2</v>
          </cell>
          <cell r="G101">
            <v>65207</v>
          </cell>
          <cell r="H101">
            <v>4564.4900000000007</v>
          </cell>
        </row>
        <row r="102">
          <cell r="B102" t="str">
            <v>3.2</v>
          </cell>
          <cell r="C102" t="str">
            <v>Viga cinta en concreto a la vista de 21 mpa sobre mamposteria, de seccion 10 x 10 cms. incluye formaleta, equipo y todo lo necesario para su correcta colocacion y funcionamiento.</v>
          </cell>
          <cell r="D102" t="str">
            <v>m</v>
          </cell>
          <cell r="E102">
            <v>24.65</v>
          </cell>
          <cell r="G102" t="str">
            <v/>
          </cell>
          <cell r="H102">
            <v>31475</v>
          </cell>
        </row>
        <row r="103">
          <cell r="B103" t="str">
            <v>I. EQUIPO Y HERRAMIENTA</v>
          </cell>
          <cell r="H103">
            <v>1661.0645</v>
          </cell>
        </row>
        <row r="104">
          <cell r="B104">
            <v>46111</v>
          </cell>
          <cell r="C104" t="str">
            <v>Herramienta Y Equipo Menor</v>
          </cell>
          <cell r="D104" t="str">
            <v>%</v>
          </cell>
          <cell r="F104">
            <v>0.05</v>
          </cell>
          <cell r="G104">
            <v>13921.29</v>
          </cell>
          <cell r="H104">
            <v>696.06450000000007</v>
          </cell>
        </row>
        <row r="105">
          <cell r="B105" t="str">
            <v>43M11</v>
          </cell>
          <cell r="C105" t="str">
            <v>Seccion Completa Andamio 1.20X1.50M</v>
          </cell>
          <cell r="D105" t="str">
            <v>día</v>
          </cell>
          <cell r="E105">
            <v>1</v>
          </cell>
          <cell r="F105">
            <v>0.05</v>
          </cell>
          <cell r="G105">
            <v>700</v>
          </cell>
          <cell r="H105">
            <v>735</v>
          </cell>
        </row>
        <row r="106">
          <cell r="B106" t="str">
            <v>EQ1220</v>
          </cell>
          <cell r="C106" t="str">
            <v>Vibrador a gasolina</v>
          </cell>
          <cell r="D106" t="str">
            <v>día</v>
          </cell>
          <cell r="E106">
            <v>0.01</v>
          </cell>
          <cell r="G106">
            <v>23000</v>
          </cell>
          <cell r="H106">
            <v>230</v>
          </cell>
        </row>
        <row r="107">
          <cell r="B107" t="str">
            <v>II. MATERIALES</v>
          </cell>
          <cell r="H107">
            <v>15354.98</v>
          </cell>
        </row>
        <row r="108">
          <cell r="B108">
            <v>72132</v>
          </cell>
          <cell r="C108" t="str">
            <v>Aux Concreto 3000 Psi (21.1 Mpa) -Obra- 3/4"</v>
          </cell>
          <cell r="D108" t="str">
            <v>m3</v>
          </cell>
          <cell r="E108">
            <v>1.0000000000000002E-2</v>
          </cell>
          <cell r="G108">
            <v>487024</v>
          </cell>
          <cell r="H108">
            <v>4870.2400000000007</v>
          </cell>
        </row>
        <row r="109">
          <cell r="B109">
            <v>15421</v>
          </cell>
          <cell r="C109" t="str">
            <v>Clavos</v>
          </cell>
          <cell r="D109" t="str">
            <v>lb</v>
          </cell>
          <cell r="E109">
            <v>0.05</v>
          </cell>
          <cell r="G109">
            <v>3800</v>
          </cell>
          <cell r="H109">
            <v>190</v>
          </cell>
        </row>
        <row r="110">
          <cell r="B110">
            <v>18010</v>
          </cell>
          <cell r="C110" t="str">
            <v>Formaleta Supert  15mm 183X244.</v>
          </cell>
          <cell r="D110" t="str">
            <v>m2</v>
          </cell>
          <cell r="E110">
            <v>0.01</v>
          </cell>
          <cell r="G110">
            <v>45720</v>
          </cell>
          <cell r="H110">
            <v>457.2</v>
          </cell>
        </row>
        <row r="111">
          <cell r="B111" t="str">
            <v>1SK56</v>
          </cell>
          <cell r="C111" t="str">
            <v>Separol - N (20K) o similar</v>
          </cell>
          <cell r="D111" t="str">
            <v>kg</v>
          </cell>
          <cell r="E111">
            <v>1.2E-2</v>
          </cell>
          <cell r="G111">
            <v>17500</v>
          </cell>
          <cell r="H111">
            <v>210</v>
          </cell>
        </row>
        <row r="112">
          <cell r="B112" t="str">
            <v>18Z17</v>
          </cell>
          <cell r="C112" t="str">
            <v>Liston 2" X 2" X 3 M</v>
          </cell>
          <cell r="D112" t="str">
            <v>un</v>
          </cell>
          <cell r="E112">
            <v>0.33</v>
          </cell>
          <cell r="G112">
            <v>7100</v>
          </cell>
          <cell r="H112">
            <v>2343</v>
          </cell>
        </row>
        <row r="113">
          <cell r="B113">
            <v>15120</v>
          </cell>
          <cell r="C113" t="str">
            <v>Acero de Refuerzo</v>
          </cell>
          <cell r="D113" t="str">
            <v>kg</v>
          </cell>
          <cell r="E113">
            <v>1.31</v>
          </cell>
          <cell r="G113">
            <v>5484</v>
          </cell>
          <cell r="H113">
            <v>7184.04</v>
          </cell>
        </row>
        <row r="114">
          <cell r="B114">
            <v>15231</v>
          </cell>
          <cell r="C114" t="str">
            <v>Alambre negro recocido</v>
          </cell>
          <cell r="D114" t="str">
            <v>kg</v>
          </cell>
          <cell r="E114">
            <v>1.4999999999999999E-2</v>
          </cell>
          <cell r="G114">
            <v>6700</v>
          </cell>
          <cell r="H114">
            <v>100.5</v>
          </cell>
        </row>
        <row r="115">
          <cell r="B115" t="str">
            <v>III. TRANSPORTES</v>
          </cell>
          <cell r="F115" t="str">
            <v>Ton</v>
          </cell>
          <cell r="H115">
            <v>537.35400000000004</v>
          </cell>
        </row>
        <row r="116">
          <cell r="B116" t="str">
            <v>6TB11</v>
          </cell>
          <cell r="C116" t="str">
            <v xml:space="preserve">Transporte de materiales varios </v>
          </cell>
          <cell r="D116" t="str">
            <v>T/km</v>
          </cell>
          <cell r="E116">
            <v>30</v>
          </cell>
          <cell r="F116">
            <v>2.6536000000000001E-2</v>
          </cell>
          <cell r="G116">
            <v>675</v>
          </cell>
          <cell r="H116">
            <v>537.35400000000004</v>
          </cell>
        </row>
        <row r="117">
          <cell r="B117" t="str">
            <v>IV. MANO DE OBRA</v>
          </cell>
          <cell r="H117">
            <v>13921.29</v>
          </cell>
        </row>
        <row r="118">
          <cell r="B118">
            <v>21111</v>
          </cell>
          <cell r="C118" t="str">
            <v>Mo Oficial</v>
          </cell>
          <cell r="D118" t="str">
            <v>jor</v>
          </cell>
          <cell r="E118">
            <v>0.08</v>
          </cell>
          <cell r="G118">
            <v>116960</v>
          </cell>
          <cell r="H118">
            <v>9356.8000000000011</v>
          </cell>
        </row>
        <row r="119">
          <cell r="B119">
            <v>21131</v>
          </cell>
          <cell r="C119" t="str">
            <v>Mo Ayudante Raso</v>
          </cell>
          <cell r="D119" t="str">
            <v>jor</v>
          </cell>
          <cell r="E119">
            <v>7.0000000000000007E-2</v>
          </cell>
          <cell r="G119">
            <v>65207</v>
          </cell>
          <cell r="H119">
            <v>4564.4900000000007</v>
          </cell>
        </row>
        <row r="120">
          <cell r="B120" t="str">
            <v>3.3</v>
          </cell>
          <cell r="C120" t="str">
            <v>Columna de confinamiento en concreto de a la vista 21 mpa  de seccion 0.15x0.20 m. incluye refuerzo en acero según diseño.</v>
          </cell>
          <cell r="D120" t="str">
            <v>m</v>
          </cell>
          <cell r="E120">
            <v>36.6</v>
          </cell>
          <cell r="G120" t="str">
            <v/>
          </cell>
          <cell r="H120">
            <v>90057</v>
          </cell>
        </row>
        <row r="121">
          <cell r="B121" t="str">
            <v>I. EQUIPO Y HERRAMIENTA</v>
          </cell>
          <cell r="H121">
            <v>1661.0645</v>
          </cell>
        </row>
        <row r="122">
          <cell r="B122">
            <v>46111</v>
          </cell>
          <cell r="C122" t="str">
            <v>Herramienta Y Equipo Menor</v>
          </cell>
          <cell r="D122" t="str">
            <v>%</v>
          </cell>
          <cell r="F122">
            <v>0.05</v>
          </cell>
          <cell r="G122">
            <v>13921.29</v>
          </cell>
          <cell r="H122">
            <v>696.06450000000007</v>
          </cell>
        </row>
        <row r="123">
          <cell r="B123" t="str">
            <v>43M11</v>
          </cell>
          <cell r="C123" t="str">
            <v>Seccion Completa Andamio 1.20X1.50M</v>
          </cell>
          <cell r="D123" t="str">
            <v>día</v>
          </cell>
          <cell r="E123">
            <v>1</v>
          </cell>
          <cell r="F123">
            <v>0.05</v>
          </cell>
          <cell r="G123">
            <v>700</v>
          </cell>
          <cell r="H123">
            <v>735</v>
          </cell>
        </row>
        <row r="124">
          <cell r="B124" t="str">
            <v>EQ1220</v>
          </cell>
          <cell r="C124" t="str">
            <v>Vibrador a gasolina</v>
          </cell>
          <cell r="D124" t="str">
            <v>día</v>
          </cell>
          <cell r="E124">
            <v>0.01</v>
          </cell>
          <cell r="G124">
            <v>23000</v>
          </cell>
          <cell r="H124">
            <v>230</v>
          </cell>
        </row>
        <row r="125">
          <cell r="B125" t="str">
            <v>II. MATERIALES</v>
          </cell>
          <cell r="H125">
            <v>72097.959999999992</v>
          </cell>
        </row>
        <row r="126">
          <cell r="B126">
            <v>72132</v>
          </cell>
          <cell r="C126" t="str">
            <v>Aux Concreto 3000 Psi (21.1 Mpa) -Obra- 3/4"</v>
          </cell>
          <cell r="D126" t="str">
            <v>m3</v>
          </cell>
          <cell r="E126">
            <v>0.03</v>
          </cell>
          <cell r="G126">
            <v>487024</v>
          </cell>
          <cell r="H126">
            <v>14610.72</v>
          </cell>
        </row>
        <row r="127">
          <cell r="B127">
            <v>15421</v>
          </cell>
          <cell r="C127" t="str">
            <v>Clavos</v>
          </cell>
          <cell r="D127" t="str">
            <v>lb</v>
          </cell>
          <cell r="E127">
            <v>0.05</v>
          </cell>
          <cell r="G127">
            <v>3800</v>
          </cell>
          <cell r="H127">
            <v>190</v>
          </cell>
        </row>
        <row r="128">
          <cell r="B128">
            <v>18010</v>
          </cell>
          <cell r="C128" t="str">
            <v>Formaleta Supert  15mm 183X244.</v>
          </cell>
          <cell r="D128" t="str">
            <v>m2</v>
          </cell>
          <cell r="E128">
            <v>0.7</v>
          </cell>
          <cell r="G128">
            <v>45720</v>
          </cell>
          <cell r="H128">
            <v>32003.999999999996</v>
          </cell>
        </row>
        <row r="129">
          <cell r="B129" t="str">
            <v>1SK56</v>
          </cell>
          <cell r="C129" t="str">
            <v>Separol - N (20K) o similar</v>
          </cell>
          <cell r="D129" t="str">
            <v>kg</v>
          </cell>
          <cell r="E129">
            <v>1.2E-2</v>
          </cell>
          <cell r="G129">
            <v>17500</v>
          </cell>
          <cell r="H129">
            <v>210</v>
          </cell>
        </row>
        <row r="130">
          <cell r="B130" t="str">
            <v>18Z17</v>
          </cell>
          <cell r="C130" t="str">
            <v>Liston 2" X 2" X 3 M</v>
          </cell>
          <cell r="D130" t="str">
            <v>un</v>
          </cell>
          <cell r="E130">
            <v>0.33</v>
          </cell>
          <cell r="G130">
            <v>7100</v>
          </cell>
          <cell r="H130">
            <v>2343</v>
          </cell>
        </row>
        <row r="131">
          <cell r="B131">
            <v>15120</v>
          </cell>
          <cell r="C131" t="str">
            <v>Acero de Refuerzo</v>
          </cell>
          <cell r="D131" t="str">
            <v>kg</v>
          </cell>
          <cell r="E131">
            <v>4.1099999999999994</v>
          </cell>
          <cell r="G131">
            <v>5484</v>
          </cell>
          <cell r="H131">
            <v>22539.239999999998</v>
          </cell>
        </row>
        <row r="132">
          <cell r="B132">
            <v>15231</v>
          </cell>
          <cell r="C132" t="str">
            <v>Alambre negro recocido</v>
          </cell>
          <cell r="D132" t="str">
            <v>kg</v>
          </cell>
          <cell r="E132">
            <v>0.03</v>
          </cell>
          <cell r="G132">
            <v>6700</v>
          </cell>
          <cell r="H132">
            <v>201</v>
          </cell>
        </row>
        <row r="133">
          <cell r="B133" t="str">
            <v>III. TRANSPORTES</v>
          </cell>
          <cell r="H133">
            <v>2376.7627499999994</v>
          </cell>
        </row>
        <row r="134">
          <cell r="B134" t="str">
            <v>6TB11</v>
          </cell>
          <cell r="C134" t="str">
            <v xml:space="preserve">Transporte de materiales varios </v>
          </cell>
          <cell r="D134" t="str">
            <v>T/km</v>
          </cell>
          <cell r="E134">
            <v>30</v>
          </cell>
          <cell r="F134">
            <v>0.11737099999999999</v>
          </cell>
          <cell r="G134">
            <v>675</v>
          </cell>
          <cell r="H134">
            <v>2376.7627499999994</v>
          </cell>
        </row>
        <row r="135">
          <cell r="B135" t="str">
            <v>IV. MANO DE OBRA</v>
          </cell>
          <cell r="H135">
            <v>13921.29</v>
          </cell>
        </row>
        <row r="136">
          <cell r="B136">
            <v>21111</v>
          </cell>
          <cell r="C136" t="str">
            <v>Mo Oficial</v>
          </cell>
          <cell r="D136" t="str">
            <v>jor</v>
          </cell>
          <cell r="E136">
            <v>0.08</v>
          </cell>
          <cell r="G136">
            <v>116960</v>
          </cell>
          <cell r="H136">
            <v>9356.8000000000011</v>
          </cell>
        </row>
        <row r="137">
          <cell r="B137">
            <v>21131</v>
          </cell>
          <cell r="C137" t="str">
            <v>Mo Ayudante Raso</v>
          </cell>
          <cell r="D137" t="str">
            <v>jor</v>
          </cell>
          <cell r="E137">
            <v>7.0000000000000007E-2</v>
          </cell>
          <cell r="G137">
            <v>65207</v>
          </cell>
          <cell r="H137">
            <v>4564.4900000000007</v>
          </cell>
        </row>
        <row r="138">
          <cell r="B138" t="str">
            <v>3.4</v>
          </cell>
          <cell r="C138" t="str">
            <v>Construccion de piso en concreto de 21 mpa para baño, acabado escobillado, e=10 cm, reforzado con malla electrosoldada d84. con desnivel hacia desague para evitar encharcamiento, con zona de encharque en ducha de -0,03m, incluye el concreto, la malla, formaleteria, polietileno y todo lo necesario para su correcta instalacion.</v>
          </cell>
          <cell r="D138" t="str">
            <v>m2</v>
          </cell>
          <cell r="E138">
            <v>2.2999999999999998</v>
          </cell>
          <cell r="G138" t="str">
            <v/>
          </cell>
          <cell r="H138">
            <v>93437</v>
          </cell>
        </row>
        <row r="139">
          <cell r="B139" t="str">
            <v>I. EQUIPO Y HERRAMIENTA</v>
          </cell>
          <cell r="H139">
            <v>1381.3150000000001</v>
          </cell>
        </row>
        <row r="140">
          <cell r="B140">
            <v>46111</v>
          </cell>
          <cell r="C140" t="str">
            <v>Herramienta Y Equipo Menor</v>
          </cell>
          <cell r="D140" t="str">
            <v>%</v>
          </cell>
          <cell r="F140">
            <v>0.05</v>
          </cell>
          <cell r="G140">
            <v>19386.300000000003</v>
          </cell>
          <cell r="H140">
            <v>969.31500000000017</v>
          </cell>
        </row>
        <row r="141">
          <cell r="B141" t="str">
            <v>43M15</v>
          </cell>
          <cell r="C141" t="str">
            <v>Vibrocompactador tipo rana</v>
          </cell>
          <cell r="D141" t="str">
            <v>día</v>
          </cell>
          <cell r="E141">
            <v>0.01</v>
          </cell>
          <cell r="G141">
            <v>18200</v>
          </cell>
          <cell r="H141">
            <v>182</v>
          </cell>
        </row>
        <row r="142">
          <cell r="B142" t="str">
            <v>EQ1220</v>
          </cell>
          <cell r="C142" t="str">
            <v>Vibrador a gasolina</v>
          </cell>
          <cell r="D142" t="str">
            <v>día</v>
          </cell>
          <cell r="E142">
            <v>0.01</v>
          </cell>
          <cell r="G142">
            <v>23000</v>
          </cell>
          <cell r="H142">
            <v>230</v>
          </cell>
        </row>
        <row r="143">
          <cell r="B143" t="str">
            <v>II. MATERIALES</v>
          </cell>
          <cell r="H143">
            <v>64823.25</v>
          </cell>
        </row>
        <row r="144">
          <cell r="B144">
            <v>72132</v>
          </cell>
          <cell r="C144" t="str">
            <v>Aux Concreto 3000 Psi (21.1 Mpa) -Obra- 3/4"</v>
          </cell>
          <cell r="D144" t="str">
            <v>m3</v>
          </cell>
          <cell r="E144">
            <v>0.1</v>
          </cell>
          <cell r="G144">
            <v>487024</v>
          </cell>
          <cell r="H144">
            <v>48702.400000000001</v>
          </cell>
        </row>
        <row r="145">
          <cell r="B145" t="str">
            <v>18Z15</v>
          </cell>
          <cell r="C145" t="str">
            <v>Tabla Madera Comun 1X8" 3M</v>
          </cell>
          <cell r="D145" t="str">
            <v>un</v>
          </cell>
          <cell r="E145">
            <v>2.5000000000000001E-2</v>
          </cell>
          <cell r="G145">
            <v>9800</v>
          </cell>
          <cell r="H145">
            <v>245</v>
          </cell>
        </row>
        <row r="146">
          <cell r="B146">
            <v>17113</v>
          </cell>
          <cell r="C146" t="str">
            <v>Malla electrosoldada D-84 (2,35m x 6m)</v>
          </cell>
          <cell r="D146" t="str">
            <v>un</v>
          </cell>
          <cell r="E146">
            <v>7.0999999999999994E-2</v>
          </cell>
          <cell r="G146">
            <v>121350</v>
          </cell>
          <cell r="H146">
            <v>8615.8499999999985</v>
          </cell>
        </row>
        <row r="147">
          <cell r="B147">
            <v>11220</v>
          </cell>
          <cell r="C147" t="str">
            <v>Recebo B-200</v>
          </cell>
          <cell r="D147" t="str">
            <v>m3</v>
          </cell>
          <cell r="E147">
            <v>0.1</v>
          </cell>
          <cell r="G147">
            <v>54300</v>
          </cell>
          <cell r="H147">
            <v>5430</v>
          </cell>
        </row>
        <row r="148">
          <cell r="B148">
            <v>16521</v>
          </cell>
          <cell r="C148" t="str">
            <v>Polietileno Negro</v>
          </cell>
          <cell r="D148" t="str">
            <v>m2</v>
          </cell>
          <cell r="E148">
            <v>1</v>
          </cell>
          <cell r="G148">
            <v>1450</v>
          </cell>
          <cell r="H148">
            <v>1450</v>
          </cell>
        </row>
        <row r="149">
          <cell r="B149">
            <v>15421</v>
          </cell>
          <cell r="C149" t="str">
            <v>Clavos</v>
          </cell>
          <cell r="D149" t="str">
            <v>lb</v>
          </cell>
          <cell r="E149">
            <v>0.1</v>
          </cell>
          <cell r="G149">
            <v>3800</v>
          </cell>
          <cell r="H149">
            <v>380</v>
          </cell>
        </row>
        <row r="150">
          <cell r="B150" t="str">
            <v>III. TRANSPORTES</v>
          </cell>
          <cell r="H150">
            <v>7845.6701249999996</v>
          </cell>
        </row>
        <row r="151">
          <cell r="B151" t="str">
            <v>6TB11</v>
          </cell>
          <cell r="C151" t="str">
            <v xml:space="preserve">Transporte de materiales varios </v>
          </cell>
          <cell r="D151" t="str">
            <v>T/km</v>
          </cell>
          <cell r="E151">
            <v>30</v>
          </cell>
          <cell r="F151">
            <v>0.38744049999999997</v>
          </cell>
          <cell r="G151">
            <v>675</v>
          </cell>
          <cell r="H151">
            <v>7845.6701249999996</v>
          </cell>
        </row>
        <row r="152">
          <cell r="B152" t="str">
            <v>IV. MANO DE OBRA</v>
          </cell>
          <cell r="H152">
            <v>19386.300000000003</v>
          </cell>
        </row>
        <row r="153">
          <cell r="B153">
            <v>21111</v>
          </cell>
          <cell r="C153" t="str">
            <v>Mo Oficial</v>
          </cell>
          <cell r="D153" t="str">
            <v>jor</v>
          </cell>
          <cell r="E153">
            <v>0.11</v>
          </cell>
          <cell r="G153">
            <v>116960</v>
          </cell>
          <cell r="H153">
            <v>12865.6</v>
          </cell>
        </row>
        <row r="154">
          <cell r="B154">
            <v>21131</v>
          </cell>
          <cell r="C154" t="str">
            <v>Mo Ayudante Raso</v>
          </cell>
          <cell r="D154" t="str">
            <v>jor</v>
          </cell>
          <cell r="E154">
            <v>0.1</v>
          </cell>
          <cell r="G154">
            <v>65207</v>
          </cell>
          <cell r="H154">
            <v>6520.7000000000007</v>
          </cell>
        </row>
        <row r="155">
          <cell r="B155" t="str">
            <v>3.5</v>
          </cell>
          <cell r="C155" t="str">
            <v>Construccion de piso en concreto de 21 mpa, acabado escobillado, e=10 cm, reforzado con malla electrosoldada d106. incluye el concreto, la malla, formaleteria, material de recebo b-200 e=10 cm, polietileno y todo lo necesario para su correcta instalacion.</v>
          </cell>
          <cell r="D155" t="str">
            <v>m2</v>
          </cell>
          <cell r="E155">
            <v>41.63</v>
          </cell>
          <cell r="G155" t="str">
            <v/>
          </cell>
          <cell r="H155">
            <v>97815</v>
          </cell>
        </row>
        <row r="156">
          <cell r="B156" t="str">
            <v>I. EQUIPO Y HERRAMIENTA</v>
          </cell>
          <cell r="H156">
            <v>1381.3150000000001</v>
          </cell>
        </row>
        <row r="157">
          <cell r="B157">
            <v>46111</v>
          </cell>
          <cell r="C157" t="str">
            <v>Herramienta Y Equipo Menor</v>
          </cell>
          <cell r="D157" t="str">
            <v>%</v>
          </cell>
          <cell r="F157">
            <v>0.05</v>
          </cell>
          <cell r="G157">
            <v>19386.300000000003</v>
          </cell>
          <cell r="H157">
            <v>969.31500000000017</v>
          </cell>
        </row>
        <row r="158">
          <cell r="B158" t="str">
            <v>43M15</v>
          </cell>
          <cell r="C158" t="str">
            <v>Vibrocompactador tipo rana</v>
          </cell>
          <cell r="D158" t="str">
            <v>día</v>
          </cell>
          <cell r="E158">
            <v>0.01</v>
          </cell>
          <cell r="G158">
            <v>18200</v>
          </cell>
          <cell r="H158">
            <v>182</v>
          </cell>
        </row>
        <row r="159">
          <cell r="B159" t="str">
            <v>EQ1220</v>
          </cell>
          <cell r="C159" t="str">
            <v>Vibrador a gasolina</v>
          </cell>
          <cell r="D159" t="str">
            <v>día</v>
          </cell>
          <cell r="E159">
            <v>0.01</v>
          </cell>
          <cell r="G159">
            <v>23000</v>
          </cell>
          <cell r="H159">
            <v>230</v>
          </cell>
        </row>
        <row r="160">
          <cell r="B160" t="str">
            <v>II. MATERIALES</v>
          </cell>
          <cell r="H160">
            <v>69188.149999999994</v>
          </cell>
        </row>
        <row r="161">
          <cell r="B161">
            <v>72132</v>
          </cell>
          <cell r="C161" t="str">
            <v>Aux Concreto 3000 Psi (21.1 Mpa) -Obra- 3/4"</v>
          </cell>
          <cell r="D161" t="str">
            <v>m3</v>
          </cell>
          <cell r="E161">
            <v>0.1</v>
          </cell>
          <cell r="G161">
            <v>487024</v>
          </cell>
          <cell r="H161">
            <v>48702.400000000001</v>
          </cell>
        </row>
        <row r="162">
          <cell r="B162" t="str">
            <v>1711M</v>
          </cell>
          <cell r="C162" t="str">
            <v>Malla electrosoldada D-106 (2,35m x 6m)</v>
          </cell>
          <cell r="D162" t="str">
            <v>m2</v>
          </cell>
          <cell r="E162">
            <v>1.05</v>
          </cell>
          <cell r="G162">
            <v>10915</v>
          </cell>
          <cell r="H162">
            <v>11460.75</v>
          </cell>
        </row>
        <row r="163">
          <cell r="B163" t="str">
            <v>18Z15</v>
          </cell>
          <cell r="C163" t="str">
            <v>Tabla Madera Comun 1X8" 3M</v>
          </cell>
          <cell r="D163" t="str">
            <v>un</v>
          </cell>
          <cell r="E163">
            <v>2.5000000000000001E-2</v>
          </cell>
          <cell r="G163">
            <v>9800</v>
          </cell>
          <cell r="H163">
            <v>245</v>
          </cell>
        </row>
        <row r="164">
          <cell r="B164">
            <v>11220</v>
          </cell>
          <cell r="C164" t="str">
            <v>Recebo B-200</v>
          </cell>
          <cell r="D164" t="str">
            <v>m3</v>
          </cell>
          <cell r="E164">
            <v>0.1</v>
          </cell>
          <cell r="G164">
            <v>54300</v>
          </cell>
          <cell r="H164">
            <v>5430</v>
          </cell>
        </row>
        <row r="165">
          <cell r="B165">
            <v>16521</v>
          </cell>
          <cell r="C165" t="str">
            <v>Polietileno Negro</v>
          </cell>
          <cell r="D165" t="str">
            <v>m2</v>
          </cell>
          <cell r="E165">
            <v>1</v>
          </cell>
          <cell r="G165">
            <v>1450</v>
          </cell>
          <cell r="H165">
            <v>1450</v>
          </cell>
        </row>
        <row r="166">
          <cell r="B166">
            <v>15421</v>
          </cell>
          <cell r="C166" t="str">
            <v>Clavos</v>
          </cell>
          <cell r="D166" t="str">
            <v>lb</v>
          </cell>
          <cell r="E166">
            <v>0.5</v>
          </cell>
          <cell r="G166">
            <v>3800</v>
          </cell>
          <cell r="H166">
            <v>1900</v>
          </cell>
        </row>
        <row r="167">
          <cell r="B167" t="str">
            <v>III. TRANSPORTES</v>
          </cell>
          <cell r="H167">
            <v>7859.5616250000003</v>
          </cell>
        </row>
        <row r="168">
          <cell r="B168" t="str">
            <v>6TB11</v>
          </cell>
          <cell r="C168" t="str">
            <v xml:space="preserve">Transporte de materiales varios </v>
          </cell>
          <cell r="D168" t="str">
            <v>T/km</v>
          </cell>
          <cell r="E168">
            <v>30</v>
          </cell>
          <cell r="F168">
            <v>0.38812650000000004</v>
          </cell>
          <cell r="G168">
            <v>675</v>
          </cell>
          <cell r="H168">
            <v>7859.5616250000003</v>
          </cell>
        </row>
        <row r="169">
          <cell r="B169" t="str">
            <v>IV. MANO DE OBRA</v>
          </cell>
          <cell r="H169">
            <v>19386.300000000003</v>
          </cell>
        </row>
        <row r="170">
          <cell r="B170">
            <v>21111</v>
          </cell>
          <cell r="C170" t="str">
            <v>Mo Oficial</v>
          </cell>
          <cell r="D170" t="str">
            <v>jor</v>
          </cell>
          <cell r="E170">
            <v>0.11</v>
          </cell>
          <cell r="G170">
            <v>116960</v>
          </cell>
          <cell r="H170">
            <v>12865.6</v>
          </cell>
        </row>
        <row r="171">
          <cell r="B171">
            <v>21131</v>
          </cell>
          <cell r="C171" t="str">
            <v>Mo Ayudante Raso</v>
          </cell>
          <cell r="D171" t="str">
            <v>jor</v>
          </cell>
          <cell r="E171">
            <v>0.1</v>
          </cell>
          <cell r="G171">
            <v>65207</v>
          </cell>
          <cell r="H171">
            <v>6520.7000000000007</v>
          </cell>
        </row>
        <row r="172">
          <cell r="B172" t="str">
            <v>4.</v>
          </cell>
          <cell r="C172" t="str">
            <v>MAMPOSTERIA Y ELEMENTOS NO ESTRUCTURALES</v>
          </cell>
          <cell r="D172" t="str">
            <v/>
          </cell>
          <cell r="G172" t="str">
            <v/>
          </cell>
        </row>
        <row r="173">
          <cell r="B173" t="str">
            <v>4.1</v>
          </cell>
          <cell r="C173" t="str">
            <v>Construccion de mamposteria en ladrillo, perforacion horizontal, de 10x20x40 cm. revitada a dos caras, sin rebabas. incluye el suministro, transporte y colocacion del ladrillo, el mortero de pega, espesor de pega max=0.02 m y todos los elementos necesarios para su correcta instalacion.</v>
          </cell>
          <cell r="D173" t="str">
            <v>m2</v>
          </cell>
          <cell r="E173">
            <v>67.349999999999994</v>
          </cell>
          <cell r="G173" t="str">
            <v/>
          </cell>
          <cell r="H173">
            <v>57990</v>
          </cell>
        </row>
        <row r="174">
          <cell r="B174" t="str">
            <v>I. EQUIPO Y HERRAMIENTA</v>
          </cell>
          <cell r="H174">
            <v>793.89750000000004</v>
          </cell>
        </row>
        <row r="175">
          <cell r="B175">
            <v>46111</v>
          </cell>
          <cell r="C175" t="str">
            <v>Herramienta Y Equipo Menor</v>
          </cell>
          <cell r="D175" t="str">
            <v>%</v>
          </cell>
          <cell r="F175">
            <v>0.05</v>
          </cell>
          <cell r="G175">
            <v>10277.950000000001</v>
          </cell>
          <cell r="H175">
            <v>513.89750000000004</v>
          </cell>
        </row>
        <row r="176">
          <cell r="B176" t="str">
            <v>43M11</v>
          </cell>
          <cell r="C176" t="str">
            <v>Seccion Completa Andamio 1.20X1.50M</v>
          </cell>
          <cell r="D176" t="str">
            <v>día</v>
          </cell>
          <cell r="E176">
            <v>0.4</v>
          </cell>
          <cell r="G176">
            <v>700</v>
          </cell>
          <cell r="H176">
            <v>280</v>
          </cell>
        </row>
        <row r="177">
          <cell r="B177" t="str">
            <v>II. MATERIALES</v>
          </cell>
          <cell r="H177">
            <v>43140.899999999994</v>
          </cell>
        </row>
        <row r="178">
          <cell r="B178">
            <v>18511</v>
          </cell>
          <cell r="C178" t="str">
            <v>Ladrillo Rayado Horizontal 10X20X40 Ne</v>
          </cell>
          <cell r="D178" t="str">
            <v>un</v>
          </cell>
          <cell r="E178">
            <v>12.5</v>
          </cell>
          <cell r="G178">
            <v>1500</v>
          </cell>
          <cell r="H178">
            <v>18750</v>
          </cell>
        </row>
        <row r="179">
          <cell r="B179" t="str">
            <v>71A14</v>
          </cell>
          <cell r="C179" t="str">
            <v>Aux Mortero De Pega 1:4:1/4</v>
          </cell>
          <cell r="D179" t="str">
            <v>m3</v>
          </cell>
          <cell r="E179">
            <v>0.06</v>
          </cell>
          <cell r="G179">
            <v>406515</v>
          </cell>
          <cell r="H179">
            <v>24390.899999999998</v>
          </cell>
        </row>
        <row r="180">
          <cell r="B180" t="str">
            <v>III. TRANSPORTES</v>
          </cell>
          <cell r="H180">
            <v>3777.4349999999995</v>
          </cell>
        </row>
        <row r="181">
          <cell r="B181" t="str">
            <v>6TB11</v>
          </cell>
          <cell r="C181" t="str">
            <v xml:space="preserve">Transporte de materiales varios </v>
          </cell>
          <cell r="D181" t="str">
            <v>T/km</v>
          </cell>
          <cell r="E181">
            <v>30</v>
          </cell>
          <cell r="F181">
            <v>0.18653999999999998</v>
          </cell>
          <cell r="G181">
            <v>675</v>
          </cell>
          <cell r="H181">
            <v>3777.4349999999995</v>
          </cell>
        </row>
        <row r="182">
          <cell r="B182" t="str">
            <v>IV. MANO DE OBRA</v>
          </cell>
          <cell r="H182">
            <v>10277.950000000001</v>
          </cell>
        </row>
        <row r="183">
          <cell r="B183">
            <v>21111</v>
          </cell>
          <cell r="C183" t="str">
            <v>Mo Oficial</v>
          </cell>
          <cell r="D183" t="str">
            <v>jor</v>
          </cell>
          <cell r="E183">
            <v>0.06</v>
          </cell>
          <cell r="G183">
            <v>116960</v>
          </cell>
          <cell r="H183">
            <v>7017.5999999999995</v>
          </cell>
        </row>
        <row r="184">
          <cell r="B184">
            <v>21131</v>
          </cell>
          <cell r="C184" t="str">
            <v>Mo Ayudante Raso</v>
          </cell>
          <cell r="D184" t="str">
            <v>jor</v>
          </cell>
          <cell r="E184">
            <v>0.05</v>
          </cell>
          <cell r="G184">
            <v>65207</v>
          </cell>
          <cell r="H184">
            <v>3260.3500000000004</v>
          </cell>
        </row>
        <row r="185">
          <cell r="B185" t="str">
            <v>4.2</v>
          </cell>
          <cell r="C185" t="str">
            <v>Construccion de mamposteria en muro calado de 10x20x20 cm. en zona de baños, según detalle. revitado a dos caras, sin rebabas. incluye el suministro, transporte y colocacion del ladrillo, el mortero de pega, espesor de pega max=0.02 m y todos los elementos necesarios para su correcta instalacion.</v>
          </cell>
          <cell r="D185" t="str">
            <v>m2</v>
          </cell>
          <cell r="E185">
            <v>0.48</v>
          </cell>
          <cell r="G185" t="str">
            <v/>
          </cell>
          <cell r="H185">
            <v>72009</v>
          </cell>
        </row>
        <row r="186">
          <cell r="B186" t="str">
            <v>I. EQUIPO Y HERRAMIENTA</v>
          </cell>
          <cell r="H186">
            <v>884.98100000000011</v>
          </cell>
        </row>
        <row r="187">
          <cell r="B187">
            <v>46111</v>
          </cell>
          <cell r="C187" t="str">
            <v>Herramienta Y Equipo Menor</v>
          </cell>
          <cell r="D187" t="str">
            <v>%</v>
          </cell>
          <cell r="F187">
            <v>0.05</v>
          </cell>
          <cell r="G187">
            <v>12099.62</v>
          </cell>
          <cell r="H187">
            <v>604.98100000000011</v>
          </cell>
        </row>
        <row r="188">
          <cell r="B188" t="str">
            <v>43M11</v>
          </cell>
          <cell r="C188" t="str">
            <v>Seccion Completa Andamio 1.20X1.50M</v>
          </cell>
          <cell r="D188" t="str">
            <v>día</v>
          </cell>
          <cell r="E188">
            <v>0.4</v>
          </cell>
          <cell r="G188">
            <v>700</v>
          </cell>
          <cell r="H188">
            <v>280</v>
          </cell>
        </row>
        <row r="189">
          <cell r="B189" t="str">
            <v>II. MATERIALES</v>
          </cell>
          <cell r="H189">
            <v>56412.875</v>
          </cell>
        </row>
        <row r="190">
          <cell r="B190" t="str">
            <v>185A2</v>
          </cell>
          <cell r="C190" t="str">
            <v>Bloque Calado 10x20x20 cm</v>
          </cell>
          <cell r="D190" t="str">
            <v>un</v>
          </cell>
          <cell r="E190">
            <v>25</v>
          </cell>
          <cell r="G190">
            <v>1850</v>
          </cell>
          <cell r="H190">
            <v>46250</v>
          </cell>
        </row>
        <row r="191">
          <cell r="B191" t="str">
            <v>71A14</v>
          </cell>
          <cell r="C191" t="str">
            <v>Aux Mortero De Pega 1:4:1/4</v>
          </cell>
          <cell r="D191" t="str">
            <v>m3</v>
          </cell>
          <cell r="E191">
            <v>2.5000000000000001E-2</v>
          </cell>
          <cell r="G191">
            <v>406515</v>
          </cell>
          <cell r="H191">
            <v>10162.875</v>
          </cell>
        </row>
        <row r="192">
          <cell r="B192" t="str">
            <v>III. TRANSPORTES</v>
          </cell>
          <cell r="H192">
            <v>2611.7437500000001</v>
          </cell>
        </row>
        <row r="193">
          <cell r="B193" t="str">
            <v>6TB11</v>
          </cell>
          <cell r="C193" t="str">
            <v xml:space="preserve">Transporte de materiales varios </v>
          </cell>
          <cell r="D193" t="str">
            <v>T/km</v>
          </cell>
          <cell r="E193">
            <v>30</v>
          </cell>
          <cell r="F193">
            <v>0.12897500000000001</v>
          </cell>
          <cell r="G193">
            <v>675</v>
          </cell>
          <cell r="H193">
            <v>2611.7437500000001</v>
          </cell>
        </row>
        <row r="194">
          <cell r="B194" t="str">
            <v>IV. MANO DE OBRA</v>
          </cell>
          <cell r="H194">
            <v>12099.62</v>
          </cell>
        </row>
        <row r="195">
          <cell r="B195">
            <v>21111</v>
          </cell>
          <cell r="C195" t="str">
            <v>Mo Oficial</v>
          </cell>
          <cell r="D195" t="str">
            <v>jor</v>
          </cell>
          <cell r="E195">
            <v>7.0000000000000007E-2</v>
          </cell>
          <cell r="G195">
            <v>116960</v>
          </cell>
          <cell r="H195">
            <v>8187.2000000000007</v>
          </cell>
        </row>
        <row r="196">
          <cell r="B196">
            <v>21131</v>
          </cell>
          <cell r="C196" t="str">
            <v>Mo Ayudante Raso</v>
          </cell>
          <cell r="D196" t="str">
            <v>jor</v>
          </cell>
          <cell r="E196">
            <v>0.06</v>
          </cell>
          <cell r="G196">
            <v>65207</v>
          </cell>
          <cell r="H196">
            <v>3912.42</v>
          </cell>
        </row>
        <row r="197">
          <cell r="B197" t="str">
            <v>4.3</v>
          </cell>
          <cell r="C197" t="str">
            <v>Encorazado en liston de madera chanul</v>
          </cell>
          <cell r="D197" t="str">
            <v>m</v>
          </cell>
          <cell r="E197">
            <v>28.24</v>
          </cell>
          <cell r="G197" t="str">
            <v/>
          </cell>
          <cell r="H197">
            <v>11549</v>
          </cell>
        </row>
        <row r="198">
          <cell r="B198" t="str">
            <v>I. EQUIPO Y HERRAMIENTA</v>
          </cell>
          <cell r="H198">
            <v>301.08350000000002</v>
          </cell>
        </row>
        <row r="199">
          <cell r="B199">
            <v>46111</v>
          </cell>
          <cell r="C199" t="str">
            <v>Herramienta Y Equipo Menor</v>
          </cell>
          <cell r="D199" t="str">
            <v>%</v>
          </cell>
          <cell r="F199">
            <v>0.05</v>
          </cell>
          <cell r="G199">
            <v>1821.67</v>
          </cell>
          <cell r="H199">
            <v>91.083500000000015</v>
          </cell>
        </row>
        <row r="200">
          <cell r="B200" t="str">
            <v>43M11</v>
          </cell>
          <cell r="C200" t="str">
            <v>Seccion Completa Andamio 1.20X1.50M</v>
          </cell>
          <cell r="D200" t="str">
            <v>día</v>
          </cell>
          <cell r="E200">
            <v>0.3</v>
          </cell>
          <cell r="G200">
            <v>700</v>
          </cell>
          <cell r="H200">
            <v>210</v>
          </cell>
        </row>
        <row r="201">
          <cell r="B201" t="str">
            <v>II. MATERIALES</v>
          </cell>
          <cell r="H201">
            <v>9238</v>
          </cell>
        </row>
        <row r="202">
          <cell r="B202" t="str">
            <v>18Z19</v>
          </cell>
          <cell r="C202" t="str">
            <v>Liston 5 X 2Cm X 2.50 M</v>
          </cell>
          <cell r="D202" t="str">
            <v>m</v>
          </cell>
          <cell r="E202">
            <v>1</v>
          </cell>
          <cell r="G202">
            <v>9200</v>
          </cell>
          <cell r="H202">
            <v>9200</v>
          </cell>
        </row>
        <row r="203">
          <cell r="B203">
            <v>15421</v>
          </cell>
          <cell r="C203" t="str">
            <v>Clavos</v>
          </cell>
          <cell r="D203" t="str">
            <v>lb</v>
          </cell>
          <cell r="E203">
            <v>0.01</v>
          </cell>
          <cell r="G203">
            <v>3800</v>
          </cell>
          <cell r="H203">
            <v>38</v>
          </cell>
        </row>
        <row r="204">
          <cell r="B204" t="str">
            <v>III. TRANSPORTES</v>
          </cell>
          <cell r="H204">
            <v>188.22375</v>
          </cell>
        </row>
        <row r="205">
          <cell r="B205" t="str">
            <v>6TB11</v>
          </cell>
          <cell r="C205" t="str">
            <v xml:space="preserve">Transporte de materiales varios </v>
          </cell>
          <cell r="D205" t="str">
            <v>T/km</v>
          </cell>
          <cell r="E205">
            <v>30</v>
          </cell>
          <cell r="F205">
            <v>9.2949999999999994E-3</v>
          </cell>
          <cell r="G205">
            <v>675</v>
          </cell>
          <cell r="H205">
            <v>188.22375</v>
          </cell>
        </row>
        <row r="206">
          <cell r="B206" t="str">
            <v>IV. MANO DE OBRA</v>
          </cell>
          <cell r="H206">
            <v>1821.67</v>
          </cell>
        </row>
        <row r="207">
          <cell r="B207">
            <v>21111</v>
          </cell>
          <cell r="C207" t="str">
            <v>Mo Oficial</v>
          </cell>
          <cell r="D207" t="str">
            <v>jor</v>
          </cell>
          <cell r="E207">
            <v>0.01</v>
          </cell>
          <cell r="G207">
            <v>116960</v>
          </cell>
          <cell r="H207">
            <v>1169.6000000000001</v>
          </cell>
        </row>
        <row r="208">
          <cell r="B208">
            <v>21131</v>
          </cell>
          <cell r="C208" t="str">
            <v>Mo Ayudante Raso</v>
          </cell>
          <cell r="D208" t="str">
            <v>jor</v>
          </cell>
          <cell r="E208">
            <v>0.01</v>
          </cell>
          <cell r="G208">
            <v>65207</v>
          </cell>
          <cell r="H208">
            <v>652.07000000000005</v>
          </cell>
        </row>
        <row r="209">
          <cell r="B209" t="str">
            <v>4.4</v>
          </cell>
          <cell r="C209" t="str">
            <v>Revoque para adecuacion de superficie en zonas de salpicadero en cocina y lavadero para instalación de enchape. altura de 40 cms</v>
          </cell>
          <cell r="D209" t="str">
            <v>m2</v>
          </cell>
          <cell r="E209">
            <v>5.92</v>
          </cell>
          <cell r="G209" t="str">
            <v/>
          </cell>
          <cell r="H209">
            <v>16746</v>
          </cell>
        </row>
        <row r="210">
          <cell r="B210" t="str">
            <v>I. EQUIPO Y HERRAMIENTA</v>
          </cell>
          <cell r="H210">
            <v>641.07500000000005</v>
          </cell>
        </row>
        <row r="211">
          <cell r="B211">
            <v>46111</v>
          </cell>
          <cell r="C211" t="str">
            <v>Herramienta Y Equipo Menor</v>
          </cell>
          <cell r="D211" t="str">
            <v>%</v>
          </cell>
          <cell r="F211">
            <v>0.05</v>
          </cell>
          <cell r="G211">
            <v>7221.5</v>
          </cell>
          <cell r="H211">
            <v>361.07500000000005</v>
          </cell>
        </row>
        <row r="212">
          <cell r="B212" t="str">
            <v>43M11</v>
          </cell>
          <cell r="C212" t="str">
            <v>Seccion Completa Andamio 1.20X1.50M</v>
          </cell>
          <cell r="D212" t="str">
            <v>día</v>
          </cell>
          <cell r="E212">
            <v>0.4</v>
          </cell>
          <cell r="G212">
            <v>700</v>
          </cell>
          <cell r="H212">
            <v>280</v>
          </cell>
        </row>
        <row r="213">
          <cell r="B213" t="str">
            <v>II. MATERIALES</v>
          </cell>
          <cell r="H213">
            <v>8130.3</v>
          </cell>
        </row>
        <row r="214">
          <cell r="B214" t="str">
            <v>71A54</v>
          </cell>
          <cell r="C214" t="str">
            <v>Aux Mortero De Revoque 1:4</v>
          </cell>
          <cell r="D214" t="str">
            <v>m3</v>
          </cell>
          <cell r="E214">
            <v>0.02</v>
          </cell>
          <cell r="F214">
            <v>0</v>
          </cell>
          <cell r="G214">
            <v>406515</v>
          </cell>
          <cell r="H214">
            <v>8130.3</v>
          </cell>
        </row>
        <row r="215">
          <cell r="B215" t="str">
            <v>III. TRANSPORTES</v>
          </cell>
          <cell r="H215">
            <v>752.89499999999998</v>
          </cell>
        </row>
        <row r="216">
          <cell r="B216" t="str">
            <v>6TB11</v>
          </cell>
          <cell r="C216" t="str">
            <v xml:space="preserve">Transporte de materiales varios </v>
          </cell>
          <cell r="D216" t="str">
            <v>T/km</v>
          </cell>
          <cell r="E216">
            <v>30</v>
          </cell>
          <cell r="F216">
            <v>3.7179999999999998E-2</v>
          </cell>
          <cell r="G216">
            <v>675</v>
          </cell>
          <cell r="H216">
            <v>752.89499999999998</v>
          </cell>
        </row>
        <row r="217">
          <cell r="B217" t="str">
            <v>IV. MANO DE OBRA</v>
          </cell>
          <cell r="H217">
            <v>7221.5</v>
          </cell>
        </row>
        <row r="218">
          <cell r="B218">
            <v>21111</v>
          </cell>
          <cell r="C218" t="str">
            <v>Mo Oficial</v>
          </cell>
          <cell r="D218" t="str">
            <v>jor</v>
          </cell>
          <cell r="E218">
            <v>0.04</v>
          </cell>
          <cell r="G218">
            <v>116960</v>
          </cell>
          <cell r="H218">
            <v>4678.4000000000005</v>
          </cell>
        </row>
        <row r="219">
          <cell r="B219">
            <v>21121</v>
          </cell>
          <cell r="C219" t="str">
            <v>Mo Ayudante Entendido</v>
          </cell>
          <cell r="D219" t="str">
            <v>jor</v>
          </cell>
          <cell r="E219">
            <v>0.03</v>
          </cell>
          <cell r="G219">
            <v>84770</v>
          </cell>
          <cell r="H219">
            <v>2543.1</v>
          </cell>
        </row>
        <row r="220">
          <cell r="B220" t="str">
            <v>4.5</v>
          </cell>
          <cell r="C220" t="str">
            <v>Meson de 1.20mx0.50m en acero inoxidable, con poceta derecha, incluye 2 machones de soporte. desagues y demas elementos</v>
          </cell>
          <cell r="D220" t="str">
            <v>Un</v>
          </cell>
          <cell r="E220">
            <v>1</v>
          </cell>
          <cell r="G220" t="str">
            <v/>
          </cell>
          <cell r="H220">
            <v>423207</v>
          </cell>
        </row>
        <row r="221">
          <cell r="B221" t="str">
            <v>I. EQUIPO Y HERRAMIENTA</v>
          </cell>
          <cell r="H221">
            <v>1260.835</v>
          </cell>
        </row>
        <row r="222">
          <cell r="B222">
            <v>46111</v>
          </cell>
          <cell r="C222" t="str">
            <v>Herramienta Y Equipo Menor</v>
          </cell>
          <cell r="D222" t="str">
            <v>%</v>
          </cell>
          <cell r="F222">
            <v>0.05</v>
          </cell>
          <cell r="G222">
            <v>18216.7</v>
          </cell>
          <cell r="H222">
            <v>910.83500000000004</v>
          </cell>
        </row>
        <row r="223">
          <cell r="B223" t="str">
            <v>43M11</v>
          </cell>
          <cell r="C223" t="str">
            <v>Seccion Completa Andamio 1.20X1.50M</v>
          </cell>
          <cell r="D223" t="str">
            <v>día</v>
          </cell>
          <cell r="E223">
            <v>0.5</v>
          </cell>
          <cell r="G223">
            <v>700</v>
          </cell>
          <cell r="H223">
            <v>350</v>
          </cell>
        </row>
        <row r="224">
          <cell r="B224" t="str">
            <v>II. MATERIALES</v>
          </cell>
          <cell r="H224">
            <v>398000.33799999999</v>
          </cell>
        </row>
        <row r="225">
          <cell r="B225">
            <v>72132</v>
          </cell>
          <cell r="C225" t="str">
            <v>Aux Concreto 3000 Psi (21.1 Mpa) -Obra- 3/4"</v>
          </cell>
          <cell r="D225" t="str">
            <v>m3</v>
          </cell>
          <cell r="E225">
            <v>1.2E-2</v>
          </cell>
          <cell r="G225">
            <v>487024</v>
          </cell>
          <cell r="H225">
            <v>5844.2880000000005</v>
          </cell>
        </row>
        <row r="226">
          <cell r="B226" t="str">
            <v>4MAI15</v>
          </cell>
          <cell r="C226" t="str">
            <v>Mesón en Acero Inoxidable 1.20X0.50 Incluye pozuelo</v>
          </cell>
          <cell r="D226" t="str">
            <v>un</v>
          </cell>
          <cell r="E226">
            <v>1</v>
          </cell>
          <cell r="G226">
            <v>337800</v>
          </cell>
          <cell r="H226">
            <v>337800</v>
          </cell>
        </row>
        <row r="227">
          <cell r="B227">
            <v>18316</v>
          </cell>
          <cell r="C227" t="str">
            <v>Bloque de Concreto 10X20X40</v>
          </cell>
          <cell r="D227" t="str">
            <v>un</v>
          </cell>
          <cell r="E227">
            <v>14</v>
          </cell>
          <cell r="G227">
            <v>1850</v>
          </cell>
          <cell r="H227">
            <v>25900</v>
          </cell>
        </row>
        <row r="228">
          <cell r="B228" t="str">
            <v>71A14</v>
          </cell>
          <cell r="C228" t="str">
            <v>Aux Mortero De Pega 1:4:1/4</v>
          </cell>
          <cell r="D228" t="str">
            <v>m3</v>
          </cell>
          <cell r="E228">
            <v>7.0000000000000007E-2</v>
          </cell>
          <cell r="G228">
            <v>406515</v>
          </cell>
          <cell r="H228">
            <v>28456.050000000003</v>
          </cell>
        </row>
        <row r="229">
          <cell r="B229" t="str">
            <v>III. TRANSPORTES</v>
          </cell>
          <cell r="H229">
            <v>5729.3325000000013</v>
          </cell>
        </row>
        <row r="230">
          <cell r="B230" t="str">
            <v>6TB11</v>
          </cell>
          <cell r="C230" t="str">
            <v xml:space="preserve">Transporte de materiales varios </v>
          </cell>
          <cell r="D230" t="str">
            <v>T/km</v>
          </cell>
          <cell r="E230">
            <v>30</v>
          </cell>
          <cell r="F230">
            <v>0.28293000000000007</v>
          </cell>
          <cell r="G230">
            <v>675</v>
          </cell>
          <cell r="H230">
            <v>5729.3325000000013</v>
          </cell>
        </row>
        <row r="231">
          <cell r="B231" t="str">
            <v>IV. MANO DE OBRA</v>
          </cell>
          <cell r="H231">
            <v>18216.7</v>
          </cell>
        </row>
        <row r="232">
          <cell r="B232">
            <v>21111</v>
          </cell>
          <cell r="C232" t="str">
            <v>Mo Oficial</v>
          </cell>
          <cell r="D232" t="str">
            <v>jor</v>
          </cell>
          <cell r="E232">
            <v>0.1</v>
          </cell>
          <cell r="G232">
            <v>116960</v>
          </cell>
          <cell r="H232">
            <v>11696</v>
          </cell>
        </row>
        <row r="233">
          <cell r="B233">
            <v>21131</v>
          </cell>
          <cell r="C233" t="str">
            <v>Mo Ayudante Raso</v>
          </cell>
          <cell r="D233" t="str">
            <v>jor</v>
          </cell>
          <cell r="E233">
            <v>0.1</v>
          </cell>
          <cell r="G233">
            <v>65207</v>
          </cell>
          <cell r="H233">
            <v>6520.7000000000007</v>
          </cell>
        </row>
        <row r="234">
          <cell r="B234" t="str">
            <v>5.</v>
          </cell>
          <cell r="C234" t="str">
            <v>INSTALACIONES HIDRÁULICAS E HIDROSANITARIAS</v>
          </cell>
          <cell r="D234" t="str">
            <v/>
          </cell>
          <cell r="G234" t="str">
            <v/>
          </cell>
        </row>
        <row r="235">
          <cell r="B235" t="str">
            <v>5.1</v>
          </cell>
          <cell r="C235" t="str">
            <v>Punto hidráulico en pvc-p 1/2" rde 13.5, incluye tubería presión, accesorios, limpiador, soldadura y todos los elementos necesarios para su correcta instalación.</v>
          </cell>
          <cell r="D235" t="str">
            <v>Un</v>
          </cell>
          <cell r="E235">
            <v>4</v>
          </cell>
          <cell r="G235" t="str">
            <v/>
          </cell>
          <cell r="H235">
            <v>16544</v>
          </cell>
        </row>
        <row r="236">
          <cell r="B236" t="str">
            <v>I. EQUIPO Y HERRAMIENTA</v>
          </cell>
          <cell r="H236">
            <v>292.40000000000003</v>
          </cell>
        </row>
        <row r="237">
          <cell r="B237">
            <v>46111</v>
          </cell>
          <cell r="C237" t="str">
            <v>Herramienta Y Equipo Menor</v>
          </cell>
          <cell r="D237" t="str">
            <v>%</v>
          </cell>
          <cell r="F237">
            <v>0.05</v>
          </cell>
          <cell r="G237">
            <v>5848</v>
          </cell>
          <cell r="H237">
            <v>292.40000000000003</v>
          </cell>
        </row>
        <row r="238">
          <cell r="B238" t="str">
            <v>II. MATERIALES</v>
          </cell>
          <cell r="H238">
            <v>10401</v>
          </cell>
        </row>
        <row r="239">
          <cell r="B239" t="str">
            <v>1HS73</v>
          </cell>
          <cell r="C239" t="str">
            <v>Tuberia Pvc-P Ø= 1/2"</v>
          </cell>
          <cell r="D239" t="str">
            <v>m</v>
          </cell>
          <cell r="E239">
            <v>1.5</v>
          </cell>
          <cell r="G239">
            <v>2700</v>
          </cell>
          <cell r="H239">
            <v>4050</v>
          </cell>
        </row>
        <row r="240">
          <cell r="B240" t="str">
            <v>1HS44</v>
          </cell>
          <cell r="C240" t="str">
            <v>Limpiador PVC 760 gramos (1/4 gal) o similar</v>
          </cell>
          <cell r="D240" t="str">
            <v>un</v>
          </cell>
          <cell r="E240">
            <v>0.03</v>
          </cell>
          <cell r="G240">
            <v>37900</v>
          </cell>
          <cell r="H240">
            <v>1137</v>
          </cell>
        </row>
        <row r="241">
          <cell r="B241" t="str">
            <v>1EL67</v>
          </cell>
          <cell r="C241" t="str">
            <v>Soldadura PVC 1/4 gal o similar</v>
          </cell>
          <cell r="D241" t="str">
            <v>un</v>
          </cell>
          <cell r="E241">
            <v>0.03</v>
          </cell>
          <cell r="G241">
            <v>71000</v>
          </cell>
          <cell r="H241">
            <v>2130</v>
          </cell>
        </row>
        <row r="242">
          <cell r="B242" t="str">
            <v>1HS28</v>
          </cell>
          <cell r="C242" t="str">
            <v>Codo 90º Pvc-P Ø= 1/2"</v>
          </cell>
          <cell r="D242" t="str">
            <v>un</v>
          </cell>
          <cell r="E242">
            <v>2</v>
          </cell>
          <cell r="G242">
            <v>640</v>
          </cell>
          <cell r="H242">
            <v>1280</v>
          </cell>
        </row>
        <row r="243">
          <cell r="B243" t="str">
            <v>1HS65</v>
          </cell>
          <cell r="C243" t="str">
            <v>Tee Pvc-P Ø= 1/2"</v>
          </cell>
          <cell r="D243" t="str">
            <v>un</v>
          </cell>
          <cell r="E243">
            <v>1</v>
          </cell>
          <cell r="G243">
            <v>870</v>
          </cell>
          <cell r="H243">
            <v>870</v>
          </cell>
        </row>
        <row r="244">
          <cell r="B244" t="str">
            <v>1HS87</v>
          </cell>
          <cell r="C244" t="str">
            <v>Adaptador Macho Pvc-P Ø= 1/2"</v>
          </cell>
          <cell r="D244" t="str">
            <v>un</v>
          </cell>
          <cell r="E244">
            <v>1</v>
          </cell>
          <cell r="G244">
            <v>480</v>
          </cell>
          <cell r="H244">
            <v>480</v>
          </cell>
        </row>
        <row r="245">
          <cell r="B245" t="str">
            <v>1HS94</v>
          </cell>
          <cell r="C245" t="str">
            <v>Adaptador Hembra Pvc-P Ø= 1/2"</v>
          </cell>
          <cell r="D245" t="str">
            <v>un</v>
          </cell>
          <cell r="E245">
            <v>1</v>
          </cell>
          <cell r="G245">
            <v>454</v>
          </cell>
          <cell r="H245">
            <v>454</v>
          </cell>
        </row>
        <row r="246">
          <cell r="B246" t="str">
            <v>III. TRANSPORTES</v>
          </cell>
          <cell r="H246">
            <v>2.4170400000000001</v>
          </cell>
        </row>
        <row r="247">
          <cell r="B247" t="str">
            <v>6TB11</v>
          </cell>
          <cell r="C247" t="str">
            <v xml:space="preserve">Transporte de materiales varios </v>
          </cell>
          <cell r="D247" t="str">
            <v>T/km</v>
          </cell>
          <cell r="E247">
            <v>6</v>
          </cell>
          <cell r="F247">
            <v>5.9679999999999998E-4</v>
          </cell>
          <cell r="G247">
            <v>675</v>
          </cell>
          <cell r="H247">
            <v>2.4170400000000001</v>
          </cell>
        </row>
        <row r="248">
          <cell r="B248" t="str">
            <v>IV. MANO DE OBRA</v>
          </cell>
          <cell r="H248">
            <v>5848</v>
          </cell>
        </row>
        <row r="249">
          <cell r="B249">
            <v>21111</v>
          </cell>
          <cell r="C249" t="str">
            <v>Mo Oficial</v>
          </cell>
          <cell r="D249" t="str">
            <v>jor</v>
          </cell>
          <cell r="E249">
            <v>0.05</v>
          </cell>
          <cell r="G249">
            <v>116960</v>
          </cell>
          <cell r="H249">
            <v>5848</v>
          </cell>
        </row>
        <row r="250">
          <cell r="B250" t="str">
            <v>5.2</v>
          </cell>
          <cell r="C250" t="str">
            <v>Suministro, transporte e instalación de tubería pvc-p x 1/2" rde-13.5, incluye tubería presión, accesorios, limpiador, soldadura y todos los elementos necesarios para su correcta instalación.</v>
          </cell>
          <cell r="D250" t="str">
            <v>m</v>
          </cell>
          <cell r="E250">
            <v>10</v>
          </cell>
          <cell r="G250" t="str">
            <v/>
          </cell>
          <cell r="H250">
            <v>9824</v>
          </cell>
        </row>
        <row r="251">
          <cell r="B251" t="str">
            <v>I. EQUIPO Y HERRAMIENTA</v>
          </cell>
          <cell r="H251">
            <v>175.44</v>
          </cell>
        </row>
        <row r="252">
          <cell r="B252">
            <v>46111</v>
          </cell>
          <cell r="C252" t="str">
            <v>Herramienta Y Equipo Menor</v>
          </cell>
          <cell r="D252" t="str">
            <v>%</v>
          </cell>
          <cell r="F252">
            <v>0.05</v>
          </cell>
          <cell r="G252">
            <v>3508.7999999999997</v>
          </cell>
          <cell r="H252">
            <v>175.44</v>
          </cell>
        </row>
        <row r="253">
          <cell r="B253" t="str">
            <v>II. MATERIALES</v>
          </cell>
          <cell r="H253">
            <v>6139.9</v>
          </cell>
        </row>
        <row r="254">
          <cell r="B254" t="str">
            <v>1HS73</v>
          </cell>
          <cell r="C254" t="str">
            <v>Tuberia Pvc-P Ø= 1/2"</v>
          </cell>
          <cell r="D254" t="str">
            <v>m</v>
          </cell>
          <cell r="E254">
            <v>1</v>
          </cell>
          <cell r="G254">
            <v>2700</v>
          </cell>
          <cell r="H254">
            <v>2700</v>
          </cell>
        </row>
        <row r="255">
          <cell r="B255" t="str">
            <v>1HSA1</v>
          </cell>
          <cell r="C255" t="str">
            <v>Union Pvc-P Ø= 1/2"</v>
          </cell>
          <cell r="D255" t="str">
            <v>un</v>
          </cell>
          <cell r="E255">
            <v>0.11</v>
          </cell>
          <cell r="G255">
            <v>350</v>
          </cell>
          <cell r="H255">
            <v>38.5</v>
          </cell>
        </row>
        <row r="256">
          <cell r="B256" t="str">
            <v>1HS28</v>
          </cell>
          <cell r="C256" t="str">
            <v>Codo 90º Pvc-P Ø= 1/2"</v>
          </cell>
          <cell r="D256" t="str">
            <v>un</v>
          </cell>
          <cell r="E256">
            <v>0.21</v>
          </cell>
          <cell r="G256">
            <v>640</v>
          </cell>
          <cell r="H256">
            <v>134.4</v>
          </cell>
        </row>
        <row r="257">
          <cell r="B257" t="str">
            <v>1HS44</v>
          </cell>
          <cell r="C257" t="str">
            <v>Limpiador PVC 760 gramos (1/4 gal) o similar</v>
          </cell>
          <cell r="D257" t="str">
            <v>un</v>
          </cell>
          <cell r="E257">
            <v>0.03</v>
          </cell>
          <cell r="G257">
            <v>37900</v>
          </cell>
          <cell r="H257">
            <v>1137</v>
          </cell>
        </row>
        <row r="258">
          <cell r="B258" t="str">
            <v>1EL67</v>
          </cell>
          <cell r="C258" t="str">
            <v>Soldadura PVC 1/4 gal o similar</v>
          </cell>
          <cell r="D258" t="str">
            <v>un</v>
          </cell>
          <cell r="E258">
            <v>0.03</v>
          </cell>
          <cell r="G258">
            <v>71000</v>
          </cell>
          <cell r="H258">
            <v>2130</v>
          </cell>
        </row>
        <row r="259">
          <cell r="B259" t="str">
            <v>III. TRANSPORTES</v>
          </cell>
          <cell r="H259">
            <v>0.17739000000000002</v>
          </cell>
        </row>
        <row r="260">
          <cell r="B260" t="str">
            <v>6TB11</v>
          </cell>
          <cell r="C260" t="str">
            <v xml:space="preserve">Transporte de materiales varios </v>
          </cell>
          <cell r="D260" t="str">
            <v>T/km</v>
          </cell>
          <cell r="E260">
            <v>6</v>
          </cell>
          <cell r="F260">
            <v>2.6280000000000005E-4</v>
          </cell>
          <cell r="G260">
            <v>675</v>
          </cell>
          <cell r="H260">
            <v>0.17739000000000002</v>
          </cell>
        </row>
        <row r="261">
          <cell r="B261" t="str">
            <v>IV. MANO DE OBRA</v>
          </cell>
          <cell r="H261">
            <v>3508.7999999999997</v>
          </cell>
        </row>
        <row r="262">
          <cell r="B262">
            <v>21111</v>
          </cell>
          <cell r="C262" t="str">
            <v>Mo Oficial</v>
          </cell>
          <cell r="D262" t="str">
            <v>jor</v>
          </cell>
          <cell r="E262">
            <v>0.03</v>
          </cell>
          <cell r="G262">
            <v>116960</v>
          </cell>
          <cell r="H262">
            <v>3508.7999999999997</v>
          </cell>
        </row>
        <row r="263">
          <cell r="B263" t="str">
            <v>5.3</v>
          </cell>
          <cell r="C263" t="str">
            <v>Suministro e instalación válvula de bola en pvc 1/2" extremo soldado. se entregará debidamente instalada sin presencia de fugas ni fisuras.</v>
          </cell>
          <cell r="D263" t="str">
            <v>Un</v>
          </cell>
          <cell r="E263">
            <v>1</v>
          </cell>
          <cell r="G263" t="str">
            <v/>
          </cell>
          <cell r="H263">
            <v>12285</v>
          </cell>
        </row>
        <row r="264">
          <cell r="B264" t="str">
            <v>I. EQUIPO Y HERRAMIENTA</v>
          </cell>
          <cell r="H264">
            <v>175.44</v>
          </cell>
        </row>
        <row r="265">
          <cell r="B265">
            <v>46111</v>
          </cell>
          <cell r="C265" t="str">
            <v>Herramienta Y Equipo Menor</v>
          </cell>
          <cell r="D265" t="str">
            <v>%</v>
          </cell>
          <cell r="F265">
            <v>0.05</v>
          </cell>
          <cell r="G265">
            <v>3508.7999999999997</v>
          </cell>
          <cell r="H265">
            <v>175.44</v>
          </cell>
        </row>
        <row r="266">
          <cell r="B266" t="str">
            <v>II. MATERIALES</v>
          </cell>
          <cell r="H266">
            <v>8600.6</v>
          </cell>
        </row>
        <row r="267">
          <cell r="B267" t="str">
            <v>1N175</v>
          </cell>
          <cell r="C267" t="str">
            <v>Válvula de regulación - abasto 1/2"</v>
          </cell>
          <cell r="D267" t="str">
            <v>un</v>
          </cell>
          <cell r="E267">
            <v>1</v>
          </cell>
          <cell r="G267">
            <v>6500</v>
          </cell>
          <cell r="H267">
            <v>6500</v>
          </cell>
        </row>
        <row r="268">
          <cell r="B268" t="str">
            <v>1HS21</v>
          </cell>
          <cell r="C268" t="str">
            <v>Cinta Sellante 12Mmx12 M</v>
          </cell>
          <cell r="D268" t="str">
            <v>un</v>
          </cell>
          <cell r="E268">
            <v>0.5</v>
          </cell>
          <cell r="G268">
            <v>2200</v>
          </cell>
          <cell r="H268">
            <v>1100</v>
          </cell>
        </row>
        <row r="269">
          <cell r="B269" t="str">
            <v>1HS105</v>
          </cell>
          <cell r="C269" t="str">
            <v>Traba quimica fuerza alta para sellos de fuga en tuberia</v>
          </cell>
          <cell r="D269" t="str">
            <v>mm</v>
          </cell>
          <cell r="E269">
            <v>7.0000000000000007E-2</v>
          </cell>
          <cell r="G269">
            <v>580</v>
          </cell>
          <cell r="H269">
            <v>40.6</v>
          </cell>
        </row>
        <row r="270">
          <cell r="B270" t="str">
            <v>1HS87</v>
          </cell>
          <cell r="C270" t="str">
            <v>Adaptador Macho Pvc-P Ø= 1/2"</v>
          </cell>
          <cell r="D270" t="str">
            <v>un</v>
          </cell>
          <cell r="E270">
            <v>2</v>
          </cell>
          <cell r="G270">
            <v>480</v>
          </cell>
          <cell r="H270">
            <v>960</v>
          </cell>
        </row>
        <row r="271">
          <cell r="B271" t="str">
            <v>III. TRANSPORTES</v>
          </cell>
          <cell r="H271">
            <v>0.43879724999999997</v>
          </cell>
        </row>
        <row r="272">
          <cell r="B272" t="str">
            <v>6TB11</v>
          </cell>
          <cell r="C272" t="str">
            <v xml:space="preserve">Transporte de materiales varios </v>
          </cell>
          <cell r="D272" t="str">
            <v>T/km</v>
          </cell>
          <cell r="E272">
            <v>6</v>
          </cell>
          <cell r="F272">
            <v>6.5006999999999999E-4</v>
          </cell>
          <cell r="G272">
            <v>675</v>
          </cell>
          <cell r="H272">
            <v>0.43879724999999997</v>
          </cell>
        </row>
        <row r="273">
          <cell r="B273" t="str">
            <v>IV. MANO DE OBRA</v>
          </cell>
          <cell r="H273">
            <v>3508.7999999999997</v>
          </cell>
        </row>
        <row r="274">
          <cell r="B274">
            <v>21111</v>
          </cell>
          <cell r="C274" t="str">
            <v>Mo Oficial</v>
          </cell>
          <cell r="D274" t="str">
            <v>jor</v>
          </cell>
          <cell r="E274">
            <v>0.03</v>
          </cell>
          <cell r="G274">
            <v>116960</v>
          </cell>
          <cell r="H274">
            <v>3508.7999999999997</v>
          </cell>
        </row>
        <row r="275">
          <cell r="B275" t="str">
            <v>5.4</v>
          </cell>
          <cell r="C275" t="str">
            <v>Salidas sanitarias de 2" incluye materiales, accesorios y todos los elementos necesarios para su correcta instalación y funcionamiento</v>
          </cell>
          <cell r="D275" t="str">
            <v>Un</v>
          </cell>
          <cell r="E275">
            <v>4</v>
          </cell>
          <cell r="G275" t="str">
            <v/>
          </cell>
          <cell r="H275">
            <v>24402</v>
          </cell>
        </row>
        <row r="276">
          <cell r="B276" t="str">
            <v>I. EQUIPO Y HERRAMIENTA</v>
          </cell>
          <cell r="H276">
            <v>175.44</v>
          </cell>
        </row>
        <row r="277">
          <cell r="B277">
            <v>46111</v>
          </cell>
          <cell r="C277" t="str">
            <v>Herramienta Y Equipo Menor</v>
          </cell>
          <cell r="D277" t="str">
            <v>%</v>
          </cell>
          <cell r="F277">
            <v>0.05</v>
          </cell>
          <cell r="G277">
            <v>3508.7999999999997</v>
          </cell>
          <cell r="H277">
            <v>175.44</v>
          </cell>
        </row>
        <row r="278">
          <cell r="B278" t="str">
            <v>II. MATERIALES</v>
          </cell>
          <cell r="H278">
            <v>20717</v>
          </cell>
        </row>
        <row r="279">
          <cell r="B279" t="str">
            <v>1HS74</v>
          </cell>
          <cell r="C279" t="str">
            <v>Tuberia Pvc-S Ø= 2"</v>
          </cell>
          <cell r="D279" t="str">
            <v>m</v>
          </cell>
          <cell r="E279">
            <v>1</v>
          </cell>
          <cell r="G279">
            <v>10620</v>
          </cell>
          <cell r="H279">
            <v>10620</v>
          </cell>
        </row>
        <row r="280">
          <cell r="B280" t="str">
            <v>1HS56</v>
          </cell>
          <cell r="C280" t="str">
            <v>Codo 90° Pvc-S Cxc Ø= 2"</v>
          </cell>
          <cell r="D280" t="str">
            <v>un</v>
          </cell>
          <cell r="E280">
            <v>1</v>
          </cell>
          <cell r="G280">
            <v>3520</v>
          </cell>
          <cell r="H280">
            <v>3520</v>
          </cell>
        </row>
        <row r="281">
          <cell r="B281" t="str">
            <v>1HS23</v>
          </cell>
          <cell r="C281" t="str">
            <v>Codo 45º Pvc-S Cxc, Ø= 2"</v>
          </cell>
          <cell r="D281" t="str">
            <v>un</v>
          </cell>
          <cell r="E281">
            <v>0.5</v>
          </cell>
          <cell r="G281">
            <v>4200</v>
          </cell>
          <cell r="H281">
            <v>2100</v>
          </cell>
        </row>
        <row r="282">
          <cell r="B282" t="str">
            <v>1HS53</v>
          </cell>
          <cell r="C282" t="str">
            <v>Sifon Pvc-S Ø= 2"</v>
          </cell>
          <cell r="D282" t="str">
            <v>un</v>
          </cell>
          <cell r="E282">
            <v>0.2</v>
          </cell>
          <cell r="G282">
            <v>6050</v>
          </cell>
          <cell r="H282">
            <v>1210</v>
          </cell>
        </row>
        <row r="283">
          <cell r="B283" t="str">
            <v>1HS44</v>
          </cell>
          <cell r="C283" t="str">
            <v>Limpiador PVC 760 gramos (1/4 gal) o similar</v>
          </cell>
          <cell r="D283" t="str">
            <v>un</v>
          </cell>
          <cell r="E283">
            <v>0.03</v>
          </cell>
          <cell r="G283">
            <v>37900</v>
          </cell>
          <cell r="H283">
            <v>1137</v>
          </cell>
        </row>
        <row r="284">
          <cell r="B284" t="str">
            <v>1EL67</v>
          </cell>
          <cell r="C284" t="str">
            <v>Soldadura PVC 1/4 gal o similar</v>
          </cell>
          <cell r="D284" t="str">
            <v>un</v>
          </cell>
          <cell r="E284">
            <v>0.03</v>
          </cell>
          <cell r="G284">
            <v>71000</v>
          </cell>
          <cell r="H284">
            <v>2130</v>
          </cell>
        </row>
        <row r="285">
          <cell r="B285" t="str">
            <v>III. TRANSPORTES</v>
          </cell>
          <cell r="H285">
            <v>0.71334000000000009</v>
          </cell>
        </row>
        <row r="286">
          <cell r="B286" t="str">
            <v>6TB11</v>
          </cell>
          <cell r="C286" t="str">
            <v xml:space="preserve">Transporte de materiales varios </v>
          </cell>
          <cell r="D286" t="str">
            <v>T/km</v>
          </cell>
          <cell r="E286">
            <v>6</v>
          </cell>
          <cell r="F286">
            <v>1.0568000000000001E-3</v>
          </cell>
          <cell r="G286">
            <v>675</v>
          </cell>
          <cell r="H286">
            <v>0.71334000000000009</v>
          </cell>
        </row>
        <row r="287">
          <cell r="B287" t="str">
            <v>IV. MANO DE OBRA</v>
          </cell>
          <cell r="H287">
            <v>3508.7999999999997</v>
          </cell>
        </row>
        <row r="288">
          <cell r="B288">
            <v>21111</v>
          </cell>
          <cell r="C288" t="str">
            <v>Mo Oficial</v>
          </cell>
          <cell r="D288" t="str">
            <v>jor</v>
          </cell>
          <cell r="E288">
            <v>0.03</v>
          </cell>
          <cell r="G288">
            <v>116960</v>
          </cell>
          <cell r="H288">
            <v>3508.7999999999997</v>
          </cell>
        </row>
        <row r="289">
          <cell r="B289" t="str">
            <v>5.5</v>
          </cell>
          <cell r="C289" t="str">
            <v>Salida sanitaria de 4" incluye materiales, accesorios y todos los elementos necesarios para su correcta instalación y funcionamiento</v>
          </cell>
          <cell r="D289" t="str">
            <v>Un</v>
          </cell>
          <cell r="E289">
            <v>1</v>
          </cell>
          <cell r="G289" t="str">
            <v/>
          </cell>
          <cell r="H289">
            <v>34185</v>
          </cell>
        </row>
        <row r="290">
          <cell r="B290" t="str">
            <v>I. EQUIPO Y HERRAMIENTA</v>
          </cell>
          <cell r="H290">
            <v>175.44</v>
          </cell>
        </row>
        <row r="291">
          <cell r="B291">
            <v>46111</v>
          </cell>
          <cell r="C291" t="str">
            <v>Herramienta Y Equipo Menor</v>
          </cell>
          <cell r="D291" t="str">
            <v>%</v>
          </cell>
          <cell r="F291">
            <v>0.05</v>
          </cell>
          <cell r="G291">
            <v>3508.7999999999997</v>
          </cell>
          <cell r="H291">
            <v>175.44</v>
          </cell>
        </row>
        <row r="292">
          <cell r="B292" t="str">
            <v>II. MATERIALES</v>
          </cell>
          <cell r="H292">
            <v>30499</v>
          </cell>
        </row>
        <row r="293">
          <cell r="B293" t="str">
            <v>1HS75</v>
          </cell>
          <cell r="C293" t="str">
            <v>Tuberia Pvc-S Ø= 4"</v>
          </cell>
          <cell r="D293" t="str">
            <v>m</v>
          </cell>
          <cell r="E293">
            <v>1</v>
          </cell>
          <cell r="G293">
            <v>22150</v>
          </cell>
          <cell r="H293">
            <v>22150</v>
          </cell>
        </row>
        <row r="294">
          <cell r="B294" t="str">
            <v>1HS30</v>
          </cell>
          <cell r="C294" t="str">
            <v>Codo 90º Pvc-S Cxc, Ø= 4".</v>
          </cell>
          <cell r="D294" t="str">
            <v>un</v>
          </cell>
          <cell r="E294">
            <v>0.12</v>
          </cell>
          <cell r="G294">
            <v>13600</v>
          </cell>
          <cell r="H294">
            <v>1632</v>
          </cell>
        </row>
        <row r="295">
          <cell r="B295" t="str">
            <v>1HS93</v>
          </cell>
          <cell r="C295" t="str">
            <v>Buje Soldado Pvc-S De 4"X2"</v>
          </cell>
          <cell r="D295" t="str">
            <v>un</v>
          </cell>
          <cell r="E295">
            <v>0.12</v>
          </cell>
          <cell r="G295">
            <v>8600</v>
          </cell>
          <cell r="H295">
            <v>1032</v>
          </cell>
        </row>
        <row r="296">
          <cell r="B296" t="str">
            <v>1HS62</v>
          </cell>
          <cell r="C296" t="str">
            <v>Tapon Prueba Pvc-S Ø= 4"</v>
          </cell>
          <cell r="D296" t="str">
            <v>un</v>
          </cell>
          <cell r="E296">
            <v>0.12</v>
          </cell>
          <cell r="G296">
            <v>3250</v>
          </cell>
          <cell r="H296">
            <v>390</v>
          </cell>
        </row>
        <row r="297">
          <cell r="B297" t="str">
            <v>1HS64</v>
          </cell>
          <cell r="C297" t="str">
            <v>Codo 45º Pvc-S Cxc, Ø=4"</v>
          </cell>
          <cell r="D297" t="str">
            <v>un</v>
          </cell>
          <cell r="E297">
            <v>0.12</v>
          </cell>
          <cell r="G297">
            <v>16900</v>
          </cell>
          <cell r="H297">
            <v>2028</v>
          </cell>
        </row>
        <row r="298">
          <cell r="B298" t="str">
            <v>1HS44</v>
          </cell>
          <cell r="C298" t="str">
            <v>Limpiador PVC 760 gramos (1/4 gal) o similar</v>
          </cell>
          <cell r="D298" t="str">
            <v>un</v>
          </cell>
          <cell r="E298">
            <v>0.03</v>
          </cell>
          <cell r="G298">
            <v>37900</v>
          </cell>
          <cell r="H298">
            <v>1137</v>
          </cell>
        </row>
        <row r="299">
          <cell r="B299" t="str">
            <v>1EL67</v>
          </cell>
          <cell r="C299" t="str">
            <v>Soldadura PVC 1/4 gal o similar</v>
          </cell>
          <cell r="D299" t="str">
            <v>un</v>
          </cell>
          <cell r="E299">
            <v>0.03</v>
          </cell>
          <cell r="G299">
            <v>71000</v>
          </cell>
          <cell r="H299">
            <v>2130</v>
          </cell>
        </row>
        <row r="300">
          <cell r="B300" t="str">
            <v>III. TRANSPORTES</v>
          </cell>
          <cell r="H300">
            <v>1.3016700000000001</v>
          </cell>
        </row>
        <row r="301">
          <cell r="B301" t="str">
            <v>6TB11</v>
          </cell>
          <cell r="C301" t="str">
            <v xml:space="preserve">Transporte de materiales varios </v>
          </cell>
          <cell r="D301" t="str">
            <v>T/km</v>
          </cell>
          <cell r="E301">
            <v>6</v>
          </cell>
          <cell r="F301">
            <v>1.9284000000000003E-3</v>
          </cell>
          <cell r="G301">
            <v>675</v>
          </cell>
          <cell r="H301">
            <v>1.3016700000000001</v>
          </cell>
        </row>
        <row r="302">
          <cell r="B302" t="str">
            <v>IV. MANO DE OBRA</v>
          </cell>
          <cell r="H302">
            <v>3508.7999999999997</v>
          </cell>
        </row>
        <row r="303">
          <cell r="B303">
            <v>21111</v>
          </cell>
          <cell r="C303" t="str">
            <v>Mo Oficial</v>
          </cell>
          <cell r="D303" t="str">
            <v>jor</v>
          </cell>
          <cell r="E303">
            <v>0.03</v>
          </cell>
          <cell r="G303">
            <v>116960</v>
          </cell>
          <cell r="H303">
            <v>3508.7999999999997</v>
          </cell>
        </row>
        <row r="304">
          <cell r="B304" t="str">
            <v>5.6</v>
          </cell>
          <cell r="C304" t="str">
            <v>Red sanitaria de piso para en tubería pvc-s 2", incuye accesorios y todo lo necesario para su correcta instalación.</v>
          </cell>
          <cell r="D304" t="str">
            <v>m</v>
          </cell>
          <cell r="E304">
            <v>4.5</v>
          </cell>
          <cell r="G304" t="str">
            <v/>
          </cell>
          <cell r="H304">
            <v>23068</v>
          </cell>
        </row>
        <row r="305">
          <cell r="B305" t="str">
            <v>I. EQUIPO Y HERRAMIENTA</v>
          </cell>
          <cell r="H305">
            <v>175.44</v>
          </cell>
        </row>
        <row r="306">
          <cell r="B306">
            <v>46111</v>
          </cell>
          <cell r="C306" t="str">
            <v>Herramienta Y Equipo Menor</v>
          </cell>
          <cell r="D306" t="str">
            <v>%</v>
          </cell>
          <cell r="F306">
            <v>0.05</v>
          </cell>
          <cell r="G306">
            <v>3508.7999999999997</v>
          </cell>
          <cell r="H306">
            <v>175.44</v>
          </cell>
        </row>
        <row r="307">
          <cell r="B307" t="str">
            <v>II. MATERIALES</v>
          </cell>
          <cell r="H307">
            <v>19382.900000000001</v>
          </cell>
        </row>
        <row r="308">
          <cell r="B308" t="str">
            <v>1HS74</v>
          </cell>
          <cell r="C308" t="str">
            <v>Tuberia Pvc-S Ø= 2"</v>
          </cell>
          <cell r="D308" t="str">
            <v>m</v>
          </cell>
          <cell r="E308">
            <v>1</v>
          </cell>
          <cell r="G308">
            <v>10620</v>
          </cell>
          <cell r="H308">
            <v>10620</v>
          </cell>
        </row>
        <row r="309">
          <cell r="B309" t="str">
            <v>1HS55</v>
          </cell>
          <cell r="C309" t="str">
            <v>Union Pvc-S Ø= 2"</v>
          </cell>
          <cell r="D309" t="str">
            <v>un</v>
          </cell>
          <cell r="E309">
            <v>0.17</v>
          </cell>
          <cell r="G309">
            <v>2320</v>
          </cell>
          <cell r="H309">
            <v>394.40000000000003</v>
          </cell>
        </row>
        <row r="310">
          <cell r="B310" t="str">
            <v>1HS56</v>
          </cell>
          <cell r="C310" t="str">
            <v>Codo 90° Pvc-S Cxc Ø= 2"</v>
          </cell>
          <cell r="D310" t="str">
            <v>un</v>
          </cell>
          <cell r="E310">
            <v>0.5</v>
          </cell>
          <cell r="G310">
            <v>3520</v>
          </cell>
          <cell r="H310">
            <v>1760</v>
          </cell>
        </row>
        <row r="311">
          <cell r="B311" t="str">
            <v>1HS82</v>
          </cell>
          <cell r="C311" t="str">
            <v>Yee Reducida Pvc-S Ø= 4"X2"</v>
          </cell>
          <cell r="D311" t="str">
            <v>un</v>
          </cell>
          <cell r="E311">
            <v>0.16</v>
          </cell>
          <cell r="G311">
            <v>21500</v>
          </cell>
          <cell r="H311">
            <v>3440</v>
          </cell>
        </row>
        <row r="312">
          <cell r="B312" t="str">
            <v>1HS23</v>
          </cell>
          <cell r="C312" t="str">
            <v>Codo 45º Pvc-S Cxc, Ø= 2"</v>
          </cell>
          <cell r="D312" t="str">
            <v>un</v>
          </cell>
          <cell r="E312">
            <v>0.16</v>
          </cell>
          <cell r="G312">
            <v>4200</v>
          </cell>
          <cell r="H312">
            <v>672</v>
          </cell>
        </row>
        <row r="313">
          <cell r="B313" t="str">
            <v>1HS53</v>
          </cell>
          <cell r="C313" t="str">
            <v>Sifon Pvc-S Ø= 2"</v>
          </cell>
          <cell r="D313" t="str">
            <v>un</v>
          </cell>
          <cell r="E313">
            <v>0.17</v>
          </cell>
          <cell r="G313">
            <v>6050</v>
          </cell>
          <cell r="H313">
            <v>1028.5</v>
          </cell>
        </row>
        <row r="314">
          <cell r="B314" t="str">
            <v>1HS44</v>
          </cell>
          <cell r="C314" t="str">
            <v>Limpiador PVC 760 gramos (1/4 gal) o similar</v>
          </cell>
          <cell r="D314" t="str">
            <v>un</v>
          </cell>
          <cell r="E314">
            <v>0.02</v>
          </cell>
          <cell r="G314">
            <v>37900</v>
          </cell>
          <cell r="H314">
            <v>758</v>
          </cell>
        </row>
        <row r="315">
          <cell r="B315" t="str">
            <v>1EL67</v>
          </cell>
          <cell r="C315" t="str">
            <v>Soldadura PVC 1/4 gal o similar</v>
          </cell>
          <cell r="D315" t="str">
            <v>un</v>
          </cell>
          <cell r="E315">
            <v>0.01</v>
          </cell>
          <cell r="G315">
            <v>71000</v>
          </cell>
          <cell r="H315">
            <v>710</v>
          </cell>
        </row>
        <row r="316">
          <cell r="B316" t="str">
            <v>III. TRANSPORTES</v>
          </cell>
          <cell r="H316">
            <v>0.66784500000000002</v>
          </cell>
        </row>
        <row r="317">
          <cell r="B317" t="str">
            <v>6TB11</v>
          </cell>
          <cell r="C317" t="str">
            <v xml:space="preserve">Transporte de materiales varios </v>
          </cell>
          <cell r="D317" t="str">
            <v>T/km</v>
          </cell>
          <cell r="E317">
            <v>6</v>
          </cell>
          <cell r="F317">
            <v>9.8940000000000009E-4</v>
          </cell>
          <cell r="G317">
            <v>675</v>
          </cell>
          <cell r="H317">
            <v>0.66784500000000002</v>
          </cell>
        </row>
        <row r="318">
          <cell r="B318" t="str">
            <v>IV. MANO DE OBRA</v>
          </cell>
          <cell r="H318">
            <v>3508.7999999999997</v>
          </cell>
        </row>
        <row r="319">
          <cell r="B319">
            <v>21111</v>
          </cell>
          <cell r="C319" t="str">
            <v>Mo Oficial</v>
          </cell>
          <cell r="D319" t="str">
            <v>jor</v>
          </cell>
          <cell r="E319">
            <v>0.03</v>
          </cell>
          <cell r="G319">
            <v>116960</v>
          </cell>
          <cell r="H319">
            <v>3508.7999999999997</v>
          </cell>
        </row>
        <row r="320">
          <cell r="B320" t="str">
            <v>5.7</v>
          </cell>
          <cell r="C320" t="str">
            <v>Red sanitaria de piso en tubería pvc-s 4", incuye accesorios y todo lo necesario para su correcta instalación. sometida al sistema ya presurizado.</v>
          </cell>
          <cell r="D320" t="str">
            <v>m</v>
          </cell>
          <cell r="E320">
            <v>14</v>
          </cell>
          <cell r="G320" t="str">
            <v/>
          </cell>
          <cell r="H320">
            <v>37572</v>
          </cell>
        </row>
        <row r="321">
          <cell r="B321" t="str">
            <v>I. EQUIPO Y HERRAMIENTA</v>
          </cell>
          <cell r="H321">
            <v>233.92000000000004</v>
          </cell>
        </row>
        <row r="322">
          <cell r="B322">
            <v>46111</v>
          </cell>
          <cell r="C322" t="str">
            <v>Herramienta Y Equipo Menor</v>
          </cell>
          <cell r="D322" t="str">
            <v>%</v>
          </cell>
          <cell r="F322">
            <v>0.05</v>
          </cell>
          <cell r="G322">
            <v>4678.4000000000005</v>
          </cell>
          <cell r="H322">
            <v>233.92000000000004</v>
          </cell>
        </row>
        <row r="323">
          <cell r="B323" t="str">
            <v>II. MATERIALES</v>
          </cell>
          <cell r="H323">
            <v>32658.272000000001</v>
          </cell>
        </row>
        <row r="324">
          <cell r="B324" t="str">
            <v>1HS75</v>
          </cell>
          <cell r="C324" t="str">
            <v>Tuberia Pvc-S Ø= 4"</v>
          </cell>
          <cell r="D324" t="str">
            <v>m</v>
          </cell>
          <cell r="E324">
            <v>1</v>
          </cell>
          <cell r="G324">
            <v>22150</v>
          </cell>
          <cell r="H324">
            <v>22150</v>
          </cell>
        </row>
        <row r="325">
          <cell r="B325" t="str">
            <v>1HS30</v>
          </cell>
          <cell r="C325" t="str">
            <v>Codo 90º Pvc-S Cxc, Ø= 4".</v>
          </cell>
          <cell r="D325" t="str">
            <v>un</v>
          </cell>
          <cell r="E325">
            <v>0.17002</v>
          </cell>
          <cell r="G325">
            <v>13600</v>
          </cell>
          <cell r="H325">
            <v>2312.2719999999999</v>
          </cell>
        </row>
        <row r="326">
          <cell r="B326" t="str">
            <v>1HS84</v>
          </cell>
          <cell r="C326" t="str">
            <v>Yee Pvc-S Ø= 4"</v>
          </cell>
          <cell r="D326" t="str">
            <v>un</v>
          </cell>
          <cell r="E326">
            <v>0.1</v>
          </cell>
          <cell r="G326">
            <v>21500</v>
          </cell>
          <cell r="H326">
            <v>2150</v>
          </cell>
        </row>
        <row r="327">
          <cell r="B327" t="str">
            <v>1HS64</v>
          </cell>
          <cell r="C327" t="str">
            <v>Codo 45º Pvc-S Cxc, Ø=4"</v>
          </cell>
          <cell r="D327" t="str">
            <v>un</v>
          </cell>
          <cell r="E327">
            <v>0.1</v>
          </cell>
          <cell r="G327">
            <v>16900</v>
          </cell>
          <cell r="H327">
            <v>1690</v>
          </cell>
        </row>
        <row r="328">
          <cell r="B328" t="str">
            <v>1HS44</v>
          </cell>
          <cell r="C328" t="str">
            <v>Limpiador PVC 760 gramos (1/4 gal) o similar</v>
          </cell>
          <cell r="D328" t="str">
            <v>un</v>
          </cell>
          <cell r="E328">
            <v>0.04</v>
          </cell>
          <cell r="G328">
            <v>37900</v>
          </cell>
          <cell r="H328">
            <v>1516</v>
          </cell>
        </row>
        <row r="329">
          <cell r="B329" t="str">
            <v>1EL67</v>
          </cell>
          <cell r="C329" t="str">
            <v>Soldadura PVC 1/4 gal o similar</v>
          </cell>
          <cell r="D329" t="str">
            <v>un</v>
          </cell>
          <cell r="E329">
            <v>0.04</v>
          </cell>
          <cell r="G329">
            <v>71000</v>
          </cell>
          <cell r="H329">
            <v>2840</v>
          </cell>
        </row>
        <row r="330">
          <cell r="B330" t="str">
            <v>III. TRANSPORTES</v>
          </cell>
          <cell r="H330">
            <v>1.3070727</v>
          </cell>
        </row>
        <row r="331">
          <cell r="B331" t="str">
            <v>6TB11</v>
          </cell>
          <cell r="C331" t="str">
            <v xml:space="preserve">Transporte de materiales varios </v>
          </cell>
          <cell r="D331" t="str">
            <v>T/km</v>
          </cell>
          <cell r="E331">
            <v>6</v>
          </cell>
          <cell r="F331">
            <v>1.9364039999999999E-3</v>
          </cell>
          <cell r="G331">
            <v>675</v>
          </cell>
          <cell r="H331">
            <v>1.3070727</v>
          </cell>
        </row>
        <row r="332">
          <cell r="B332" t="str">
            <v>IV. MANO DE OBRA</v>
          </cell>
          <cell r="H332">
            <v>4678.4000000000005</v>
          </cell>
        </row>
        <row r="333">
          <cell r="B333">
            <v>21111</v>
          </cell>
          <cell r="C333" t="str">
            <v>Mo Oficial</v>
          </cell>
          <cell r="D333" t="str">
            <v>jor</v>
          </cell>
          <cell r="E333">
            <v>0.04</v>
          </cell>
          <cell r="G333">
            <v>116960</v>
          </cell>
          <cell r="H333">
            <v>4678.4000000000005</v>
          </cell>
        </row>
        <row r="334">
          <cell r="B334" t="str">
            <v>5.8</v>
          </cell>
          <cell r="C334" t="str">
            <v>Suministro e instalación de red sanitaria de ventilación en pvc-s 2". incuye accesorios y todo lo necesario para su correcta instalación.</v>
          </cell>
          <cell r="D334" t="str">
            <v>m</v>
          </cell>
          <cell r="E334">
            <v>3.5</v>
          </cell>
          <cell r="G334" t="str">
            <v/>
          </cell>
          <cell r="H334">
            <v>22888</v>
          </cell>
        </row>
        <row r="335">
          <cell r="B335" t="str">
            <v>I. EQUIPO Y HERRAMIENTA</v>
          </cell>
          <cell r="H335">
            <v>210.52799999999999</v>
          </cell>
        </row>
        <row r="336">
          <cell r="B336">
            <v>46111</v>
          </cell>
          <cell r="C336" t="str">
            <v>Herramienta Y Equipo Menor</v>
          </cell>
          <cell r="D336" t="str">
            <v>%</v>
          </cell>
          <cell r="F336">
            <v>0.05</v>
          </cell>
          <cell r="G336">
            <v>4210.5599999999995</v>
          </cell>
          <cell r="H336">
            <v>210.52799999999999</v>
          </cell>
        </row>
        <row r="337">
          <cell r="B337" t="str">
            <v>II. MATERIALES</v>
          </cell>
          <cell r="H337">
            <v>18466.099999999999</v>
          </cell>
        </row>
        <row r="338">
          <cell r="B338" t="str">
            <v>1HS74</v>
          </cell>
          <cell r="C338" t="str">
            <v>Tuberia Pvc-S Ø= 2"</v>
          </cell>
          <cell r="D338" t="str">
            <v>m</v>
          </cell>
          <cell r="E338">
            <v>1</v>
          </cell>
          <cell r="G338">
            <v>10620</v>
          </cell>
          <cell r="H338">
            <v>10620</v>
          </cell>
        </row>
        <row r="339">
          <cell r="B339" t="str">
            <v>1HS55</v>
          </cell>
          <cell r="C339" t="str">
            <v>Union Pvc-S Ø= 2"</v>
          </cell>
          <cell r="D339" t="str">
            <v>un</v>
          </cell>
          <cell r="E339">
            <v>0.17</v>
          </cell>
          <cell r="G339">
            <v>2320</v>
          </cell>
          <cell r="H339">
            <v>394.40000000000003</v>
          </cell>
        </row>
        <row r="340">
          <cell r="B340" t="str">
            <v>1HS56</v>
          </cell>
          <cell r="C340" t="str">
            <v>Codo 90° Pvc-S Cxc Ø= 2"</v>
          </cell>
          <cell r="D340" t="str">
            <v>un</v>
          </cell>
          <cell r="E340">
            <v>0.86</v>
          </cell>
          <cell r="G340">
            <v>3520</v>
          </cell>
          <cell r="H340">
            <v>3027.2</v>
          </cell>
        </row>
        <row r="341">
          <cell r="B341" t="str">
            <v>1HS23</v>
          </cell>
          <cell r="C341" t="str">
            <v>Codo 45º Pvc-S Cxc, Ø= 2"</v>
          </cell>
          <cell r="D341" t="str">
            <v>un</v>
          </cell>
          <cell r="E341">
            <v>0.28999999999999998</v>
          </cell>
          <cell r="G341">
            <v>4200</v>
          </cell>
          <cell r="H341">
            <v>1218</v>
          </cell>
        </row>
        <row r="342">
          <cell r="B342" t="str">
            <v>1HS53</v>
          </cell>
          <cell r="C342" t="str">
            <v>Sifon Pvc-S Ø= 2"</v>
          </cell>
          <cell r="D342" t="str">
            <v>un</v>
          </cell>
          <cell r="E342">
            <v>0.17</v>
          </cell>
          <cell r="G342">
            <v>6050</v>
          </cell>
          <cell r="H342">
            <v>1028.5</v>
          </cell>
        </row>
        <row r="343">
          <cell r="B343" t="str">
            <v>1HS44</v>
          </cell>
          <cell r="C343" t="str">
            <v>Limpiador PVC 760 gramos (1/4 gal) o similar</v>
          </cell>
          <cell r="D343" t="str">
            <v>un</v>
          </cell>
          <cell r="E343">
            <v>0.02</v>
          </cell>
          <cell r="G343">
            <v>37900</v>
          </cell>
          <cell r="H343">
            <v>758</v>
          </cell>
        </row>
        <row r="344">
          <cell r="B344" t="str">
            <v>1EL67</v>
          </cell>
          <cell r="C344" t="str">
            <v>Soldadura PVC 1/4 gal o similar</v>
          </cell>
          <cell r="D344" t="str">
            <v>un</v>
          </cell>
          <cell r="E344">
            <v>0.02</v>
          </cell>
          <cell r="G344">
            <v>71000</v>
          </cell>
          <cell r="H344">
            <v>1420</v>
          </cell>
        </row>
        <row r="345">
          <cell r="B345" t="str">
            <v>III. TRANSPORTES</v>
          </cell>
          <cell r="H345">
            <v>0.684585</v>
          </cell>
        </row>
        <row r="346">
          <cell r="B346" t="str">
            <v>6TB11</v>
          </cell>
          <cell r="C346" t="str">
            <v xml:space="preserve">Transporte de materiales varios </v>
          </cell>
          <cell r="D346" t="str">
            <v>T/km</v>
          </cell>
          <cell r="E346">
            <v>6</v>
          </cell>
          <cell r="F346">
            <v>1.0142E-3</v>
          </cell>
          <cell r="G346">
            <v>675</v>
          </cell>
          <cell r="H346">
            <v>0.684585</v>
          </cell>
        </row>
        <row r="347">
          <cell r="B347" t="str">
            <v>IV. MANO DE OBRA</v>
          </cell>
          <cell r="H347">
            <v>4210.5599999999995</v>
          </cell>
        </row>
        <row r="348">
          <cell r="B348">
            <v>21111</v>
          </cell>
          <cell r="C348" t="str">
            <v>Mo Oficial</v>
          </cell>
          <cell r="D348" t="str">
            <v>jor</v>
          </cell>
          <cell r="E348">
            <v>3.5999999999999997E-2</v>
          </cell>
          <cell r="G348">
            <v>116960</v>
          </cell>
          <cell r="H348">
            <v>4210.5599999999995</v>
          </cell>
        </row>
        <row r="349">
          <cell r="B349" t="str">
            <v>5.9</v>
          </cell>
          <cell r="C349" t="str">
            <v>Construcción de caja de empalme, dimensiones de 0,5 m x 0,5 mts, con altura de 0,7 m-espesor de paredes 0,1 mts.  incluye: herraje para tapa, cañuela y todos los materiales indicados en el plano, mano de obra, herramientas, formaleta, equipo, concreto de 21 mpa, todos los demás elementos necesarios para el normal desarrollo de la actividad.</v>
          </cell>
          <cell r="D349" t="str">
            <v>Un</v>
          </cell>
          <cell r="E349">
            <v>1</v>
          </cell>
          <cell r="G349" t="str">
            <v/>
          </cell>
          <cell r="H349">
            <v>254512</v>
          </cell>
        </row>
        <row r="350">
          <cell r="B350" t="str">
            <v>I. EQUIPO Y HERRAMIENTA</v>
          </cell>
          <cell r="H350">
            <v>910.83500000000004</v>
          </cell>
        </row>
        <row r="351">
          <cell r="B351">
            <v>46111</v>
          </cell>
          <cell r="C351" t="str">
            <v>Herramienta Y Equipo Menor</v>
          </cell>
          <cell r="D351" t="str">
            <v>%</v>
          </cell>
          <cell r="F351">
            <v>0.05</v>
          </cell>
          <cell r="G351">
            <v>18216.7</v>
          </cell>
          <cell r="H351">
            <v>910.83500000000004</v>
          </cell>
        </row>
        <row r="352">
          <cell r="B352" t="str">
            <v>II. MATERIALES</v>
          </cell>
          <cell r="H352">
            <v>228215.86</v>
          </cell>
        </row>
        <row r="353">
          <cell r="B353">
            <v>14125</v>
          </cell>
          <cell r="C353" t="str">
            <v>Herraje para tapa de 40x40 cmts-angulo 1/8x2plg - g-50</v>
          </cell>
          <cell r="D353" t="str">
            <v>un</v>
          </cell>
          <cell r="E353">
            <v>1</v>
          </cell>
          <cell r="G353">
            <v>92500</v>
          </cell>
          <cell r="H353">
            <v>92500</v>
          </cell>
        </row>
        <row r="354">
          <cell r="B354">
            <v>14124</v>
          </cell>
          <cell r="C354" t="str">
            <v>Angulo De Acero De 2"X2"X1/4"</v>
          </cell>
          <cell r="D354" t="str">
            <v>m</v>
          </cell>
          <cell r="E354">
            <v>1.4</v>
          </cell>
          <cell r="G354">
            <v>29500</v>
          </cell>
          <cell r="H354">
            <v>41300</v>
          </cell>
        </row>
        <row r="355">
          <cell r="B355">
            <v>17113</v>
          </cell>
          <cell r="C355" t="str">
            <v>Malla electrosoldada D-84 (2,35m x 6m)</v>
          </cell>
          <cell r="D355" t="str">
            <v>un</v>
          </cell>
          <cell r="E355">
            <v>0.15</v>
          </cell>
          <cell r="G355">
            <v>121350</v>
          </cell>
          <cell r="H355">
            <v>18202.5</v>
          </cell>
        </row>
        <row r="356">
          <cell r="B356">
            <v>72132</v>
          </cell>
          <cell r="C356" t="str">
            <v>Aux Concreto 3000 Psi (21.1 Mpa) -Obra- 3/4"</v>
          </cell>
          <cell r="D356" t="str">
            <v>m3</v>
          </cell>
          <cell r="E356">
            <v>0.14000000000000001</v>
          </cell>
          <cell r="G356">
            <v>487024</v>
          </cell>
          <cell r="H356">
            <v>68183.360000000001</v>
          </cell>
        </row>
        <row r="357">
          <cell r="B357">
            <v>15421</v>
          </cell>
          <cell r="C357" t="str">
            <v>Clavos</v>
          </cell>
          <cell r="D357" t="str">
            <v>lb</v>
          </cell>
          <cell r="E357">
            <v>0.05</v>
          </cell>
          <cell r="G357">
            <v>3800</v>
          </cell>
          <cell r="H357">
            <v>190</v>
          </cell>
        </row>
        <row r="358">
          <cell r="B358" t="str">
            <v>18Z15</v>
          </cell>
          <cell r="C358" t="str">
            <v>Tabla Madera Comun 1X8" 3M</v>
          </cell>
          <cell r="D358" t="str">
            <v>un</v>
          </cell>
          <cell r="E358">
            <v>0.8</v>
          </cell>
          <cell r="G358">
            <v>9800</v>
          </cell>
          <cell r="H358">
            <v>7840</v>
          </cell>
        </row>
        <row r="359">
          <cell r="B359" t="str">
            <v>III. TRANSPORTES</v>
          </cell>
          <cell r="H359">
            <v>7168.277250000001</v>
          </cell>
        </row>
        <row r="360">
          <cell r="B360" t="str">
            <v>6TB11</v>
          </cell>
          <cell r="C360" t="str">
            <v xml:space="preserve">Transporte de materiales varios </v>
          </cell>
          <cell r="D360" t="str">
            <v>T/km</v>
          </cell>
          <cell r="E360">
            <v>30</v>
          </cell>
          <cell r="F360">
            <v>0.35398900000000005</v>
          </cell>
          <cell r="G360">
            <v>675</v>
          </cell>
          <cell r="H360">
            <v>7168.277250000001</v>
          </cell>
        </row>
        <row r="361">
          <cell r="B361" t="str">
            <v>IV. MANO DE OBRA</v>
          </cell>
          <cell r="H361">
            <v>18216.7</v>
          </cell>
        </row>
        <row r="362">
          <cell r="B362">
            <v>21111</v>
          </cell>
          <cell r="C362" t="str">
            <v>Mo Oficial</v>
          </cell>
          <cell r="D362" t="str">
            <v>jor</v>
          </cell>
          <cell r="E362">
            <v>0.1</v>
          </cell>
          <cell r="G362">
            <v>116960</v>
          </cell>
          <cell r="H362">
            <v>11696</v>
          </cell>
        </row>
        <row r="363">
          <cell r="B363">
            <v>21131</v>
          </cell>
          <cell r="C363" t="str">
            <v>Mo Ayudante Raso</v>
          </cell>
          <cell r="D363" t="str">
            <v>jor</v>
          </cell>
          <cell r="E363">
            <v>0.1</v>
          </cell>
          <cell r="G363">
            <v>65207</v>
          </cell>
          <cell r="H363">
            <v>6520.7000000000007</v>
          </cell>
        </row>
        <row r="364">
          <cell r="B364" t="str">
            <v>6.</v>
          </cell>
          <cell r="C364" t="str">
            <v>INSTALACIONES ELECTRICAS</v>
          </cell>
          <cell r="D364" t="str">
            <v/>
          </cell>
          <cell r="G364" t="str">
            <v/>
          </cell>
        </row>
        <row r="365">
          <cell r="B365" t="str">
            <v>6.1</v>
          </cell>
          <cell r="C365" t="str">
            <v>Suministro e instalación de toma corriente 125v doble con polo a tierra, 15a. de empotrar. incluye caja, accesorios, fijaciones y todos los elementos para su correcta instalación. los materiales deben cumplir con certificación retie.</v>
          </cell>
          <cell r="D365" t="str">
            <v>Un</v>
          </cell>
          <cell r="E365">
            <v>10</v>
          </cell>
          <cell r="G365" t="str">
            <v/>
          </cell>
          <cell r="H365">
            <v>8976</v>
          </cell>
        </row>
        <row r="366">
          <cell r="B366" t="str">
            <v>I. EQUIPO Y HERRAMIENTA</v>
          </cell>
          <cell r="H366">
            <v>87.72</v>
          </cell>
        </row>
        <row r="367">
          <cell r="B367">
            <v>46111</v>
          </cell>
          <cell r="C367" t="str">
            <v>Herramienta Y Equipo Menor</v>
          </cell>
          <cell r="D367" t="str">
            <v>%</v>
          </cell>
          <cell r="F367">
            <v>0.05</v>
          </cell>
          <cell r="G367">
            <v>1754.3999999999999</v>
          </cell>
          <cell r="H367">
            <v>87.72</v>
          </cell>
        </row>
        <row r="368">
          <cell r="B368" t="str">
            <v>II. MATERIALES</v>
          </cell>
          <cell r="H368">
            <v>7134</v>
          </cell>
        </row>
        <row r="369">
          <cell r="B369" t="str">
            <v>1EL11</v>
          </cell>
          <cell r="C369" t="str">
            <v>Toma corriente 125v doble con polo a tierra, 15A, con tapa</v>
          </cell>
          <cell r="D369" t="str">
            <v>un</v>
          </cell>
          <cell r="E369">
            <v>1</v>
          </cell>
          <cell r="G369">
            <v>5100</v>
          </cell>
          <cell r="H369">
            <v>5100</v>
          </cell>
        </row>
        <row r="370">
          <cell r="B370" t="str">
            <v>1EL18</v>
          </cell>
          <cell r="C370" t="str">
            <v>Caja sencilla 2"x4" PVC</v>
          </cell>
          <cell r="D370" t="str">
            <v>un</v>
          </cell>
          <cell r="E370">
            <v>1</v>
          </cell>
          <cell r="G370">
            <v>770</v>
          </cell>
          <cell r="H370">
            <v>770</v>
          </cell>
        </row>
        <row r="371">
          <cell r="B371" t="str">
            <v>1EL19</v>
          </cell>
          <cell r="C371" t="str">
            <v>Adaptadores terminales PVC 1/2" Conduit o similar</v>
          </cell>
          <cell r="D371" t="str">
            <v>un</v>
          </cell>
          <cell r="E371">
            <v>2</v>
          </cell>
          <cell r="G371">
            <v>490</v>
          </cell>
          <cell r="H371">
            <v>980</v>
          </cell>
        </row>
        <row r="372">
          <cell r="B372" t="str">
            <v>1EL67</v>
          </cell>
          <cell r="C372" t="str">
            <v>Soldadura PVC 1/4 gal o similar</v>
          </cell>
          <cell r="D372" t="str">
            <v>un</v>
          </cell>
          <cell r="E372">
            <v>4.0000000000000001E-3</v>
          </cell>
          <cell r="G372">
            <v>71000</v>
          </cell>
          <cell r="H372">
            <v>284</v>
          </cell>
        </row>
        <row r="373">
          <cell r="B373" t="str">
            <v>III. TRANSPORTES</v>
          </cell>
          <cell r="H373">
            <v>0.17760600000000004</v>
          </cell>
        </row>
        <row r="374">
          <cell r="B374" t="str">
            <v>6TB11</v>
          </cell>
          <cell r="C374" t="str">
            <v xml:space="preserve">Transporte de materiales varios </v>
          </cell>
          <cell r="D374" t="str">
            <v>T/km</v>
          </cell>
          <cell r="E374">
            <v>6</v>
          </cell>
          <cell r="F374">
            <v>2.6312000000000004E-4</v>
          </cell>
          <cell r="G374">
            <v>675</v>
          </cell>
          <cell r="H374">
            <v>0.17760600000000004</v>
          </cell>
        </row>
        <row r="375">
          <cell r="B375" t="str">
            <v>IV. MANO DE OBRA</v>
          </cell>
          <cell r="H375">
            <v>1754.3999999999999</v>
          </cell>
        </row>
        <row r="376">
          <cell r="B376">
            <v>21111</v>
          </cell>
          <cell r="C376" t="str">
            <v>Mo Oficial</v>
          </cell>
          <cell r="D376" t="str">
            <v>jor</v>
          </cell>
          <cell r="E376">
            <v>1.4999999999999999E-2</v>
          </cell>
          <cell r="G376">
            <v>116960</v>
          </cell>
          <cell r="H376">
            <v>1754.3999999999999</v>
          </cell>
        </row>
        <row r="377">
          <cell r="B377" t="str">
            <v>6.2</v>
          </cell>
          <cell r="C377" t="str">
            <v>Suministro e instalación de tomas gfci, blanca, de empotrar. incluye caja, accesorios, fijaciones y todos los elementos para su correcta instalación. los materiales deben cumplir con certificación retie.</v>
          </cell>
          <cell r="D377" t="str">
            <v>Un</v>
          </cell>
          <cell r="E377">
            <v>2</v>
          </cell>
          <cell r="G377" t="str">
            <v/>
          </cell>
          <cell r="H377">
            <v>38266</v>
          </cell>
        </row>
        <row r="378">
          <cell r="B378" t="str">
            <v>I. EQUIPO Y HERRAMIENTA</v>
          </cell>
          <cell r="H378">
            <v>87.72</v>
          </cell>
        </row>
        <row r="379">
          <cell r="B379">
            <v>46111</v>
          </cell>
          <cell r="C379" t="str">
            <v>Herramienta Y Equipo Menor</v>
          </cell>
          <cell r="D379" t="str">
            <v>%</v>
          </cell>
          <cell r="F379">
            <v>0.05</v>
          </cell>
          <cell r="G379">
            <v>1754.3999999999999</v>
          </cell>
          <cell r="H379">
            <v>87.72</v>
          </cell>
        </row>
        <row r="380">
          <cell r="B380" t="str">
            <v>II. MATERIALES</v>
          </cell>
          <cell r="H380">
            <v>36424</v>
          </cell>
        </row>
        <row r="381">
          <cell r="B381" t="str">
            <v>1EL10</v>
          </cell>
          <cell r="C381" t="str">
            <v>Toma Corriente GFCI, 125V Doble Con Polo A Tierra,15A, Con Tapa</v>
          </cell>
          <cell r="D381" t="str">
            <v>un</v>
          </cell>
          <cell r="E381">
            <v>1</v>
          </cell>
          <cell r="G381">
            <v>33900</v>
          </cell>
          <cell r="H381">
            <v>33900</v>
          </cell>
        </row>
        <row r="382">
          <cell r="B382" t="str">
            <v>EL1091</v>
          </cell>
          <cell r="C382" t="str">
            <v>Caja doble  4"x4" PVC con suplemento</v>
          </cell>
          <cell r="D382" t="str">
            <v>un</v>
          </cell>
          <cell r="E382">
            <v>1</v>
          </cell>
          <cell r="G382">
            <v>1260</v>
          </cell>
          <cell r="H382">
            <v>1260</v>
          </cell>
        </row>
        <row r="383">
          <cell r="B383" t="str">
            <v>1EL19</v>
          </cell>
          <cell r="C383" t="str">
            <v>Adaptadores terminales PVC 1/2" Conduit o similar</v>
          </cell>
          <cell r="D383" t="str">
            <v>un</v>
          </cell>
          <cell r="E383">
            <v>2</v>
          </cell>
          <cell r="G383">
            <v>490</v>
          </cell>
          <cell r="H383">
            <v>980</v>
          </cell>
        </row>
        <row r="384">
          <cell r="B384" t="str">
            <v>1EL67</v>
          </cell>
          <cell r="C384" t="str">
            <v>Soldadura PVC 1/4 gal o similar</v>
          </cell>
          <cell r="D384" t="str">
            <v>un</v>
          </cell>
          <cell r="E384">
            <v>4.0000000000000001E-3</v>
          </cell>
          <cell r="G384">
            <v>71000</v>
          </cell>
          <cell r="H384">
            <v>284</v>
          </cell>
        </row>
        <row r="385">
          <cell r="B385" t="str">
            <v>III. TRANSPORTES</v>
          </cell>
          <cell r="H385">
            <v>0.17760600000000004</v>
          </cell>
        </row>
        <row r="386">
          <cell r="B386" t="str">
            <v>6TB11</v>
          </cell>
          <cell r="C386" t="str">
            <v xml:space="preserve">Transporte de materiales varios </v>
          </cell>
          <cell r="D386" t="str">
            <v>T/km</v>
          </cell>
          <cell r="E386">
            <v>6</v>
          </cell>
          <cell r="F386">
            <v>2.6312000000000004E-4</v>
          </cell>
          <cell r="G386">
            <v>675</v>
          </cell>
          <cell r="H386">
            <v>0.17760600000000004</v>
          </cell>
        </row>
        <row r="387">
          <cell r="B387" t="str">
            <v>IV. MANO DE OBRA</v>
          </cell>
          <cell r="H387">
            <v>1754.3999999999999</v>
          </cell>
        </row>
        <row r="388">
          <cell r="B388">
            <v>21111</v>
          </cell>
          <cell r="C388" t="str">
            <v>Mo Oficial</v>
          </cell>
          <cell r="D388" t="str">
            <v>jor</v>
          </cell>
          <cell r="E388">
            <v>1.4999999999999999E-2</v>
          </cell>
          <cell r="G388">
            <v>116960</v>
          </cell>
          <cell r="H388">
            <v>1754.3999999999999</v>
          </cell>
        </row>
        <row r="389">
          <cell r="B389" t="str">
            <v>6.3</v>
          </cell>
          <cell r="C389" t="str">
            <v xml:space="preserve">Suministro e instalación de interruptor sencillo blanco, de empotrar. incluye caja, accesorios, fijaciones y todos los elementos para su correcta instalación. los materiales deben cumplir con certificación retie. </v>
          </cell>
          <cell r="D389" t="str">
            <v>Un</v>
          </cell>
          <cell r="E389">
            <v>6</v>
          </cell>
          <cell r="G389" t="str">
            <v/>
          </cell>
          <cell r="H389">
            <v>8576</v>
          </cell>
        </row>
        <row r="390">
          <cell r="B390" t="str">
            <v>I. EQUIPO Y HERRAMIENTA</v>
          </cell>
          <cell r="H390">
            <v>87.72</v>
          </cell>
        </row>
        <row r="391">
          <cell r="B391">
            <v>46111</v>
          </cell>
          <cell r="C391" t="str">
            <v>Herramienta Y Equipo Menor</v>
          </cell>
          <cell r="D391" t="str">
            <v>%</v>
          </cell>
          <cell r="F391">
            <v>0.05</v>
          </cell>
          <cell r="G391">
            <v>1754.3999999999999</v>
          </cell>
          <cell r="H391">
            <v>87.72</v>
          </cell>
        </row>
        <row r="392">
          <cell r="B392" t="str">
            <v>II. MATERIALES</v>
          </cell>
          <cell r="H392">
            <v>6734</v>
          </cell>
        </row>
        <row r="393">
          <cell r="B393" t="str">
            <v>1EL1S</v>
          </cell>
          <cell r="C393" t="str">
            <v>Interruptor Sencillo Blanco marca EXE o similar</v>
          </cell>
          <cell r="D393" t="str">
            <v>un</v>
          </cell>
          <cell r="E393">
            <v>1</v>
          </cell>
          <cell r="G393">
            <v>4700</v>
          </cell>
          <cell r="H393">
            <v>4700</v>
          </cell>
        </row>
        <row r="394">
          <cell r="B394" t="str">
            <v>1EL18</v>
          </cell>
          <cell r="C394" t="str">
            <v>Caja sencilla 2"x4" PVC</v>
          </cell>
          <cell r="D394" t="str">
            <v>un</v>
          </cell>
          <cell r="E394">
            <v>1</v>
          </cell>
          <cell r="G394">
            <v>770</v>
          </cell>
          <cell r="H394">
            <v>770</v>
          </cell>
        </row>
        <row r="395">
          <cell r="B395" t="str">
            <v>1EL19</v>
          </cell>
          <cell r="C395" t="str">
            <v>Adaptadores terminales PVC 1/2" Conduit o similar</v>
          </cell>
          <cell r="D395" t="str">
            <v>un</v>
          </cell>
          <cell r="E395">
            <v>2</v>
          </cell>
          <cell r="G395">
            <v>490</v>
          </cell>
          <cell r="H395">
            <v>980</v>
          </cell>
        </row>
        <row r="396">
          <cell r="B396" t="str">
            <v>1EL67</v>
          </cell>
          <cell r="C396" t="str">
            <v>Soldadura PVC 1/4 gal o similar</v>
          </cell>
          <cell r="D396" t="str">
            <v>un</v>
          </cell>
          <cell r="E396">
            <v>4.0000000000000001E-3</v>
          </cell>
          <cell r="G396">
            <v>71000</v>
          </cell>
          <cell r="H396">
            <v>284</v>
          </cell>
        </row>
        <row r="397">
          <cell r="B397" t="str">
            <v>III. TRANSPORTES</v>
          </cell>
          <cell r="H397">
            <v>0.17760600000000004</v>
          </cell>
        </row>
        <row r="398">
          <cell r="B398" t="str">
            <v>6TB11</v>
          </cell>
          <cell r="C398" t="str">
            <v xml:space="preserve">Transporte de materiales varios </v>
          </cell>
          <cell r="D398" t="str">
            <v>T/km</v>
          </cell>
          <cell r="E398">
            <v>6</v>
          </cell>
          <cell r="F398">
            <v>2.6312000000000004E-4</v>
          </cell>
          <cell r="G398">
            <v>675</v>
          </cell>
          <cell r="H398">
            <v>0.17760600000000004</v>
          </cell>
        </row>
        <row r="399">
          <cell r="B399" t="str">
            <v>IV. MANO DE OBRA</v>
          </cell>
          <cell r="H399">
            <v>1754.3999999999999</v>
          </cell>
        </row>
        <row r="400">
          <cell r="B400">
            <v>21111</v>
          </cell>
          <cell r="C400" t="str">
            <v>Mo Oficial</v>
          </cell>
          <cell r="D400" t="str">
            <v>jor</v>
          </cell>
          <cell r="E400">
            <v>1.4999999999999999E-2</v>
          </cell>
          <cell r="G400">
            <v>116960</v>
          </cell>
          <cell r="H400">
            <v>1754.3999999999999</v>
          </cell>
        </row>
        <row r="401">
          <cell r="B401" t="str">
            <v>6.4</v>
          </cell>
          <cell r="C401" t="str">
            <v xml:space="preserve">Suministro e instalación de interruptor doble, blanco, de empotrar. incluye caja, accesorios, fijaciones y todos los elementos para su correcta instalación. los materiales deben cumplir con certificación retie. </v>
          </cell>
          <cell r="D401" t="str">
            <v>Un</v>
          </cell>
          <cell r="E401">
            <v>1</v>
          </cell>
          <cell r="G401" t="str">
            <v/>
          </cell>
          <cell r="H401">
            <v>10376</v>
          </cell>
        </row>
        <row r="402">
          <cell r="B402" t="str">
            <v>I. EQUIPO Y HERRAMIENTA</v>
          </cell>
          <cell r="H402">
            <v>87.72</v>
          </cell>
        </row>
        <row r="403">
          <cell r="B403">
            <v>46111</v>
          </cell>
          <cell r="C403" t="str">
            <v>Herramienta Y Equipo Menor</v>
          </cell>
          <cell r="D403" t="str">
            <v>%</v>
          </cell>
          <cell r="F403">
            <v>0.05</v>
          </cell>
          <cell r="G403">
            <v>1754.3999999999999</v>
          </cell>
          <cell r="H403">
            <v>87.72</v>
          </cell>
        </row>
        <row r="404">
          <cell r="B404" t="str">
            <v>II. MATERIALES</v>
          </cell>
          <cell r="H404">
            <v>8534</v>
          </cell>
        </row>
        <row r="405">
          <cell r="B405" t="str">
            <v>1EL12</v>
          </cell>
          <cell r="C405" t="str">
            <v>Interruptor Doble Blanco marca EXE o similar</v>
          </cell>
          <cell r="D405" t="str">
            <v>un</v>
          </cell>
          <cell r="E405">
            <v>1</v>
          </cell>
          <cell r="G405">
            <v>6500</v>
          </cell>
          <cell r="H405">
            <v>6500</v>
          </cell>
        </row>
        <row r="406">
          <cell r="B406" t="str">
            <v>1EL18</v>
          </cell>
          <cell r="C406" t="str">
            <v>Caja sencilla 2"x4" PVC</v>
          </cell>
          <cell r="D406" t="str">
            <v>un</v>
          </cell>
          <cell r="E406">
            <v>1</v>
          </cell>
          <cell r="G406">
            <v>770</v>
          </cell>
          <cell r="H406">
            <v>770</v>
          </cell>
        </row>
        <row r="407">
          <cell r="B407" t="str">
            <v>1EL19</v>
          </cell>
          <cell r="C407" t="str">
            <v>Adaptadores terminales PVC 1/2" Conduit o similar</v>
          </cell>
          <cell r="D407" t="str">
            <v>un</v>
          </cell>
          <cell r="E407">
            <v>2</v>
          </cell>
          <cell r="G407">
            <v>490</v>
          </cell>
          <cell r="H407">
            <v>980</v>
          </cell>
        </row>
        <row r="408">
          <cell r="B408" t="str">
            <v>1EL67</v>
          </cell>
          <cell r="C408" t="str">
            <v>Soldadura PVC 1/4 gal o similar</v>
          </cell>
          <cell r="D408" t="str">
            <v>un</v>
          </cell>
          <cell r="E408">
            <v>4.0000000000000001E-3</v>
          </cell>
          <cell r="G408">
            <v>71000</v>
          </cell>
          <cell r="H408">
            <v>284</v>
          </cell>
        </row>
        <row r="409">
          <cell r="B409" t="str">
            <v>III. TRANSPORTES</v>
          </cell>
          <cell r="H409">
            <v>0.197856</v>
          </cell>
        </row>
        <row r="410">
          <cell r="B410" t="str">
            <v>6TB11</v>
          </cell>
          <cell r="C410" t="str">
            <v xml:space="preserve">Transporte de materiales varios </v>
          </cell>
          <cell r="D410" t="str">
            <v>T/km</v>
          </cell>
          <cell r="E410">
            <v>6</v>
          </cell>
          <cell r="F410">
            <v>2.9312000000000001E-4</v>
          </cell>
          <cell r="G410">
            <v>675</v>
          </cell>
          <cell r="H410">
            <v>0.197856</v>
          </cell>
        </row>
        <row r="411">
          <cell r="B411" t="str">
            <v>IV. MANO DE OBRA</v>
          </cell>
          <cell r="H411">
            <v>1754.3999999999999</v>
          </cell>
        </row>
        <row r="412">
          <cell r="B412">
            <v>21111</v>
          </cell>
          <cell r="C412" t="str">
            <v>Mo Oficial</v>
          </cell>
          <cell r="D412" t="str">
            <v>jor</v>
          </cell>
          <cell r="E412">
            <v>1.4999999999999999E-2</v>
          </cell>
          <cell r="G412">
            <v>116960</v>
          </cell>
          <cell r="H412">
            <v>1754.3999999999999</v>
          </cell>
        </row>
        <row r="413">
          <cell r="B413" t="str">
            <v>6.5</v>
          </cell>
          <cell r="C413" t="str">
            <v xml:space="preserve">Suministro e instalación de plafones, salidas para iluminación. en baquelita, blanco, de sobreponer. incluye caja, accesorios, fijaciones y todos los elementos para su correcta instalación. los materiales deben cumplir con certificación retie. </v>
          </cell>
          <cell r="D413" t="str">
            <v>Un</v>
          </cell>
          <cell r="E413">
            <v>8</v>
          </cell>
          <cell r="G413" t="str">
            <v/>
          </cell>
          <cell r="H413">
            <v>6076</v>
          </cell>
        </row>
        <row r="414">
          <cell r="B414" t="str">
            <v>I. EQUIPO Y HERRAMIENTA</v>
          </cell>
          <cell r="H414">
            <v>87.72</v>
          </cell>
        </row>
        <row r="415">
          <cell r="B415">
            <v>46111</v>
          </cell>
          <cell r="C415" t="str">
            <v>Herramienta Y Equipo Menor</v>
          </cell>
          <cell r="D415" t="str">
            <v>%</v>
          </cell>
          <cell r="F415">
            <v>0.05</v>
          </cell>
          <cell r="G415">
            <v>1754.3999999999999</v>
          </cell>
          <cell r="H415">
            <v>87.72</v>
          </cell>
        </row>
        <row r="416">
          <cell r="B416" t="str">
            <v>II. MATERIALES</v>
          </cell>
          <cell r="H416">
            <v>4234</v>
          </cell>
        </row>
        <row r="417">
          <cell r="B417" t="str">
            <v>1EL13</v>
          </cell>
          <cell r="C417" t="str">
            <v>Plafón en baquelita tipo AVE o similar</v>
          </cell>
          <cell r="D417" t="str">
            <v>un</v>
          </cell>
          <cell r="E417">
            <v>1</v>
          </cell>
          <cell r="G417">
            <v>2000</v>
          </cell>
          <cell r="H417">
            <v>2000</v>
          </cell>
        </row>
        <row r="418">
          <cell r="B418" t="str">
            <v>EL1135</v>
          </cell>
          <cell r="C418" t="str">
            <v>Caja Octagonal PVC Pavco o similar</v>
          </cell>
          <cell r="D418" t="str">
            <v>un</v>
          </cell>
          <cell r="E418">
            <v>1</v>
          </cell>
          <cell r="G418">
            <v>970</v>
          </cell>
          <cell r="H418">
            <v>970</v>
          </cell>
        </row>
        <row r="419">
          <cell r="B419" t="str">
            <v>1EL19</v>
          </cell>
          <cell r="C419" t="str">
            <v>Adaptadores terminales PVC 1/2" Conduit o similar</v>
          </cell>
          <cell r="D419" t="str">
            <v>un</v>
          </cell>
          <cell r="E419">
            <v>2</v>
          </cell>
          <cell r="G419">
            <v>490</v>
          </cell>
          <cell r="H419">
            <v>980</v>
          </cell>
        </row>
        <row r="420">
          <cell r="B420" t="str">
            <v>1EL67</v>
          </cell>
          <cell r="C420" t="str">
            <v>Soldadura PVC 1/4 gal o similar</v>
          </cell>
          <cell r="D420" t="str">
            <v>un</v>
          </cell>
          <cell r="E420">
            <v>4.0000000000000001E-3</v>
          </cell>
          <cell r="G420">
            <v>71000</v>
          </cell>
          <cell r="H420">
            <v>284</v>
          </cell>
        </row>
        <row r="421">
          <cell r="B421" t="str">
            <v>III. TRANSPORTES</v>
          </cell>
          <cell r="H421">
            <v>0.11010600000000001</v>
          </cell>
        </row>
        <row r="422">
          <cell r="B422" t="str">
            <v>6TB11</v>
          </cell>
          <cell r="C422" t="str">
            <v xml:space="preserve">Transporte de materiales varios </v>
          </cell>
          <cell r="D422" t="str">
            <v>T/km</v>
          </cell>
          <cell r="E422">
            <v>6</v>
          </cell>
          <cell r="F422">
            <v>1.6312000000000002E-4</v>
          </cell>
          <cell r="G422">
            <v>675</v>
          </cell>
          <cell r="H422">
            <v>0.11010600000000001</v>
          </cell>
        </row>
        <row r="423">
          <cell r="B423" t="str">
            <v>IV. MANO DE OBRA</v>
          </cell>
          <cell r="H423">
            <v>1754.3999999999999</v>
          </cell>
        </row>
        <row r="424">
          <cell r="B424">
            <v>21111</v>
          </cell>
          <cell r="C424" t="str">
            <v>Mo Oficial</v>
          </cell>
          <cell r="D424" t="str">
            <v>jor</v>
          </cell>
          <cell r="E424">
            <v>1.4999999999999999E-2</v>
          </cell>
          <cell r="G424">
            <v>116960</v>
          </cell>
          <cell r="H424">
            <v>1754.3999999999999</v>
          </cell>
        </row>
        <row r="425">
          <cell r="B425" t="str">
            <v>6.6</v>
          </cell>
          <cell r="C425" t="str">
            <v xml:space="preserve">Suministro e instalación de protección del circuito de 1x20a.  los materiales deben cumplir con certificación retie. </v>
          </cell>
          <cell r="D425" t="str">
            <v>Un</v>
          </cell>
          <cell r="E425">
            <v>4</v>
          </cell>
          <cell r="G425" t="str">
            <v/>
          </cell>
          <cell r="H425">
            <v>11342</v>
          </cell>
        </row>
        <row r="426">
          <cell r="B426" t="str">
            <v>I. EQUIPO Y HERRAMIENTA</v>
          </cell>
          <cell r="H426">
            <v>87.72</v>
          </cell>
        </row>
        <row r="427">
          <cell r="B427">
            <v>46111</v>
          </cell>
          <cell r="C427" t="str">
            <v>Herramienta Y Equipo Menor</v>
          </cell>
          <cell r="D427" t="str">
            <v>%</v>
          </cell>
          <cell r="F427">
            <v>0.05</v>
          </cell>
          <cell r="G427">
            <v>1754.3999999999999</v>
          </cell>
          <cell r="H427">
            <v>87.72</v>
          </cell>
        </row>
        <row r="428">
          <cell r="B428" t="str">
            <v>II. MATERIALES</v>
          </cell>
          <cell r="H428">
            <v>9500</v>
          </cell>
        </row>
        <row r="429">
          <cell r="B429" t="str">
            <v>1EL14</v>
          </cell>
          <cell r="C429" t="str">
            <v>Breaker de 1x20A enchufable</v>
          </cell>
          <cell r="D429" t="str">
            <v>un</v>
          </cell>
          <cell r="E429">
            <v>1</v>
          </cell>
          <cell r="G429">
            <v>9500</v>
          </cell>
          <cell r="H429">
            <v>9500</v>
          </cell>
        </row>
        <row r="430">
          <cell r="B430" t="str">
            <v>III. TRANSPORTES</v>
          </cell>
          <cell r="H430">
            <v>0.10124999999999999</v>
          </cell>
        </row>
        <row r="431">
          <cell r="B431" t="str">
            <v>6TB11</v>
          </cell>
          <cell r="C431" t="str">
            <v xml:space="preserve">Transporte de materiales varios </v>
          </cell>
          <cell r="D431" t="str">
            <v>T/km</v>
          </cell>
          <cell r="E431">
            <v>6</v>
          </cell>
          <cell r="F431">
            <v>1.4999999999999999E-4</v>
          </cell>
          <cell r="G431">
            <v>675</v>
          </cell>
          <cell r="H431">
            <v>0.10124999999999999</v>
          </cell>
        </row>
        <row r="432">
          <cell r="B432" t="str">
            <v>IV. MANO DE OBRA</v>
          </cell>
          <cell r="H432">
            <v>1754.3999999999999</v>
          </cell>
        </row>
        <row r="433">
          <cell r="B433">
            <v>21111</v>
          </cell>
          <cell r="C433" t="str">
            <v>Mo Oficial</v>
          </cell>
          <cell r="D433" t="str">
            <v>jor</v>
          </cell>
          <cell r="E433">
            <v>1.4999999999999999E-2</v>
          </cell>
          <cell r="G433">
            <v>116960</v>
          </cell>
          <cell r="H433">
            <v>1754.3999999999999</v>
          </cell>
        </row>
        <row r="434">
          <cell r="B434" t="str">
            <v>6.7</v>
          </cell>
          <cell r="C434" t="str">
            <v xml:space="preserve">Suministro e instalación de protección del circuito de 1x30a.  los materiales deben cumplir con certificación retie. </v>
          </cell>
          <cell r="D434" t="str">
            <v>Un</v>
          </cell>
          <cell r="E434">
            <v>1</v>
          </cell>
          <cell r="G434" t="str">
            <v/>
          </cell>
          <cell r="H434">
            <v>11342</v>
          </cell>
        </row>
        <row r="435">
          <cell r="B435" t="str">
            <v>I. EQUIPO Y HERRAMIENTA</v>
          </cell>
          <cell r="H435">
            <v>87.72</v>
          </cell>
        </row>
        <row r="436">
          <cell r="B436">
            <v>46111</v>
          </cell>
          <cell r="C436" t="str">
            <v>Herramienta Y Equipo Menor</v>
          </cell>
          <cell r="D436" t="str">
            <v>%</v>
          </cell>
          <cell r="F436">
            <v>0.05</v>
          </cell>
          <cell r="G436">
            <v>1754.3999999999999</v>
          </cell>
          <cell r="H436">
            <v>87.72</v>
          </cell>
        </row>
        <row r="437">
          <cell r="B437" t="str">
            <v>II. MATERIALES</v>
          </cell>
          <cell r="H437">
            <v>9500</v>
          </cell>
        </row>
        <row r="438">
          <cell r="B438" t="str">
            <v>1EL142</v>
          </cell>
          <cell r="C438" t="str">
            <v>Breaker de 1x30A enchufable</v>
          </cell>
          <cell r="D438" t="str">
            <v>un</v>
          </cell>
          <cell r="E438">
            <v>1</v>
          </cell>
          <cell r="G438">
            <v>9500</v>
          </cell>
          <cell r="H438">
            <v>9500</v>
          </cell>
        </row>
        <row r="439">
          <cell r="B439" t="str">
            <v>III. TRANSPORTES</v>
          </cell>
          <cell r="H439">
            <v>0.10124999999999999</v>
          </cell>
        </row>
        <row r="440">
          <cell r="B440" t="str">
            <v>6TB11</v>
          </cell>
          <cell r="C440" t="str">
            <v xml:space="preserve">Transporte de materiales varios </v>
          </cell>
          <cell r="D440" t="str">
            <v>T/km</v>
          </cell>
          <cell r="E440">
            <v>6</v>
          </cell>
          <cell r="F440">
            <v>1.4999999999999999E-4</v>
          </cell>
          <cell r="G440">
            <v>675</v>
          </cell>
          <cell r="H440">
            <v>0.10124999999999999</v>
          </cell>
        </row>
        <row r="441">
          <cell r="B441" t="str">
            <v>IV. MANO DE OBRA</v>
          </cell>
          <cell r="H441">
            <v>1754.3999999999999</v>
          </cell>
        </row>
        <row r="442">
          <cell r="B442">
            <v>21111</v>
          </cell>
          <cell r="C442" t="str">
            <v>Mo Oficial</v>
          </cell>
          <cell r="D442" t="str">
            <v>jor</v>
          </cell>
          <cell r="E442">
            <v>1.4999999999999999E-2</v>
          </cell>
          <cell r="G442">
            <v>116960</v>
          </cell>
          <cell r="H442">
            <v>1754.3999999999999</v>
          </cell>
        </row>
        <row r="443">
          <cell r="B443" t="str">
            <v>6.8</v>
          </cell>
          <cell r="C443" t="str">
            <v xml:space="preserve">Suministro e instalación de cable antifraude 2 n° 8 cu thwn + 1 n° 10 cu thwn para acometida.  los materiales deben cumplir con certificación retie. </v>
          </cell>
          <cell r="D443" t="str">
            <v>m</v>
          </cell>
          <cell r="E443">
            <v>12</v>
          </cell>
          <cell r="G443" t="str">
            <v/>
          </cell>
          <cell r="H443">
            <v>46578</v>
          </cell>
        </row>
        <row r="444">
          <cell r="B444" t="str">
            <v>I. EQUIPO Y HERRAMIENTA</v>
          </cell>
          <cell r="H444">
            <v>87.72</v>
          </cell>
        </row>
        <row r="445">
          <cell r="B445">
            <v>46111</v>
          </cell>
          <cell r="C445" t="str">
            <v>Herramienta Y Equipo Menor</v>
          </cell>
          <cell r="D445" t="str">
            <v>%</v>
          </cell>
          <cell r="F445">
            <v>0.05</v>
          </cell>
          <cell r="G445">
            <v>1754.3999999999999</v>
          </cell>
          <cell r="H445">
            <v>87.72</v>
          </cell>
        </row>
        <row r="446">
          <cell r="B446" t="str">
            <v>II. MATERIALES</v>
          </cell>
          <cell r="H446">
            <v>44735</v>
          </cell>
        </row>
        <row r="447">
          <cell r="B447" t="str">
            <v>1EL1AF</v>
          </cell>
          <cell r="C447" t="str">
            <v>Cable antifraude N° 8</v>
          </cell>
          <cell r="D447" t="str">
            <v>m</v>
          </cell>
          <cell r="E447">
            <v>2</v>
          </cell>
          <cell r="G447">
            <v>21350</v>
          </cell>
          <cell r="H447">
            <v>42700</v>
          </cell>
        </row>
        <row r="448">
          <cell r="B448" t="str">
            <v>1EL17C</v>
          </cell>
          <cell r="C448" t="str">
            <v>Cable de Cobre X12AWG-CU-THHN-THWN 90°C</v>
          </cell>
          <cell r="D448" t="str">
            <v>m</v>
          </cell>
          <cell r="E448">
            <v>1</v>
          </cell>
          <cell r="G448">
            <v>2035</v>
          </cell>
          <cell r="H448">
            <v>2035</v>
          </cell>
        </row>
        <row r="449">
          <cell r="B449" t="str">
            <v>III. TRANSPORTES</v>
          </cell>
          <cell r="H449">
            <v>0.61424999999999996</v>
          </cell>
        </row>
        <row r="450">
          <cell r="B450" t="str">
            <v>6TB11</v>
          </cell>
          <cell r="C450" t="str">
            <v xml:space="preserve">Transporte de materiales varios </v>
          </cell>
          <cell r="D450" t="str">
            <v>T/km</v>
          </cell>
          <cell r="E450">
            <v>6</v>
          </cell>
          <cell r="F450">
            <v>9.1E-4</v>
          </cell>
          <cell r="G450">
            <v>675</v>
          </cell>
          <cell r="H450">
            <v>0.61424999999999996</v>
          </cell>
        </row>
        <row r="451">
          <cell r="B451" t="str">
            <v>IV. MANO DE OBRA</v>
          </cell>
          <cell r="H451">
            <v>1754.3999999999999</v>
          </cell>
        </row>
        <row r="452">
          <cell r="B452">
            <v>21111</v>
          </cell>
          <cell r="C452" t="str">
            <v>Mo Oficial</v>
          </cell>
          <cell r="D452" t="str">
            <v>jor</v>
          </cell>
          <cell r="E452">
            <v>1.4999999999999999E-2</v>
          </cell>
          <cell r="G452">
            <v>116960</v>
          </cell>
          <cell r="H452">
            <v>1754.3999999999999</v>
          </cell>
        </row>
        <row r="453">
          <cell r="B453" t="str">
            <v>6.9</v>
          </cell>
          <cell r="C453" t="str">
            <v xml:space="preserve">Suministro e instalación de tubería pvc 1/2" tipo conduit o similar. incluye accesorios y todos los elementos para su correcta instalación. los materiales deben cumplir con certificación retie. </v>
          </cell>
          <cell r="D453" t="str">
            <v>m</v>
          </cell>
          <cell r="E453">
            <v>70</v>
          </cell>
          <cell r="G453" t="str">
            <v/>
          </cell>
          <cell r="H453">
            <v>4166</v>
          </cell>
        </row>
        <row r="454">
          <cell r="B454" t="str">
            <v>I. EQUIPO Y HERRAMIENTA</v>
          </cell>
          <cell r="H454">
            <v>87.72</v>
          </cell>
        </row>
        <row r="455">
          <cell r="B455">
            <v>46111</v>
          </cell>
          <cell r="C455" t="str">
            <v>Herramienta Y Equipo Menor</v>
          </cell>
          <cell r="D455" t="str">
            <v>%</v>
          </cell>
          <cell r="F455">
            <v>0.05</v>
          </cell>
          <cell r="G455">
            <v>1754.3999999999999</v>
          </cell>
          <cell r="H455">
            <v>87.72</v>
          </cell>
        </row>
        <row r="456">
          <cell r="B456" t="str">
            <v>II. MATERIALES</v>
          </cell>
          <cell r="H456">
            <v>2324</v>
          </cell>
        </row>
        <row r="457">
          <cell r="B457" t="str">
            <v>1EL15</v>
          </cell>
          <cell r="C457" t="str">
            <v>Tubería PVC Conduit de 1/2"</v>
          </cell>
          <cell r="D457" t="str">
            <v>m</v>
          </cell>
          <cell r="E457">
            <v>1</v>
          </cell>
          <cell r="G457">
            <v>1980</v>
          </cell>
          <cell r="H457">
            <v>1980</v>
          </cell>
        </row>
        <row r="458">
          <cell r="B458" t="str">
            <v>1EL20</v>
          </cell>
          <cell r="C458" t="str">
            <v>Curvas 90° CxE 1/2" PVC Conduit o similar</v>
          </cell>
          <cell r="D458" t="str">
            <v>un</v>
          </cell>
          <cell r="E458">
            <v>0.1</v>
          </cell>
          <cell r="G458">
            <v>600</v>
          </cell>
          <cell r="H458">
            <v>60</v>
          </cell>
        </row>
        <row r="459">
          <cell r="B459" t="str">
            <v>1EL67</v>
          </cell>
          <cell r="C459" t="str">
            <v>Soldadura PVC 1/4 gal o similar</v>
          </cell>
          <cell r="D459" t="str">
            <v>un</v>
          </cell>
          <cell r="E459">
            <v>4.0000000000000001E-3</v>
          </cell>
          <cell r="G459">
            <v>71000</v>
          </cell>
          <cell r="H459">
            <v>284</v>
          </cell>
        </row>
        <row r="460">
          <cell r="B460" t="str">
            <v>III. TRANSPORTES</v>
          </cell>
          <cell r="H460">
            <v>0.29100599999999999</v>
          </cell>
        </row>
        <row r="461">
          <cell r="B461" t="str">
            <v>6TB11</v>
          </cell>
          <cell r="C461" t="str">
            <v xml:space="preserve">Transporte de materiales varios </v>
          </cell>
          <cell r="D461" t="str">
            <v>T/km</v>
          </cell>
          <cell r="E461">
            <v>6</v>
          </cell>
          <cell r="F461">
            <v>4.3112000000000001E-4</v>
          </cell>
          <cell r="G461">
            <v>675</v>
          </cell>
          <cell r="H461">
            <v>0.29100599999999999</v>
          </cell>
        </row>
        <row r="462">
          <cell r="B462" t="str">
            <v>IV. MANO DE OBRA</v>
          </cell>
          <cell r="H462">
            <v>1754.3999999999999</v>
          </cell>
        </row>
        <row r="463">
          <cell r="B463">
            <v>21111</v>
          </cell>
          <cell r="C463" t="str">
            <v>Mo Oficial</v>
          </cell>
          <cell r="D463" t="str">
            <v>jor</v>
          </cell>
          <cell r="E463">
            <v>1.4999999999999999E-2</v>
          </cell>
          <cell r="G463">
            <v>116960</v>
          </cell>
          <cell r="H463">
            <v>1754.3999999999999</v>
          </cell>
        </row>
        <row r="464">
          <cell r="B464" t="str">
            <v>6.10</v>
          </cell>
          <cell r="C464" t="str">
            <v xml:space="preserve">Suministro e instalación de cable de cobre n° 12awu-cu-thhn-thwn 90°c.  los materiales deben cumplir con certificación retie. </v>
          </cell>
          <cell r="D464" t="str">
            <v>m</v>
          </cell>
          <cell r="E464">
            <v>210</v>
          </cell>
          <cell r="G464" t="str">
            <v/>
          </cell>
          <cell r="H464">
            <v>3877</v>
          </cell>
        </row>
        <row r="465">
          <cell r="B465" t="str">
            <v>I. EQUIPO Y HERRAMIENTA</v>
          </cell>
          <cell r="H465">
            <v>87.72</v>
          </cell>
        </row>
        <row r="466">
          <cell r="B466">
            <v>46111</v>
          </cell>
          <cell r="C466" t="str">
            <v>Herramienta Y Equipo Menor</v>
          </cell>
          <cell r="D466" t="str">
            <v>%</v>
          </cell>
          <cell r="F466">
            <v>0.05</v>
          </cell>
          <cell r="G466">
            <v>1754.3999999999999</v>
          </cell>
          <cell r="H466">
            <v>87.72</v>
          </cell>
        </row>
        <row r="467">
          <cell r="B467" t="str">
            <v>II. MATERIALES</v>
          </cell>
          <cell r="H467">
            <v>2035</v>
          </cell>
        </row>
        <row r="468">
          <cell r="B468" t="str">
            <v>1EL17C</v>
          </cell>
          <cell r="C468" t="str">
            <v>Cable de Cobre X12AWG-CU-THHN-THWN 90°C</v>
          </cell>
          <cell r="D468" t="str">
            <v>m</v>
          </cell>
          <cell r="E468">
            <v>1</v>
          </cell>
          <cell r="G468">
            <v>2035</v>
          </cell>
          <cell r="H468">
            <v>2035</v>
          </cell>
        </row>
        <row r="469">
          <cell r="B469" t="str">
            <v>III. TRANSPORTES</v>
          </cell>
          <cell r="H469">
            <v>7.4249999999999997E-2</v>
          </cell>
        </row>
        <row r="470">
          <cell r="B470" t="str">
            <v>6TB11</v>
          </cell>
          <cell r="C470" t="str">
            <v xml:space="preserve">Transporte de materiales varios </v>
          </cell>
          <cell r="D470" t="str">
            <v>T/km</v>
          </cell>
          <cell r="E470">
            <v>6</v>
          </cell>
          <cell r="F470">
            <v>1.1E-4</v>
          </cell>
          <cell r="G470">
            <v>675</v>
          </cell>
          <cell r="H470">
            <v>7.4249999999999997E-2</v>
          </cell>
        </row>
        <row r="471">
          <cell r="B471" t="str">
            <v>IV. MANO DE OBRA</v>
          </cell>
          <cell r="H471">
            <v>1754.3999999999999</v>
          </cell>
        </row>
        <row r="472">
          <cell r="B472">
            <v>21111</v>
          </cell>
          <cell r="C472" t="str">
            <v>Mo Oficial</v>
          </cell>
          <cell r="D472" t="str">
            <v>jor</v>
          </cell>
          <cell r="E472">
            <v>1.4999999999999999E-2</v>
          </cell>
          <cell r="G472">
            <v>116960</v>
          </cell>
          <cell r="H472">
            <v>1754.3999999999999</v>
          </cell>
        </row>
        <row r="473">
          <cell r="B473" t="str">
            <v>6.11</v>
          </cell>
          <cell r="C473" t="str">
            <v>Suministro e instalación de contador bifasico con todos los elementos para su correcta instalación. los materiales deben cumplir con certificacion retie.</v>
          </cell>
          <cell r="D473" t="str">
            <v>Un</v>
          </cell>
          <cell r="E473">
            <v>1</v>
          </cell>
          <cell r="G473" t="str">
            <v/>
          </cell>
          <cell r="H473">
            <v>119443</v>
          </cell>
        </row>
        <row r="474">
          <cell r="B474" t="str">
            <v>I. EQUIPO Y HERRAMIENTA</v>
          </cell>
          <cell r="H474">
            <v>87.72</v>
          </cell>
        </row>
        <row r="475">
          <cell r="B475">
            <v>46111</v>
          </cell>
          <cell r="C475" t="str">
            <v>Herramienta Y Equipo Menor</v>
          </cell>
          <cell r="D475" t="str">
            <v>%</v>
          </cell>
          <cell r="F475">
            <v>0.05</v>
          </cell>
          <cell r="G475">
            <v>1754.3999999999999</v>
          </cell>
          <cell r="H475">
            <v>87.72</v>
          </cell>
        </row>
        <row r="476">
          <cell r="B476" t="str">
            <v>II. MATERIALES</v>
          </cell>
          <cell r="H476">
            <v>117599</v>
          </cell>
        </row>
        <row r="477">
          <cell r="B477" t="str">
            <v>1EL1CA</v>
          </cell>
          <cell r="C477" t="str">
            <v>Contador Eléctrico bifásico</v>
          </cell>
          <cell r="D477" t="str">
            <v>un</v>
          </cell>
          <cell r="E477">
            <v>1</v>
          </cell>
          <cell r="G477">
            <v>82599</v>
          </cell>
          <cell r="H477">
            <v>82599</v>
          </cell>
        </row>
        <row r="478">
          <cell r="B478" t="str">
            <v>1EL1CJ</v>
          </cell>
          <cell r="C478" t="str">
            <v>Caja para Contador Eléctrico</v>
          </cell>
          <cell r="D478" t="str">
            <v>un</v>
          </cell>
          <cell r="E478">
            <v>1</v>
          </cell>
          <cell r="G478">
            <v>35000</v>
          </cell>
          <cell r="H478">
            <v>35000</v>
          </cell>
        </row>
        <row r="479">
          <cell r="B479" t="str">
            <v>III. TRANSPORTES</v>
          </cell>
          <cell r="H479">
            <v>1.7549999999999999</v>
          </cell>
        </row>
        <row r="480">
          <cell r="B480" t="str">
            <v>6TB11</v>
          </cell>
          <cell r="C480" t="str">
            <v xml:space="preserve">Transporte de materiales varios </v>
          </cell>
          <cell r="D480" t="str">
            <v>T/km</v>
          </cell>
          <cell r="E480">
            <v>6</v>
          </cell>
          <cell r="F480">
            <v>2.5999999999999999E-3</v>
          </cell>
          <cell r="G480">
            <v>675</v>
          </cell>
          <cell r="H480">
            <v>1.7549999999999999</v>
          </cell>
        </row>
        <row r="481">
          <cell r="B481" t="str">
            <v>IV. MANO DE OBRA</v>
          </cell>
          <cell r="H481">
            <v>1754.3999999999999</v>
          </cell>
        </row>
        <row r="482">
          <cell r="B482">
            <v>21111</v>
          </cell>
          <cell r="C482" t="str">
            <v>Mo Oficial</v>
          </cell>
          <cell r="D482" t="str">
            <v>jor</v>
          </cell>
          <cell r="E482">
            <v>1.4999999999999999E-2</v>
          </cell>
          <cell r="G482">
            <v>116960</v>
          </cell>
          <cell r="H482">
            <v>1754.3999999999999</v>
          </cell>
        </row>
        <row r="483">
          <cell r="B483" t="str">
            <v>6.12</v>
          </cell>
          <cell r="C483" t="str">
            <v>Suministro e instalación de varilla de puesta a tierra, con conector y cable.  debe cumplir con certificacion retie.</v>
          </cell>
          <cell r="D483" t="str">
            <v>Un</v>
          </cell>
          <cell r="E483">
            <v>1</v>
          </cell>
          <cell r="G483" t="str">
            <v/>
          </cell>
          <cell r="H483">
            <v>78383</v>
          </cell>
        </row>
        <row r="484">
          <cell r="B484" t="str">
            <v>I. EQUIPO Y HERRAMIENTA</v>
          </cell>
          <cell r="H484">
            <v>584.80000000000007</v>
          </cell>
        </row>
        <row r="485">
          <cell r="B485">
            <v>46111</v>
          </cell>
          <cell r="C485" t="str">
            <v>Herramienta Y Equipo Menor</v>
          </cell>
          <cell r="D485" t="str">
            <v>%</v>
          </cell>
          <cell r="F485">
            <v>0.05</v>
          </cell>
          <cell r="G485">
            <v>11696</v>
          </cell>
          <cell r="H485">
            <v>584.80000000000007</v>
          </cell>
        </row>
        <row r="486">
          <cell r="B486" t="str">
            <v>II. MATERIALES</v>
          </cell>
          <cell r="H486">
            <v>66100</v>
          </cell>
        </row>
        <row r="487">
          <cell r="B487" t="str">
            <v>6EL12PT</v>
          </cell>
          <cell r="C487" t="str">
            <v>Varilla, conector y cable para instalación de polo a tierra</v>
          </cell>
          <cell r="D487" t="str">
            <v>un</v>
          </cell>
          <cell r="E487">
            <v>1</v>
          </cell>
          <cell r="G487">
            <v>66100</v>
          </cell>
          <cell r="H487">
            <v>66100</v>
          </cell>
        </row>
        <row r="488">
          <cell r="B488" t="str">
            <v>III. TRANSPORTES</v>
          </cell>
          <cell r="H488">
            <v>2.0249999999999999</v>
          </cell>
        </row>
        <row r="489">
          <cell r="B489" t="str">
            <v>6TB11</v>
          </cell>
          <cell r="C489" t="str">
            <v xml:space="preserve">Transporte de materiales varios </v>
          </cell>
          <cell r="D489" t="str">
            <v>T/km</v>
          </cell>
          <cell r="E489">
            <v>6</v>
          </cell>
          <cell r="F489">
            <v>3.0000000000000001E-3</v>
          </cell>
          <cell r="G489">
            <v>675</v>
          </cell>
          <cell r="H489">
            <v>2.0249999999999999</v>
          </cell>
        </row>
        <row r="490">
          <cell r="B490" t="str">
            <v>IV. MANO DE OBRA</v>
          </cell>
          <cell r="H490">
            <v>11696</v>
          </cell>
        </row>
        <row r="491">
          <cell r="B491">
            <v>21111</v>
          </cell>
          <cell r="C491" t="str">
            <v>Mo Oficial</v>
          </cell>
          <cell r="D491" t="str">
            <v>jor</v>
          </cell>
          <cell r="E491">
            <v>0.1</v>
          </cell>
          <cell r="G491">
            <v>116960</v>
          </cell>
          <cell r="H491">
            <v>11696</v>
          </cell>
        </row>
        <row r="492">
          <cell r="B492" t="str">
            <v>6.13</v>
          </cell>
          <cell r="C492" t="str">
            <v>Suministro e instalación de tablero de distribución con todos los elementos para su correcta instalación. los materiales deben cumplir con certificacion retie.</v>
          </cell>
          <cell r="D492" t="str">
            <v>Un</v>
          </cell>
          <cell r="E492">
            <v>1</v>
          </cell>
          <cell r="G492" t="str">
            <v/>
          </cell>
          <cell r="H492">
            <v>59641</v>
          </cell>
        </row>
        <row r="493">
          <cell r="B493" t="str">
            <v>I. EQUIPO Y HERRAMIENTA</v>
          </cell>
          <cell r="H493">
            <v>292.40000000000003</v>
          </cell>
        </row>
        <row r="494">
          <cell r="B494">
            <v>46111</v>
          </cell>
          <cell r="C494" t="str">
            <v>Herramienta Y Equipo Menor</v>
          </cell>
          <cell r="D494" t="str">
            <v>%</v>
          </cell>
          <cell r="F494">
            <v>0.05</v>
          </cell>
          <cell r="G494">
            <v>5848</v>
          </cell>
          <cell r="H494">
            <v>292.40000000000003</v>
          </cell>
        </row>
        <row r="495">
          <cell r="B495" t="str">
            <v>II. MATERIALES</v>
          </cell>
          <cell r="H495">
            <v>53500</v>
          </cell>
        </row>
        <row r="496">
          <cell r="B496" t="str">
            <v>1EL25</v>
          </cell>
          <cell r="C496" t="str">
            <v>Tablero de distribucion de seis (6) Circuitos</v>
          </cell>
          <cell r="D496" t="str">
            <v>un</v>
          </cell>
          <cell r="E496">
            <v>1</v>
          </cell>
          <cell r="G496">
            <v>53500</v>
          </cell>
          <cell r="H496">
            <v>53500</v>
          </cell>
        </row>
        <row r="497">
          <cell r="B497" t="str">
            <v>III. TRANSPORTES</v>
          </cell>
          <cell r="H497">
            <v>1.0125</v>
          </cell>
        </row>
        <row r="498">
          <cell r="B498" t="str">
            <v>6TB11</v>
          </cell>
          <cell r="C498" t="str">
            <v xml:space="preserve">Transporte de materiales varios </v>
          </cell>
          <cell r="D498" t="str">
            <v>T/km</v>
          </cell>
          <cell r="E498">
            <v>6</v>
          </cell>
          <cell r="F498">
            <v>1.5E-3</v>
          </cell>
          <cell r="G498">
            <v>675</v>
          </cell>
          <cell r="H498">
            <v>1.0125</v>
          </cell>
        </row>
        <row r="499">
          <cell r="B499" t="str">
            <v>IV. MANO DE OBRA</v>
          </cell>
          <cell r="H499">
            <v>5848</v>
          </cell>
        </row>
        <row r="500">
          <cell r="B500">
            <v>21111</v>
          </cell>
          <cell r="C500" t="str">
            <v>Mo Oficial</v>
          </cell>
          <cell r="D500" t="str">
            <v>jor</v>
          </cell>
          <cell r="E500">
            <v>0.05</v>
          </cell>
          <cell r="G500">
            <v>116960</v>
          </cell>
          <cell r="H500">
            <v>5848</v>
          </cell>
        </row>
        <row r="501">
          <cell r="B501" t="str">
            <v>6.14</v>
          </cell>
          <cell r="C501" t="str">
            <v xml:space="preserve">Suministro e instalación de toma corriente 220v doble pata trabada con polo a tierra, 30a.  incluye accesorios y todos los elementos para su correcta instalación. los materiales deben cumplir con certificación retie. </v>
          </cell>
          <cell r="D501" t="str">
            <v>Un</v>
          </cell>
          <cell r="E501">
            <v>1</v>
          </cell>
          <cell r="G501" t="str">
            <v/>
          </cell>
          <cell r="H501">
            <v>17066</v>
          </cell>
        </row>
        <row r="502">
          <cell r="B502" t="str">
            <v>I. EQUIPO Y HERRAMIENTA</v>
          </cell>
          <cell r="H502">
            <v>87.72</v>
          </cell>
        </row>
        <row r="503">
          <cell r="B503">
            <v>46111</v>
          </cell>
          <cell r="C503" t="str">
            <v>Herramienta Y Equipo Menor</v>
          </cell>
          <cell r="D503" t="str">
            <v>%</v>
          </cell>
          <cell r="F503">
            <v>0.05</v>
          </cell>
          <cell r="G503">
            <v>1754.3999999999999</v>
          </cell>
          <cell r="H503">
            <v>87.72</v>
          </cell>
        </row>
        <row r="504">
          <cell r="B504" t="str">
            <v>II. MATERIALES</v>
          </cell>
          <cell r="H504">
            <v>15224</v>
          </cell>
        </row>
        <row r="505">
          <cell r="B505" t="str">
            <v>EL1210</v>
          </cell>
          <cell r="C505" t="str">
            <v>Toma de incrustar 30 amperios, 220 voltios con polo a tierra, pata trabada</v>
          </cell>
          <cell r="D505" t="str">
            <v>un</v>
          </cell>
          <cell r="E505">
            <v>1</v>
          </cell>
          <cell r="G505">
            <v>12700</v>
          </cell>
          <cell r="H505">
            <v>12700</v>
          </cell>
        </row>
        <row r="506">
          <cell r="B506" t="str">
            <v>EL1091</v>
          </cell>
          <cell r="C506" t="str">
            <v>Caja doble  4"x4" PVC con suplemento</v>
          </cell>
          <cell r="D506" t="str">
            <v>un</v>
          </cell>
          <cell r="E506">
            <v>1</v>
          </cell>
          <cell r="G506">
            <v>1260</v>
          </cell>
          <cell r="H506">
            <v>1260</v>
          </cell>
        </row>
        <row r="507">
          <cell r="B507" t="str">
            <v>1EL19</v>
          </cell>
          <cell r="C507" t="str">
            <v>Adaptadores terminales PVC 1/2" Conduit o similar</v>
          </cell>
          <cell r="D507" t="str">
            <v>un</v>
          </cell>
          <cell r="E507">
            <v>2</v>
          </cell>
          <cell r="G507">
            <v>490</v>
          </cell>
          <cell r="H507">
            <v>980</v>
          </cell>
        </row>
        <row r="508">
          <cell r="B508" t="str">
            <v>1EL67</v>
          </cell>
          <cell r="C508" t="str">
            <v>Soldadura PVC 1/4 gal o similar</v>
          </cell>
          <cell r="D508" t="str">
            <v>un</v>
          </cell>
          <cell r="E508">
            <v>4.0000000000000001E-3</v>
          </cell>
          <cell r="G508">
            <v>71000</v>
          </cell>
          <cell r="H508">
            <v>284</v>
          </cell>
        </row>
        <row r="509">
          <cell r="B509" t="str">
            <v>III. TRANSPORTES</v>
          </cell>
          <cell r="H509">
            <v>4.2605999999999998E-2</v>
          </cell>
        </row>
        <row r="510">
          <cell r="B510" t="str">
            <v>6TB11</v>
          </cell>
          <cell r="C510" t="str">
            <v xml:space="preserve">Transporte de materiales varios </v>
          </cell>
          <cell r="D510" t="str">
            <v>T/km</v>
          </cell>
          <cell r="E510">
            <v>6</v>
          </cell>
          <cell r="F510">
            <v>6.3119999999999992E-5</v>
          </cell>
          <cell r="G510">
            <v>675</v>
          </cell>
          <cell r="H510">
            <v>4.2605999999999998E-2</v>
          </cell>
        </row>
        <row r="511">
          <cell r="B511" t="str">
            <v>IV. MANO DE OBRA</v>
          </cell>
          <cell r="H511">
            <v>1754.3999999999999</v>
          </cell>
        </row>
        <row r="512">
          <cell r="B512">
            <v>21111</v>
          </cell>
          <cell r="C512" t="str">
            <v>Mo Oficial</v>
          </cell>
          <cell r="D512" t="str">
            <v>jor</v>
          </cell>
          <cell r="E512">
            <v>1.4999999999999999E-2</v>
          </cell>
          <cell r="G512">
            <v>116960</v>
          </cell>
          <cell r="H512">
            <v>1754.3999999999999</v>
          </cell>
        </row>
        <row r="513">
          <cell r="B513" t="str">
            <v>7.</v>
          </cell>
          <cell r="C513" t="str">
            <v>ENCHAPES Y ACABADOS</v>
          </cell>
          <cell r="D513" t="str">
            <v/>
          </cell>
          <cell r="G513" t="str">
            <v/>
          </cell>
        </row>
        <row r="514">
          <cell r="B514" t="str">
            <v>7.1</v>
          </cell>
          <cell r="C514" t="str">
            <v>Enchape ceramico para piso 33.8x33.8 cm, uso residencial, según diseño arquitectónico, Acabado mate, color blanco para baños. Incluye pega para ceramica, boquilla y demás elementos necesarios para una correcta instalación</v>
          </cell>
          <cell r="D514" t="str">
            <v>m2</v>
          </cell>
          <cell r="E514">
            <v>2.2799999999999998</v>
          </cell>
          <cell r="G514" t="str">
            <v/>
          </cell>
          <cell r="H514">
            <v>56571</v>
          </cell>
        </row>
        <row r="515">
          <cell r="B515" t="str">
            <v>I. EQUIPO Y HERRAMIENTA</v>
          </cell>
          <cell r="H515">
            <v>701.76</v>
          </cell>
        </row>
        <row r="516">
          <cell r="B516">
            <v>46111</v>
          </cell>
          <cell r="C516" t="str">
            <v>Herramienta Y Equipo Menor</v>
          </cell>
          <cell r="D516" t="str">
            <v>%</v>
          </cell>
          <cell r="F516">
            <v>0.05</v>
          </cell>
          <cell r="G516">
            <v>14035.199999999999</v>
          </cell>
          <cell r="H516">
            <v>701.76</v>
          </cell>
        </row>
        <row r="517">
          <cell r="B517" t="str">
            <v>II. MATERIALES</v>
          </cell>
          <cell r="H517">
            <v>41412</v>
          </cell>
        </row>
        <row r="518">
          <cell r="B518" t="str">
            <v>1632H</v>
          </cell>
          <cell r="C518" t="str">
            <v>Baldosa antideslizante para piso formato 33,8x33,8</v>
          </cell>
          <cell r="D518" t="str">
            <v>m2</v>
          </cell>
          <cell r="E518">
            <v>1</v>
          </cell>
          <cell r="F518">
            <v>0.03</v>
          </cell>
          <cell r="G518">
            <v>35100</v>
          </cell>
          <cell r="H518">
            <v>36153</v>
          </cell>
        </row>
        <row r="519">
          <cell r="B519">
            <v>11122</v>
          </cell>
          <cell r="C519" t="str">
            <v>Adhesivo  color gris para la instalación de ceramica, tipo  Pegacor o similar.</v>
          </cell>
          <cell r="D519" t="str">
            <v>kg</v>
          </cell>
          <cell r="E519">
            <v>2.5</v>
          </cell>
          <cell r="G519">
            <v>1350</v>
          </cell>
          <cell r="H519">
            <v>3375</v>
          </cell>
        </row>
        <row r="520">
          <cell r="B520" t="str">
            <v>1SK94</v>
          </cell>
          <cell r="C520" t="str">
            <v>Boquilla Color Blanco/Beige</v>
          </cell>
          <cell r="D520" t="str">
            <v>kg</v>
          </cell>
          <cell r="E520">
            <v>0.3</v>
          </cell>
          <cell r="G520">
            <v>4780</v>
          </cell>
          <cell r="H520">
            <v>1434</v>
          </cell>
        </row>
        <row r="521">
          <cell r="B521">
            <v>17711</v>
          </cell>
          <cell r="C521" t="str">
            <v xml:space="preserve">Estopa Blanca </v>
          </cell>
          <cell r="D521" t="str">
            <v>lb</v>
          </cell>
          <cell r="E521">
            <v>0.1</v>
          </cell>
          <cell r="G521">
            <v>4500</v>
          </cell>
          <cell r="H521">
            <v>450</v>
          </cell>
        </row>
        <row r="522">
          <cell r="B522" t="str">
            <v>III. TRANSPORTES</v>
          </cell>
          <cell r="H522">
            <v>422.21250000000003</v>
          </cell>
        </row>
        <row r="523">
          <cell r="B523" t="str">
            <v>6TB11</v>
          </cell>
          <cell r="C523" t="str">
            <v xml:space="preserve">Transporte de materiales varios </v>
          </cell>
          <cell r="D523" t="str">
            <v>T/km</v>
          </cell>
          <cell r="E523">
            <v>30</v>
          </cell>
          <cell r="F523">
            <v>2.085E-2</v>
          </cell>
          <cell r="G523">
            <v>675</v>
          </cell>
          <cell r="H523">
            <v>422.21250000000003</v>
          </cell>
        </row>
        <row r="524">
          <cell r="B524" t="str">
            <v>IV. MANO DE OBRA</v>
          </cell>
          <cell r="H524">
            <v>14035.199999999999</v>
          </cell>
        </row>
        <row r="525">
          <cell r="B525">
            <v>21111</v>
          </cell>
          <cell r="C525" t="str">
            <v>Mo Oficial</v>
          </cell>
          <cell r="D525" t="str">
            <v>jor</v>
          </cell>
          <cell r="E525">
            <v>0.12</v>
          </cell>
          <cell r="G525">
            <v>116960</v>
          </cell>
          <cell r="H525">
            <v>14035.199999999999</v>
          </cell>
        </row>
        <row r="526">
          <cell r="B526" t="str">
            <v>7.2</v>
          </cell>
          <cell r="C526" t="str">
            <v>Enchape ceramico para pared 20.5 x 20.5 tipo egeo o similar, uso residencial, según diseño arquitectónico, color blanco. Para baños y cocinas. Instalar en sentido horizontal sobre Revoque. Incluye pega para ceramica, boquilla y demas elementos necesarios para una correcta instalación.</v>
          </cell>
          <cell r="D526" t="str">
            <v>m2</v>
          </cell>
          <cell r="E526">
            <v>5.92</v>
          </cell>
          <cell r="G526" t="str">
            <v/>
          </cell>
          <cell r="H526">
            <v>47317</v>
          </cell>
        </row>
        <row r="527">
          <cell r="B527" t="str">
            <v>I. EQUIPO Y HERRAMIENTA</v>
          </cell>
          <cell r="H527">
            <v>584.80000000000007</v>
          </cell>
        </row>
        <row r="528">
          <cell r="B528">
            <v>46111</v>
          </cell>
          <cell r="C528" t="str">
            <v>Herramienta Y Equipo Menor</v>
          </cell>
          <cell r="D528" t="str">
            <v>%</v>
          </cell>
          <cell r="F528">
            <v>0.05</v>
          </cell>
          <cell r="G528">
            <v>11696</v>
          </cell>
          <cell r="H528">
            <v>584.80000000000007</v>
          </cell>
        </row>
        <row r="529">
          <cell r="B529" t="str">
            <v>II. MATERIALES</v>
          </cell>
          <cell r="H529">
            <v>34614</v>
          </cell>
        </row>
        <row r="530">
          <cell r="B530">
            <v>16323</v>
          </cell>
          <cell r="C530" t="str">
            <v>Baldosa 20x20 cm color blanco. Tipo Egeo o similar</v>
          </cell>
          <cell r="D530" t="str">
            <v>m2</v>
          </cell>
          <cell r="E530">
            <v>1</v>
          </cell>
          <cell r="F530">
            <v>0.03</v>
          </cell>
          <cell r="G530">
            <v>28500</v>
          </cell>
          <cell r="H530">
            <v>29355</v>
          </cell>
        </row>
        <row r="531">
          <cell r="B531">
            <v>11122</v>
          </cell>
          <cell r="C531" t="str">
            <v>Adhesivo  color gris para la instalación de ceramica, tipo  Pegacor o similar.</v>
          </cell>
          <cell r="D531" t="str">
            <v>kg</v>
          </cell>
          <cell r="E531">
            <v>2.5</v>
          </cell>
          <cell r="G531">
            <v>1350</v>
          </cell>
          <cell r="H531">
            <v>3375</v>
          </cell>
        </row>
        <row r="532">
          <cell r="B532" t="str">
            <v>1SK94</v>
          </cell>
          <cell r="C532" t="str">
            <v>Boquilla Color Blanco/Beige</v>
          </cell>
          <cell r="D532" t="str">
            <v>kg</v>
          </cell>
          <cell r="E532">
            <v>0.3</v>
          </cell>
          <cell r="G532">
            <v>4780</v>
          </cell>
          <cell r="H532">
            <v>1434</v>
          </cell>
        </row>
        <row r="533">
          <cell r="B533">
            <v>17711</v>
          </cell>
          <cell r="C533" t="str">
            <v xml:space="preserve">Estopa Blanca </v>
          </cell>
          <cell r="D533" t="str">
            <v>lb</v>
          </cell>
          <cell r="E533">
            <v>0.1</v>
          </cell>
          <cell r="G533">
            <v>4500</v>
          </cell>
          <cell r="H533">
            <v>450</v>
          </cell>
        </row>
        <row r="534">
          <cell r="B534" t="str">
            <v>III. TRANSPORTES</v>
          </cell>
          <cell r="H534">
            <v>422.21250000000003</v>
          </cell>
        </row>
        <row r="535">
          <cell r="B535" t="str">
            <v>6TB11</v>
          </cell>
          <cell r="C535" t="str">
            <v xml:space="preserve">Transporte de materiales varios </v>
          </cell>
          <cell r="D535" t="str">
            <v>T/km</v>
          </cell>
          <cell r="E535">
            <v>30</v>
          </cell>
          <cell r="F535">
            <v>2.085E-2</v>
          </cell>
          <cell r="G535">
            <v>675</v>
          </cell>
          <cell r="H535">
            <v>422.21250000000003</v>
          </cell>
        </row>
        <row r="536">
          <cell r="B536" t="str">
            <v>IV. MANO DE OBRA</v>
          </cell>
          <cell r="H536">
            <v>11696</v>
          </cell>
        </row>
        <row r="537">
          <cell r="B537">
            <v>21111</v>
          </cell>
          <cell r="C537" t="str">
            <v>Mo Oficial</v>
          </cell>
          <cell r="D537" t="str">
            <v>jor</v>
          </cell>
          <cell r="E537">
            <v>0.1</v>
          </cell>
          <cell r="G537">
            <v>116960</v>
          </cell>
          <cell r="H537">
            <v>11696</v>
          </cell>
        </row>
        <row r="538">
          <cell r="B538" t="str">
            <v>7.3</v>
          </cell>
          <cell r="C538" t="str">
            <v>Aplicacion de pintura acrilica para exteriores (tipo koraza o similar) sobre adobe en fachada, dos manos, color a definir. incluye adecuacion de la superficie antes de aplicacion, limpieza de superficie, resanes de perforaciones menores, aplicacion final y todo lo necesario para su correcto acabado.</v>
          </cell>
          <cell r="D538" t="str">
            <v>m2</v>
          </cell>
          <cell r="E538">
            <v>18.52</v>
          </cell>
          <cell r="G538" t="str">
            <v/>
          </cell>
          <cell r="H538">
            <v>14363</v>
          </cell>
        </row>
        <row r="539">
          <cell r="B539" t="str">
            <v>I. EQUIPO Y HERRAMIENTA</v>
          </cell>
          <cell r="H539">
            <v>292.40000000000003</v>
          </cell>
        </row>
        <row r="540">
          <cell r="B540">
            <v>46111</v>
          </cell>
          <cell r="C540" t="str">
            <v>Herramienta Y Equipo Menor</v>
          </cell>
          <cell r="D540" t="str">
            <v>%</v>
          </cell>
          <cell r="F540">
            <v>0.05</v>
          </cell>
          <cell r="G540">
            <v>5848</v>
          </cell>
          <cell r="H540">
            <v>292.40000000000003</v>
          </cell>
        </row>
        <row r="541">
          <cell r="B541" t="str">
            <v>II. MATERIALES</v>
          </cell>
          <cell r="H541">
            <v>8214</v>
          </cell>
        </row>
        <row r="542">
          <cell r="B542" t="str">
            <v>123C2</v>
          </cell>
          <cell r="C542" t="str">
            <v>Pintura para exteriores alta resistencia para muros y zócalos (Tipo Bronco, Corona, Koraza o similar)</v>
          </cell>
          <cell r="D542" t="str">
            <v>gal</v>
          </cell>
          <cell r="E542">
            <v>0.1</v>
          </cell>
          <cell r="G542">
            <v>73140</v>
          </cell>
          <cell r="H542">
            <v>7314</v>
          </cell>
        </row>
        <row r="543">
          <cell r="B543">
            <v>17711</v>
          </cell>
          <cell r="C543" t="str">
            <v xml:space="preserve">Estopa Blanca </v>
          </cell>
          <cell r="D543" t="str">
            <v>lb</v>
          </cell>
          <cell r="E543">
            <v>0.2</v>
          </cell>
          <cell r="G543">
            <v>4500</v>
          </cell>
          <cell r="H543">
            <v>900</v>
          </cell>
        </row>
        <row r="544">
          <cell r="B544" t="str">
            <v>III. TRANSPORTES</v>
          </cell>
          <cell r="H544">
            <v>8.5050000000000008</v>
          </cell>
        </row>
        <row r="545">
          <cell r="B545" t="str">
            <v>6TB11</v>
          </cell>
          <cell r="C545" t="str">
            <v xml:space="preserve">Transporte de materiales varios </v>
          </cell>
          <cell r="D545" t="str">
            <v>T/km</v>
          </cell>
          <cell r="E545">
            <v>30</v>
          </cell>
          <cell r="F545">
            <v>4.2000000000000002E-4</v>
          </cell>
          <cell r="G545">
            <v>675</v>
          </cell>
          <cell r="H545">
            <v>8.5050000000000008</v>
          </cell>
        </row>
        <row r="546">
          <cell r="B546" t="str">
            <v>IV. MANO DE OBRA</v>
          </cell>
          <cell r="H546">
            <v>5848</v>
          </cell>
        </row>
        <row r="547">
          <cell r="B547">
            <v>21111</v>
          </cell>
          <cell r="C547" t="str">
            <v>Mo Oficial</v>
          </cell>
          <cell r="D547" t="str">
            <v>jor</v>
          </cell>
          <cell r="E547">
            <v>0.05</v>
          </cell>
          <cell r="G547">
            <v>116960</v>
          </cell>
          <cell r="H547">
            <v>5848</v>
          </cell>
        </row>
        <row r="548">
          <cell r="B548" t="str">
            <v>8.</v>
          </cell>
          <cell r="C548" t="str">
            <v>CUBIERTA</v>
          </cell>
          <cell r="D548" t="str">
            <v/>
          </cell>
          <cell r="G548" t="str">
            <v/>
          </cell>
        </row>
        <row r="549">
          <cell r="B549" t="str">
            <v>8.1</v>
          </cell>
          <cell r="C549" t="str">
            <v>Suministro, transporte e instalacion de cubierta en teja ecoroof, incluye sistemas de anclaje a elementos estructurales y de fijacion. la medida sera tomada en pendiente de cubierta.</v>
          </cell>
          <cell r="D549" t="str">
            <v>m2</v>
          </cell>
          <cell r="E549">
            <v>54.56</v>
          </cell>
          <cell r="G549" t="str">
            <v/>
          </cell>
          <cell r="H549">
            <v>82138</v>
          </cell>
        </row>
        <row r="550">
          <cell r="B550" t="str">
            <v>I. EQUIPO Y HERRAMIENTA</v>
          </cell>
          <cell r="H550">
            <v>1610.835</v>
          </cell>
        </row>
        <row r="551">
          <cell r="B551">
            <v>46111</v>
          </cell>
          <cell r="C551" t="str">
            <v>Herramienta Y Equipo Menor</v>
          </cell>
          <cell r="D551" t="str">
            <v>%</v>
          </cell>
          <cell r="F551">
            <v>0.05</v>
          </cell>
          <cell r="G551">
            <v>18216.7</v>
          </cell>
          <cell r="H551">
            <v>910.83500000000004</v>
          </cell>
        </row>
        <row r="552">
          <cell r="B552" t="str">
            <v>43M11</v>
          </cell>
          <cell r="C552" t="str">
            <v>Seccion Completa Andamio 1.20X1.50M</v>
          </cell>
          <cell r="D552" t="str">
            <v>día</v>
          </cell>
          <cell r="E552">
            <v>1</v>
          </cell>
          <cell r="G552">
            <v>700</v>
          </cell>
          <cell r="H552">
            <v>700</v>
          </cell>
        </row>
        <row r="553">
          <cell r="B553" t="str">
            <v>II. MATERIALES</v>
          </cell>
          <cell r="H553">
            <v>62114</v>
          </cell>
        </row>
        <row r="554">
          <cell r="B554">
            <v>14200</v>
          </cell>
          <cell r="C554" t="str">
            <v>Teja termoacústica UPVC 2.0mm verde tipo ECOROOF o similar</v>
          </cell>
          <cell r="D554" t="str">
            <v>m2</v>
          </cell>
          <cell r="E554">
            <v>1</v>
          </cell>
          <cell r="G554">
            <v>52166</v>
          </cell>
          <cell r="H554">
            <v>52166</v>
          </cell>
        </row>
        <row r="555">
          <cell r="B555">
            <v>14135</v>
          </cell>
          <cell r="C555" t="str">
            <v>Tornillo C12 2.5"</v>
          </cell>
          <cell r="D555" t="str">
            <v>un</v>
          </cell>
          <cell r="E555">
            <v>3</v>
          </cell>
          <cell r="G555">
            <v>960</v>
          </cell>
          <cell r="H555">
            <v>2880</v>
          </cell>
        </row>
        <row r="556">
          <cell r="B556">
            <v>14205</v>
          </cell>
          <cell r="C556" t="str">
            <v>Caballete para cubierta EcoRoof L=0,92</v>
          </cell>
          <cell r="D556" t="str">
            <v>un</v>
          </cell>
          <cell r="E556">
            <v>0.12</v>
          </cell>
          <cell r="G556">
            <v>58900</v>
          </cell>
          <cell r="H556">
            <v>7068</v>
          </cell>
        </row>
        <row r="557">
          <cell r="B557" t="str">
            <v>III. TRANSPORTES</v>
          </cell>
          <cell r="H557">
            <v>196.52220000000003</v>
          </cell>
        </row>
        <row r="558">
          <cell r="B558" t="str">
            <v>6TB11</v>
          </cell>
          <cell r="C558" t="str">
            <v xml:space="preserve">Transporte de materiales varios </v>
          </cell>
          <cell r="D558" t="str">
            <v>T/km</v>
          </cell>
          <cell r="E558">
            <v>30</v>
          </cell>
          <cell r="F558">
            <v>9.7048000000000013E-3</v>
          </cell>
          <cell r="G558">
            <v>675</v>
          </cell>
          <cell r="H558">
            <v>196.52220000000003</v>
          </cell>
        </row>
        <row r="559">
          <cell r="B559" t="str">
            <v>IV. MANO DE OBRA</v>
          </cell>
          <cell r="H559">
            <v>18216.7</v>
          </cell>
        </row>
        <row r="560">
          <cell r="B560">
            <v>21111</v>
          </cell>
          <cell r="C560" t="str">
            <v>Mo Oficial</v>
          </cell>
          <cell r="D560" t="str">
            <v>jor</v>
          </cell>
          <cell r="E560">
            <v>0.1</v>
          </cell>
          <cell r="G560">
            <v>116960</v>
          </cell>
          <cell r="H560">
            <v>11696</v>
          </cell>
        </row>
        <row r="561">
          <cell r="B561">
            <v>21131</v>
          </cell>
          <cell r="C561" t="str">
            <v>Mo Ayudante Raso</v>
          </cell>
          <cell r="D561" t="str">
            <v>jor</v>
          </cell>
          <cell r="E561">
            <v>0.1</v>
          </cell>
          <cell r="G561">
            <v>65207</v>
          </cell>
          <cell r="H561">
            <v>6520.7000000000007</v>
          </cell>
        </row>
        <row r="562">
          <cell r="B562" t="str">
            <v>8.2</v>
          </cell>
          <cell r="C562" t="str">
            <v>Suministro e instalación de correas metálicas phr c 120x60x1.2mm.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562" t="str">
            <v>m</v>
          </cell>
          <cell r="E562">
            <v>25.2</v>
          </cell>
          <cell r="G562" t="str">
            <v/>
          </cell>
          <cell r="H562">
            <v>37533</v>
          </cell>
        </row>
        <row r="563">
          <cell r="B563" t="str">
            <v>I. EQUIPO Y HERRAMIENTA</v>
          </cell>
          <cell r="H563">
            <v>2600.4175</v>
          </cell>
        </row>
        <row r="564">
          <cell r="B564">
            <v>46111</v>
          </cell>
          <cell r="C564" t="str">
            <v>Herramienta Y Equipo Menor</v>
          </cell>
          <cell r="D564" t="str">
            <v>%</v>
          </cell>
          <cell r="F564">
            <v>0.05</v>
          </cell>
          <cell r="G564">
            <v>9108.35</v>
          </cell>
          <cell r="H564">
            <v>455.41750000000002</v>
          </cell>
        </row>
        <row r="565">
          <cell r="B565" t="str">
            <v>E16150</v>
          </cell>
          <cell r="C565" t="str">
            <v xml:space="preserve">Soldador eléctrico </v>
          </cell>
          <cell r="D565" t="str">
            <v>día</v>
          </cell>
          <cell r="E565">
            <v>0.05</v>
          </cell>
          <cell r="G565">
            <v>28900</v>
          </cell>
          <cell r="H565">
            <v>1445</v>
          </cell>
        </row>
        <row r="566">
          <cell r="B566" t="str">
            <v>43M11</v>
          </cell>
          <cell r="C566" t="str">
            <v>Seccion Completa Andamio 1.20X1.50M</v>
          </cell>
          <cell r="D566" t="str">
            <v>día</v>
          </cell>
          <cell r="E566">
            <v>1</v>
          </cell>
          <cell r="G566">
            <v>700</v>
          </cell>
          <cell r="H566">
            <v>700</v>
          </cell>
        </row>
        <row r="567">
          <cell r="B567" t="str">
            <v>II. MATERIALES</v>
          </cell>
          <cell r="H567">
            <v>25760</v>
          </cell>
        </row>
        <row r="568">
          <cell r="B568">
            <v>14130</v>
          </cell>
          <cell r="C568" t="str">
            <v>Perfil metálico PHR en "C" 120x60x1.2mm</v>
          </cell>
          <cell r="D568" t="str">
            <v>m</v>
          </cell>
          <cell r="E568">
            <v>1</v>
          </cell>
          <cell r="G568">
            <v>22550</v>
          </cell>
          <cell r="H568">
            <v>22550</v>
          </cell>
        </row>
        <row r="569">
          <cell r="B569">
            <v>14135</v>
          </cell>
          <cell r="C569" t="str">
            <v>Tornillo C12 2.5"</v>
          </cell>
          <cell r="D569" t="str">
            <v>un</v>
          </cell>
          <cell r="E569">
            <v>2</v>
          </cell>
          <cell r="G569">
            <v>960</v>
          </cell>
          <cell r="H569">
            <v>1920</v>
          </cell>
        </row>
        <row r="570">
          <cell r="B570">
            <v>14140</v>
          </cell>
          <cell r="C570" t="str">
            <v>Electrodo de soldadura metálica</v>
          </cell>
          <cell r="D570" t="str">
            <v>kg</v>
          </cell>
          <cell r="E570">
            <v>0.1</v>
          </cell>
          <cell r="G570">
            <v>12900</v>
          </cell>
          <cell r="H570">
            <v>1290</v>
          </cell>
        </row>
        <row r="571">
          <cell r="B571" t="str">
            <v>III. TRANSPORTES</v>
          </cell>
          <cell r="H571">
            <v>64.394999999999996</v>
          </cell>
        </row>
        <row r="572">
          <cell r="B572" t="str">
            <v>6TB11</v>
          </cell>
          <cell r="C572" t="str">
            <v xml:space="preserve">Transporte de materiales varios </v>
          </cell>
          <cell r="D572" t="str">
            <v>T/km</v>
          </cell>
          <cell r="E572">
            <v>30</v>
          </cell>
          <cell r="F572">
            <v>3.1800000000000001E-3</v>
          </cell>
          <cell r="G572">
            <v>675</v>
          </cell>
          <cell r="H572">
            <v>64.394999999999996</v>
          </cell>
        </row>
        <row r="573">
          <cell r="B573" t="str">
            <v>IV. MANO DE OBRA</v>
          </cell>
          <cell r="H573">
            <v>9108.35</v>
          </cell>
        </row>
        <row r="574">
          <cell r="B574">
            <v>21111</v>
          </cell>
          <cell r="C574" t="str">
            <v>Mo Oficial</v>
          </cell>
          <cell r="D574" t="str">
            <v>jor</v>
          </cell>
          <cell r="E574">
            <v>0.05</v>
          </cell>
          <cell r="G574">
            <v>116960</v>
          </cell>
          <cell r="H574">
            <v>5848</v>
          </cell>
        </row>
        <row r="575">
          <cell r="B575">
            <v>21131</v>
          </cell>
          <cell r="C575" t="str">
            <v>Mo Ayudante Raso</v>
          </cell>
          <cell r="D575" t="str">
            <v>jor</v>
          </cell>
          <cell r="E575">
            <v>0.05</v>
          </cell>
          <cell r="G575">
            <v>65207</v>
          </cell>
          <cell r="H575">
            <v>3260.3500000000004</v>
          </cell>
        </row>
        <row r="576">
          <cell r="B576" t="str">
            <v>8.3</v>
          </cell>
          <cell r="C576" t="str">
            <v>Suministro e instalación de correas metálicas phr c 120x60x3.0mm.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576" t="str">
            <v>m</v>
          </cell>
          <cell r="E576">
            <v>25.2</v>
          </cell>
          <cell r="G576" t="str">
            <v/>
          </cell>
          <cell r="H576">
            <v>48640</v>
          </cell>
        </row>
        <row r="577">
          <cell r="B577" t="str">
            <v>I. EQUIPO Y HERRAMIENTA</v>
          </cell>
          <cell r="H577">
            <v>2600.4175</v>
          </cell>
        </row>
        <row r="578">
          <cell r="B578">
            <v>46111</v>
          </cell>
          <cell r="C578" t="str">
            <v>Herramienta Y Equipo Menor</v>
          </cell>
          <cell r="D578" t="str">
            <v>%</v>
          </cell>
          <cell r="F578">
            <v>0.05</v>
          </cell>
          <cell r="G578">
            <v>9108.35</v>
          </cell>
          <cell r="H578">
            <v>455.41750000000002</v>
          </cell>
        </row>
        <row r="579">
          <cell r="B579" t="str">
            <v>E16150</v>
          </cell>
          <cell r="C579" t="str">
            <v xml:space="preserve">Soldador eléctrico </v>
          </cell>
          <cell r="D579" t="str">
            <v>día</v>
          </cell>
          <cell r="E579">
            <v>0.05</v>
          </cell>
          <cell r="G579">
            <v>28900</v>
          </cell>
          <cell r="H579">
            <v>1445</v>
          </cell>
        </row>
        <row r="580">
          <cell r="B580" t="str">
            <v>43M11</v>
          </cell>
          <cell r="C580" t="str">
            <v>Seccion Completa Andamio 1.20X1.50M</v>
          </cell>
          <cell r="D580" t="str">
            <v>día</v>
          </cell>
          <cell r="E580">
            <v>1</v>
          </cell>
          <cell r="G580">
            <v>700</v>
          </cell>
          <cell r="H580">
            <v>700</v>
          </cell>
        </row>
        <row r="581">
          <cell r="B581" t="str">
            <v>II. MATERIALES</v>
          </cell>
          <cell r="H581">
            <v>36802</v>
          </cell>
        </row>
        <row r="582">
          <cell r="B582">
            <v>14145</v>
          </cell>
          <cell r="C582" t="str">
            <v>Perfil metálico PHR en "C" 120x60x3.0mm</v>
          </cell>
          <cell r="D582" t="str">
            <v>m</v>
          </cell>
          <cell r="E582">
            <v>1</v>
          </cell>
          <cell r="G582">
            <v>30950</v>
          </cell>
          <cell r="H582">
            <v>30950</v>
          </cell>
        </row>
        <row r="583">
          <cell r="B583">
            <v>14135</v>
          </cell>
          <cell r="C583" t="str">
            <v>Tornillo C12 2.5"</v>
          </cell>
          <cell r="D583" t="str">
            <v>un</v>
          </cell>
          <cell r="E583">
            <v>0.2</v>
          </cell>
          <cell r="G583">
            <v>960</v>
          </cell>
          <cell r="H583">
            <v>192</v>
          </cell>
        </row>
        <row r="584">
          <cell r="B584">
            <v>14140</v>
          </cell>
          <cell r="C584" t="str">
            <v>Electrodo de soldadura metálica</v>
          </cell>
          <cell r="D584" t="str">
            <v>kg</v>
          </cell>
          <cell r="E584">
            <v>0.1</v>
          </cell>
          <cell r="G584">
            <v>12900</v>
          </cell>
          <cell r="H584">
            <v>1290</v>
          </cell>
        </row>
        <row r="585">
          <cell r="B585">
            <v>16530</v>
          </cell>
          <cell r="C585" t="str">
            <v>Esmalte para exteriores Negro + anticorrosivo</v>
          </cell>
          <cell r="D585" t="str">
            <v>gal</v>
          </cell>
          <cell r="E585">
            <v>0.05</v>
          </cell>
          <cell r="G585">
            <v>87400</v>
          </cell>
          <cell r="H585">
            <v>4370</v>
          </cell>
        </row>
        <row r="586">
          <cell r="B586" t="str">
            <v>III. TRANSPORTES</v>
          </cell>
          <cell r="H586">
            <v>129.2355</v>
          </cell>
        </row>
        <row r="587">
          <cell r="B587" t="str">
            <v>6TB11</v>
          </cell>
          <cell r="C587" t="str">
            <v xml:space="preserve">Transporte de materiales varios </v>
          </cell>
          <cell r="D587" t="str">
            <v>T/km</v>
          </cell>
          <cell r="E587">
            <v>30</v>
          </cell>
          <cell r="F587">
            <v>6.3819999999999997E-3</v>
          </cell>
          <cell r="G587">
            <v>675</v>
          </cell>
          <cell r="H587">
            <v>129.2355</v>
          </cell>
        </row>
        <row r="588">
          <cell r="B588" t="str">
            <v>IV. MANO DE OBRA</v>
          </cell>
          <cell r="H588">
            <v>9108.35</v>
          </cell>
        </row>
        <row r="589">
          <cell r="B589">
            <v>21111</v>
          </cell>
          <cell r="C589" t="str">
            <v>Mo Oficial</v>
          </cell>
          <cell r="D589" t="str">
            <v>jor</v>
          </cell>
          <cell r="E589">
            <v>0.05</v>
          </cell>
          <cell r="G589">
            <v>116960</v>
          </cell>
          <cell r="H589">
            <v>5848</v>
          </cell>
        </row>
        <row r="590">
          <cell r="B590">
            <v>21131</v>
          </cell>
          <cell r="C590" t="str">
            <v>Mo Ayudante Raso</v>
          </cell>
          <cell r="D590" t="str">
            <v>jor</v>
          </cell>
          <cell r="E590">
            <v>0.05</v>
          </cell>
          <cell r="G590">
            <v>65207</v>
          </cell>
          <cell r="H590">
            <v>3260.3500000000004</v>
          </cell>
        </row>
        <row r="591">
          <cell r="B591" t="str">
            <v>8.4</v>
          </cell>
          <cell r="C591" t="str">
            <v>Suministro e instalación de columna metálica pts 100x100x4mm.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591" t="str">
            <v>m</v>
          </cell>
          <cell r="E591">
            <v>2.4</v>
          </cell>
          <cell r="G591" t="str">
            <v/>
          </cell>
          <cell r="H591">
            <v>119709</v>
          </cell>
        </row>
        <row r="592">
          <cell r="B592" t="str">
            <v>I. EQUIPO Y HERRAMIENTA</v>
          </cell>
          <cell r="H592">
            <v>2600.4175</v>
          </cell>
        </row>
        <row r="593">
          <cell r="B593">
            <v>46111</v>
          </cell>
          <cell r="C593" t="str">
            <v>Herramienta Y Equipo Menor</v>
          </cell>
          <cell r="D593" t="str">
            <v>%</v>
          </cell>
          <cell r="F593">
            <v>0.05</v>
          </cell>
          <cell r="G593">
            <v>9108.35</v>
          </cell>
          <cell r="H593">
            <v>455.41750000000002</v>
          </cell>
        </row>
        <row r="594">
          <cell r="B594" t="str">
            <v>E16150</v>
          </cell>
          <cell r="C594" t="str">
            <v xml:space="preserve">Soldador eléctrico </v>
          </cell>
          <cell r="D594" t="str">
            <v>día</v>
          </cell>
          <cell r="E594">
            <v>0.05</v>
          </cell>
          <cell r="G594">
            <v>28900</v>
          </cell>
          <cell r="H594">
            <v>1445</v>
          </cell>
        </row>
        <row r="595">
          <cell r="B595" t="str">
            <v>43M11</v>
          </cell>
          <cell r="C595" t="str">
            <v>Seccion Completa Andamio 1.20X1.50M</v>
          </cell>
          <cell r="D595" t="str">
            <v>día</v>
          </cell>
          <cell r="E595">
            <v>1</v>
          </cell>
          <cell r="G595">
            <v>700</v>
          </cell>
          <cell r="H595">
            <v>700</v>
          </cell>
        </row>
        <row r="596">
          <cell r="B596" t="str">
            <v>II. MATERIALES</v>
          </cell>
          <cell r="H596">
            <v>107752</v>
          </cell>
        </row>
        <row r="597">
          <cell r="B597">
            <v>14150</v>
          </cell>
          <cell r="C597" t="str">
            <v>Tuberia metalica 100x100x4mm</v>
          </cell>
          <cell r="D597" t="str">
            <v>m</v>
          </cell>
          <cell r="E597">
            <v>1</v>
          </cell>
          <cell r="G597">
            <v>101900</v>
          </cell>
          <cell r="H597">
            <v>101900</v>
          </cell>
        </row>
        <row r="598">
          <cell r="B598">
            <v>14135</v>
          </cell>
          <cell r="C598" t="str">
            <v>Tornillo C12 2.5"</v>
          </cell>
          <cell r="D598" t="str">
            <v>un</v>
          </cell>
          <cell r="E598">
            <v>0.2</v>
          </cell>
          <cell r="G598">
            <v>960</v>
          </cell>
          <cell r="H598">
            <v>192</v>
          </cell>
        </row>
        <row r="599">
          <cell r="B599">
            <v>14140</v>
          </cell>
          <cell r="C599" t="str">
            <v>Electrodo de soldadura metálica</v>
          </cell>
          <cell r="D599" t="str">
            <v>kg</v>
          </cell>
          <cell r="E599">
            <v>0.1</v>
          </cell>
          <cell r="G599">
            <v>12900</v>
          </cell>
          <cell r="H599">
            <v>1290</v>
          </cell>
        </row>
        <row r="600">
          <cell r="B600">
            <v>16530</v>
          </cell>
          <cell r="C600" t="str">
            <v>Esmalte para exteriores Negro + anticorrosivo</v>
          </cell>
          <cell r="D600" t="str">
            <v>gal</v>
          </cell>
          <cell r="E600">
            <v>0.05</v>
          </cell>
          <cell r="G600">
            <v>87400</v>
          </cell>
          <cell r="H600">
            <v>4370</v>
          </cell>
        </row>
        <row r="601">
          <cell r="B601" t="str">
            <v>III. TRANSPORTES</v>
          </cell>
          <cell r="H601">
            <v>248.30549999999999</v>
          </cell>
        </row>
        <row r="602">
          <cell r="B602" t="str">
            <v>6TB11</v>
          </cell>
          <cell r="C602" t="str">
            <v xml:space="preserve">Transporte de materiales varios </v>
          </cell>
          <cell r="D602" t="str">
            <v>T/km</v>
          </cell>
          <cell r="E602">
            <v>30</v>
          </cell>
          <cell r="F602">
            <v>1.2262E-2</v>
          </cell>
          <cell r="G602">
            <v>675</v>
          </cell>
          <cell r="H602">
            <v>248.30549999999999</v>
          </cell>
        </row>
        <row r="603">
          <cell r="B603" t="str">
            <v>IV. MANO DE OBRA</v>
          </cell>
          <cell r="H603">
            <v>9108.35</v>
          </cell>
        </row>
        <row r="604">
          <cell r="B604">
            <v>21111</v>
          </cell>
          <cell r="C604" t="str">
            <v>Mo Oficial</v>
          </cell>
          <cell r="D604" t="str">
            <v>jor</v>
          </cell>
          <cell r="E604">
            <v>0.05</v>
          </cell>
          <cell r="G604">
            <v>116960</v>
          </cell>
          <cell r="H604">
            <v>5848</v>
          </cell>
        </row>
        <row r="605">
          <cell r="B605">
            <v>21131</v>
          </cell>
          <cell r="C605" t="str">
            <v>Mo Ayudante Raso</v>
          </cell>
          <cell r="D605" t="str">
            <v>jor</v>
          </cell>
          <cell r="E605">
            <v>0.05</v>
          </cell>
          <cell r="G605">
            <v>65207</v>
          </cell>
          <cell r="H605">
            <v>3260.3500000000004</v>
          </cell>
        </row>
        <row r="606">
          <cell r="B606" t="str">
            <v>9.</v>
          </cell>
          <cell r="C606" t="str">
            <v>APARATOS Y MUEBLES ESPECIALES</v>
          </cell>
          <cell r="D606" t="str">
            <v/>
          </cell>
          <cell r="G606" t="str">
            <v/>
          </cell>
        </row>
        <row r="607">
          <cell r="B607" t="str">
            <v>9.1</v>
          </cell>
          <cell r="C607" t="str">
            <v>Suministro e instalacion de rejilla de piso cuadrada para ducha 2". incluye material de pega y todo lo necesario para su correcta instalacion.</v>
          </cell>
          <cell r="D607" t="str">
            <v>Un</v>
          </cell>
          <cell r="E607">
            <v>2</v>
          </cell>
          <cell r="G607" t="str">
            <v/>
          </cell>
          <cell r="H607">
            <v>7430</v>
          </cell>
        </row>
        <row r="608">
          <cell r="B608" t="str">
            <v>I. EQUIPO Y HERRAMIENTA</v>
          </cell>
          <cell r="H608">
            <v>116.96000000000002</v>
          </cell>
        </row>
        <row r="609">
          <cell r="B609">
            <v>46111</v>
          </cell>
          <cell r="C609" t="str">
            <v>Herramienta Y Equipo Menor</v>
          </cell>
          <cell r="D609" t="str">
            <v>%</v>
          </cell>
          <cell r="F609">
            <v>0.05</v>
          </cell>
          <cell r="G609">
            <v>2339.2000000000003</v>
          </cell>
          <cell r="H609">
            <v>116.96000000000002</v>
          </cell>
        </row>
        <row r="610">
          <cell r="B610" t="str">
            <v>II. MATERIALES</v>
          </cell>
          <cell r="H610">
            <v>4973.3999999999996</v>
          </cell>
        </row>
        <row r="611">
          <cell r="B611" t="str">
            <v>1HS49</v>
          </cell>
          <cell r="C611" t="str">
            <v>Rejilla de piso 2" Plastica</v>
          </cell>
          <cell r="D611" t="str">
            <v>un</v>
          </cell>
          <cell r="E611">
            <v>1</v>
          </cell>
          <cell r="G611">
            <v>4800</v>
          </cell>
          <cell r="H611">
            <v>4800</v>
          </cell>
        </row>
        <row r="612">
          <cell r="B612">
            <v>11111</v>
          </cell>
          <cell r="C612" t="str">
            <v>Cemento Blanco</v>
          </cell>
          <cell r="D612" t="str">
            <v>kg</v>
          </cell>
          <cell r="E612">
            <v>0.1</v>
          </cell>
          <cell r="G612">
            <v>1734</v>
          </cell>
          <cell r="H612">
            <v>173.4</v>
          </cell>
        </row>
        <row r="613">
          <cell r="B613" t="str">
            <v>III. TRANSPORTES</v>
          </cell>
          <cell r="H613">
            <v>0.13500000000000001</v>
          </cell>
        </row>
        <row r="614">
          <cell r="B614" t="str">
            <v>6TB11</v>
          </cell>
          <cell r="C614" t="str">
            <v xml:space="preserve">Transporte de materiales varios </v>
          </cell>
          <cell r="D614" t="str">
            <v>T/km</v>
          </cell>
          <cell r="E614">
            <v>6</v>
          </cell>
          <cell r="F614">
            <v>2.0000000000000001E-4</v>
          </cell>
          <cell r="G614">
            <v>675</v>
          </cell>
          <cell r="H614">
            <v>0.13500000000000001</v>
          </cell>
        </row>
        <row r="615">
          <cell r="B615" t="str">
            <v>IV. MANO DE OBRA</v>
          </cell>
          <cell r="H615">
            <v>2339.2000000000003</v>
          </cell>
        </row>
        <row r="616">
          <cell r="B616">
            <v>21111</v>
          </cell>
          <cell r="C616" t="str">
            <v>Mo Oficial</v>
          </cell>
          <cell r="D616" t="str">
            <v>jor</v>
          </cell>
          <cell r="E616">
            <v>0.02</v>
          </cell>
          <cell r="G616">
            <v>116960</v>
          </cell>
          <cell r="H616">
            <v>2339.2000000000003</v>
          </cell>
        </row>
        <row r="617">
          <cell r="B617" t="str">
            <v>9.2</v>
          </cell>
          <cell r="C617" t="str">
            <v>Sanitario económico, incluye accesorios y todos los materiales necesarios para su correcta ejecucion.</v>
          </cell>
          <cell r="D617" t="str">
            <v>Un</v>
          </cell>
          <cell r="E617">
            <v>1</v>
          </cell>
          <cell r="G617" t="str">
            <v/>
          </cell>
          <cell r="H617">
            <v>250995</v>
          </cell>
        </row>
        <row r="618">
          <cell r="B618" t="str">
            <v>I. EQUIPO Y HERRAMIENTA</v>
          </cell>
          <cell r="H618">
            <v>175.44</v>
          </cell>
        </row>
        <row r="619">
          <cell r="B619">
            <v>46111</v>
          </cell>
          <cell r="C619" t="str">
            <v>Herramienta Y Equipo Menor</v>
          </cell>
          <cell r="D619" t="str">
            <v>%</v>
          </cell>
          <cell r="F619">
            <v>0.05</v>
          </cell>
          <cell r="G619">
            <v>3508.7999999999997</v>
          </cell>
          <cell r="H619">
            <v>175.44</v>
          </cell>
        </row>
        <row r="620">
          <cell r="B620" t="str">
            <v>II. MATERIALES</v>
          </cell>
          <cell r="H620">
            <v>246734</v>
          </cell>
        </row>
        <row r="621">
          <cell r="B621" t="str">
            <v>1N11C</v>
          </cell>
          <cell r="C621" t="str">
            <v>Sanitario Laguna blanco Corona o similar</v>
          </cell>
          <cell r="D621" t="str">
            <v>un</v>
          </cell>
          <cell r="E621">
            <v>1</v>
          </cell>
          <cell r="G621">
            <v>190100</v>
          </cell>
          <cell r="H621">
            <v>190100</v>
          </cell>
        </row>
        <row r="622">
          <cell r="B622" t="str">
            <v>1N140</v>
          </cell>
          <cell r="C622" t="str">
            <v>Accesorios cerámicos para baño (juego x3)</v>
          </cell>
          <cell r="D622" t="str">
            <v>un</v>
          </cell>
          <cell r="E622">
            <v>1</v>
          </cell>
          <cell r="G622">
            <v>54900</v>
          </cell>
          <cell r="H622">
            <v>54900</v>
          </cell>
        </row>
        <row r="623">
          <cell r="B623">
            <v>11111</v>
          </cell>
          <cell r="C623" t="str">
            <v>Cemento Blanco</v>
          </cell>
          <cell r="D623" t="str">
            <v>kg</v>
          </cell>
          <cell r="E623">
            <v>1</v>
          </cell>
          <cell r="G623">
            <v>1734</v>
          </cell>
          <cell r="H623">
            <v>1734</v>
          </cell>
        </row>
        <row r="624">
          <cell r="B624" t="str">
            <v>III. TRANSPORTES</v>
          </cell>
          <cell r="H624">
            <v>577.125</v>
          </cell>
        </row>
        <row r="625">
          <cell r="B625" t="str">
            <v>6TB11</v>
          </cell>
          <cell r="C625" t="str">
            <v xml:space="preserve">Transporte de materiales varios </v>
          </cell>
          <cell r="D625" t="str">
            <v>T/km</v>
          </cell>
          <cell r="E625">
            <v>30</v>
          </cell>
          <cell r="F625">
            <v>2.8500000000000001E-2</v>
          </cell>
          <cell r="G625">
            <v>675</v>
          </cell>
          <cell r="H625">
            <v>577.125</v>
          </cell>
        </row>
        <row r="626">
          <cell r="B626" t="str">
            <v>IV. MANO DE OBRA</v>
          </cell>
          <cell r="H626">
            <v>3508.7999999999997</v>
          </cell>
        </row>
        <row r="627">
          <cell r="B627">
            <v>21111</v>
          </cell>
          <cell r="C627" t="str">
            <v>Mo Oficial</v>
          </cell>
          <cell r="D627" t="str">
            <v>jor</v>
          </cell>
          <cell r="E627">
            <v>0.03</v>
          </cell>
          <cell r="G627">
            <v>116960</v>
          </cell>
          <cell r="H627">
            <v>3508.7999999999997</v>
          </cell>
        </row>
        <row r="628">
          <cell r="B628" t="str">
            <v>9.3</v>
          </cell>
          <cell r="C628" t="str">
            <v>Griferia sencilla para ducha. comprende el suministro e instalacion de griferia sencilla (monocontrol) referencia piscis o equivalente.</v>
          </cell>
          <cell r="D628" t="str">
            <v>Un</v>
          </cell>
          <cell r="E628">
            <v>1</v>
          </cell>
          <cell r="G628" t="str">
            <v/>
          </cell>
          <cell r="H628">
            <v>45656</v>
          </cell>
        </row>
        <row r="629">
          <cell r="B629" t="str">
            <v>I. EQUIPO Y HERRAMIENTA</v>
          </cell>
          <cell r="H629">
            <v>116.96000000000002</v>
          </cell>
        </row>
        <row r="630">
          <cell r="B630">
            <v>46111</v>
          </cell>
          <cell r="C630" t="str">
            <v>Herramienta Y Equipo Menor</v>
          </cell>
          <cell r="D630" t="str">
            <v>%</v>
          </cell>
          <cell r="F630">
            <v>0.05</v>
          </cell>
          <cell r="G630">
            <v>2339.2000000000003</v>
          </cell>
          <cell r="H630">
            <v>116.96000000000002</v>
          </cell>
        </row>
        <row r="631">
          <cell r="B631" t="str">
            <v>II. MATERIALES</v>
          </cell>
          <cell r="H631">
            <v>43200</v>
          </cell>
        </row>
        <row r="632">
          <cell r="B632" t="str">
            <v>1N34E</v>
          </cell>
          <cell r="C632" t="str">
            <v>Ducha sencilla (tipo Dalia de Grival o similar)</v>
          </cell>
          <cell r="D632" t="str">
            <v>un</v>
          </cell>
          <cell r="E632">
            <v>1</v>
          </cell>
          <cell r="G632">
            <v>42100</v>
          </cell>
          <cell r="H632">
            <v>42100</v>
          </cell>
        </row>
        <row r="633">
          <cell r="B633" t="str">
            <v>1HS21</v>
          </cell>
          <cell r="C633" t="str">
            <v>Cinta Sellante 12Mmx12 M</v>
          </cell>
          <cell r="D633" t="str">
            <v>un</v>
          </cell>
          <cell r="E633">
            <v>0.5</v>
          </cell>
          <cell r="G633">
            <v>2200</v>
          </cell>
          <cell r="H633">
            <v>1100</v>
          </cell>
        </row>
        <row r="634">
          <cell r="B634" t="str">
            <v>III. TRANSPORTES</v>
          </cell>
          <cell r="H634">
            <v>0.23624999999999999</v>
          </cell>
        </row>
        <row r="635">
          <cell r="B635" t="str">
            <v>6TB11</v>
          </cell>
          <cell r="C635" t="str">
            <v xml:space="preserve">Transporte de materiales varios </v>
          </cell>
          <cell r="D635" t="str">
            <v>T/km</v>
          </cell>
          <cell r="E635">
            <v>6</v>
          </cell>
          <cell r="F635">
            <v>3.5E-4</v>
          </cell>
          <cell r="G635">
            <v>675</v>
          </cell>
          <cell r="H635">
            <v>0.23624999999999999</v>
          </cell>
        </row>
        <row r="636">
          <cell r="B636" t="str">
            <v>IV. MANO DE OBRA</v>
          </cell>
          <cell r="H636">
            <v>2339.2000000000003</v>
          </cell>
        </row>
        <row r="637">
          <cell r="B637">
            <v>21111</v>
          </cell>
          <cell r="C637" t="str">
            <v>Mo Oficial</v>
          </cell>
          <cell r="D637" t="str">
            <v>jor</v>
          </cell>
          <cell r="E637">
            <v>0.02</v>
          </cell>
          <cell r="G637">
            <v>116960</v>
          </cell>
          <cell r="H637">
            <v>2339.2000000000003</v>
          </cell>
        </row>
        <row r="638">
          <cell r="B638" t="str">
            <v>9.4</v>
          </cell>
          <cell r="C638" t="str">
            <v>Griferia sencilla para lavaplatos. comprende el suministro e instalacion de griferia sencilla tipo cuello de ganso (monocontrol) referencia piscis o equivalente.</v>
          </cell>
          <cell r="D638" t="str">
            <v>Un</v>
          </cell>
          <cell r="E638">
            <v>1</v>
          </cell>
          <cell r="G638" t="str">
            <v/>
          </cell>
          <cell r="H638">
            <v>51813</v>
          </cell>
        </row>
        <row r="639">
          <cell r="B639" t="str">
            <v>I. EQUIPO Y HERRAMIENTA</v>
          </cell>
          <cell r="H639">
            <v>91.083500000000015</v>
          </cell>
        </row>
        <row r="640">
          <cell r="B640">
            <v>46111</v>
          </cell>
          <cell r="C640" t="str">
            <v>Herramienta Y Equipo Menor</v>
          </cell>
          <cell r="D640" t="str">
            <v>%</v>
          </cell>
          <cell r="F640">
            <v>0.05</v>
          </cell>
          <cell r="G640">
            <v>1821.67</v>
          </cell>
          <cell r="H640">
            <v>91.083500000000015</v>
          </cell>
        </row>
        <row r="641">
          <cell r="B641" t="str">
            <v>II. MATERIALES</v>
          </cell>
          <cell r="H641">
            <v>49900</v>
          </cell>
        </row>
        <row r="642">
          <cell r="B642">
            <v>13630</v>
          </cell>
          <cell r="C642" t="str">
            <v>Grifería lavaplatos pico cisne tipo Dalia  de Grival o similar</v>
          </cell>
          <cell r="D642" t="str">
            <v>un</v>
          </cell>
          <cell r="E642">
            <v>1</v>
          </cell>
          <cell r="G642">
            <v>49900</v>
          </cell>
          <cell r="H642">
            <v>49900</v>
          </cell>
        </row>
        <row r="643">
          <cell r="B643" t="str">
            <v>III. TRANSPORTES</v>
          </cell>
          <cell r="H643">
            <v>0.20249999999999999</v>
          </cell>
        </row>
        <row r="644">
          <cell r="B644" t="str">
            <v>6TB11</v>
          </cell>
          <cell r="C644" t="str">
            <v xml:space="preserve">Transporte de materiales varios </v>
          </cell>
          <cell r="D644" t="str">
            <v>T/km</v>
          </cell>
          <cell r="E644">
            <v>6</v>
          </cell>
          <cell r="F644">
            <v>2.9999999999999997E-4</v>
          </cell>
          <cell r="G644">
            <v>675</v>
          </cell>
          <cell r="H644">
            <v>0.20249999999999999</v>
          </cell>
        </row>
        <row r="645">
          <cell r="B645" t="str">
            <v>IV. MANO DE OBRA</v>
          </cell>
          <cell r="H645">
            <v>1821.67</v>
          </cell>
        </row>
        <row r="646">
          <cell r="B646">
            <v>21111</v>
          </cell>
          <cell r="C646" t="str">
            <v>Mo Oficial</v>
          </cell>
          <cell r="D646" t="str">
            <v>jor</v>
          </cell>
          <cell r="E646">
            <v>0.01</v>
          </cell>
          <cell r="G646">
            <v>116960</v>
          </cell>
          <cell r="H646">
            <v>1169.6000000000001</v>
          </cell>
        </row>
        <row r="647">
          <cell r="B647">
            <v>21131</v>
          </cell>
          <cell r="C647" t="str">
            <v>Mo Ayudante Raso</v>
          </cell>
          <cell r="D647" t="str">
            <v>jor</v>
          </cell>
          <cell r="E647">
            <v>0.01</v>
          </cell>
          <cell r="G647">
            <v>65207</v>
          </cell>
          <cell r="H647">
            <v>652.07000000000005</v>
          </cell>
        </row>
        <row r="648">
          <cell r="B648" t="str">
            <v>9.5</v>
          </cell>
          <cell r="C648" t="str">
            <v>Suministro, transporte e instalacion de lavadero de 100x60 cm en grano blanco; incluye muretes de soporte.</v>
          </cell>
          <cell r="D648" t="str">
            <v>Un</v>
          </cell>
          <cell r="E648">
            <v>1</v>
          </cell>
          <cell r="G648" t="str">
            <v/>
          </cell>
          <cell r="H648">
            <v>227652</v>
          </cell>
        </row>
        <row r="649">
          <cell r="B649" t="str">
            <v>I. EQUIPO Y HERRAMIENTA</v>
          </cell>
          <cell r="H649">
            <v>910.83500000000004</v>
          </cell>
        </row>
        <row r="650">
          <cell r="B650">
            <v>46111</v>
          </cell>
          <cell r="C650" t="str">
            <v>Herramienta Y Equipo Menor</v>
          </cell>
          <cell r="D650" t="str">
            <v>%</v>
          </cell>
          <cell r="F650">
            <v>0.05</v>
          </cell>
          <cell r="G650">
            <v>18216.7</v>
          </cell>
          <cell r="H650">
            <v>910.83500000000004</v>
          </cell>
        </row>
        <row r="651">
          <cell r="B651" t="str">
            <v>II. MATERIALES</v>
          </cell>
          <cell r="H651">
            <v>204312.65</v>
          </cell>
        </row>
        <row r="652">
          <cell r="B652" t="str">
            <v>1N1A2</v>
          </cell>
          <cell r="C652" t="str">
            <v>Lavadero Prefabricado En Grano Blanco 1,0X0,60M</v>
          </cell>
          <cell r="D652" t="str">
            <v>un</v>
          </cell>
          <cell r="E652">
            <v>1</v>
          </cell>
          <cell r="G652">
            <v>135900</v>
          </cell>
          <cell r="H652">
            <v>135900</v>
          </cell>
        </row>
        <row r="653">
          <cell r="B653">
            <v>72132</v>
          </cell>
          <cell r="C653" t="str">
            <v>Aux Concreto 3000 Psi (21.1 Mpa) -Obra- 3/4"</v>
          </cell>
          <cell r="D653" t="str">
            <v>m3</v>
          </cell>
          <cell r="E653">
            <v>0.06</v>
          </cell>
          <cell r="G653">
            <v>487024</v>
          </cell>
          <cell r="H653">
            <v>29221.439999999999</v>
          </cell>
        </row>
        <row r="654">
          <cell r="B654">
            <v>18316</v>
          </cell>
          <cell r="C654" t="str">
            <v>Bloque de Concreto 10X20X40</v>
          </cell>
          <cell r="D654" t="str">
            <v>un</v>
          </cell>
          <cell r="E654">
            <v>6</v>
          </cell>
          <cell r="G654">
            <v>1850</v>
          </cell>
          <cell r="H654">
            <v>11100</v>
          </cell>
        </row>
        <row r="655">
          <cell r="B655" t="str">
            <v>71A14</v>
          </cell>
          <cell r="C655" t="str">
            <v>Aux Mortero De Pega 1:4:1/4</v>
          </cell>
          <cell r="D655" t="str">
            <v>m3</v>
          </cell>
          <cell r="E655">
            <v>1.4E-2</v>
          </cell>
          <cell r="G655">
            <v>406515</v>
          </cell>
          <cell r="H655">
            <v>5691.21</v>
          </cell>
        </row>
        <row r="656">
          <cell r="B656" t="str">
            <v>1N3A1</v>
          </cell>
          <cell r="C656" t="str">
            <v>Llave Jardin 1/2" X 3/4" Cromada</v>
          </cell>
          <cell r="D656" t="str">
            <v>un</v>
          </cell>
          <cell r="E656">
            <v>1</v>
          </cell>
          <cell r="G656">
            <v>22400</v>
          </cell>
          <cell r="H656">
            <v>22400</v>
          </cell>
        </row>
        <row r="657">
          <cell r="B657" t="str">
            <v>III. TRANSPORTES</v>
          </cell>
          <cell r="H657">
            <v>4212</v>
          </cell>
        </row>
        <row r="658">
          <cell r="B658" t="str">
            <v>6TB11</v>
          </cell>
          <cell r="C658" t="str">
            <v xml:space="preserve">Transporte de materiales varios </v>
          </cell>
          <cell r="D658" t="str">
            <v>T/km</v>
          </cell>
          <cell r="E658">
            <v>30</v>
          </cell>
          <cell r="F658">
            <v>0.20799999999999999</v>
          </cell>
          <cell r="G658">
            <v>675</v>
          </cell>
          <cell r="H658">
            <v>4212</v>
          </cell>
        </row>
        <row r="659">
          <cell r="B659" t="str">
            <v>IV. MANO DE OBRA</v>
          </cell>
          <cell r="H659">
            <v>18216.7</v>
          </cell>
        </row>
        <row r="660">
          <cell r="B660">
            <v>21111</v>
          </cell>
          <cell r="C660" t="str">
            <v>Mo Oficial</v>
          </cell>
          <cell r="D660" t="str">
            <v>jor</v>
          </cell>
          <cell r="E660">
            <v>0.1</v>
          </cell>
          <cell r="G660">
            <v>116960</v>
          </cell>
          <cell r="H660">
            <v>11696</v>
          </cell>
        </row>
        <row r="661">
          <cell r="B661">
            <v>21131</v>
          </cell>
          <cell r="C661" t="str">
            <v>Mo Ayudante Raso</v>
          </cell>
          <cell r="D661" t="str">
            <v>jor</v>
          </cell>
          <cell r="E661">
            <v>0.1</v>
          </cell>
          <cell r="G661">
            <v>65207</v>
          </cell>
          <cell r="H661">
            <v>6520.7000000000007</v>
          </cell>
        </row>
        <row r="662">
          <cell r="B662" t="str">
            <v>10.</v>
          </cell>
          <cell r="C662" t="str">
            <v>CARPINTERIA EN MADERA</v>
          </cell>
          <cell r="D662" t="str">
            <v/>
          </cell>
          <cell r="G662" t="str">
            <v/>
          </cell>
        </row>
        <row r="663">
          <cell r="B663" t="str">
            <v>10.1</v>
          </cell>
          <cell r="C663" t="str">
            <v>Suministro de puerta en madera tipo economica de 1.00x2.10 m, incluye marco, chapa economica, bisagras y demas elementos para su correcto funcionamiento.</v>
          </cell>
          <cell r="D663" t="str">
            <v>Un</v>
          </cell>
          <cell r="E663">
            <v>2</v>
          </cell>
          <cell r="G663" t="str">
            <v/>
          </cell>
          <cell r="H663">
            <v>285109</v>
          </cell>
        </row>
        <row r="664">
          <cell r="B664" t="str">
            <v>I. EQUIPO Y HERRAMIENTA</v>
          </cell>
          <cell r="H664">
            <v>455.41750000000002</v>
          </cell>
        </row>
        <row r="665">
          <cell r="B665">
            <v>46111</v>
          </cell>
          <cell r="C665" t="str">
            <v>Herramienta Y Equipo Menor</v>
          </cell>
          <cell r="D665" t="str">
            <v>%</v>
          </cell>
          <cell r="F665">
            <v>0.05</v>
          </cell>
          <cell r="G665">
            <v>9108.35</v>
          </cell>
          <cell r="H665">
            <v>455.41750000000002</v>
          </cell>
        </row>
        <row r="666">
          <cell r="B666" t="str">
            <v>II. MATERIALES</v>
          </cell>
          <cell r="H666">
            <v>275094</v>
          </cell>
        </row>
        <row r="667">
          <cell r="B667" t="str">
            <v>16CP1</v>
          </cell>
          <cell r="C667" t="str">
            <v>Puerta en Madera - 1.00m X 2.10m - Incluye Marco</v>
          </cell>
          <cell r="D667" t="str">
            <v>un</v>
          </cell>
          <cell r="E667">
            <v>1</v>
          </cell>
          <cell r="G667">
            <v>232000</v>
          </cell>
          <cell r="H667">
            <v>232000</v>
          </cell>
        </row>
        <row r="668">
          <cell r="B668" t="str">
            <v>AD1190</v>
          </cell>
          <cell r="C668" t="str">
            <v>Inmunizante insecticida fungicida para madera transparente 3kg, tipo Merulex o similar</v>
          </cell>
          <cell r="D668" t="str">
            <v>Un</v>
          </cell>
          <cell r="E668">
            <v>0.2</v>
          </cell>
          <cell r="G668">
            <v>105970</v>
          </cell>
          <cell r="H668">
            <v>21194</v>
          </cell>
        </row>
        <row r="669">
          <cell r="B669" t="str">
            <v>16C25</v>
          </cell>
          <cell r="C669" t="str">
            <v>Chapa económica</v>
          </cell>
          <cell r="D669" t="str">
            <v>un</v>
          </cell>
          <cell r="E669">
            <v>1</v>
          </cell>
          <cell r="G669">
            <v>21900</v>
          </cell>
          <cell r="H669">
            <v>21900</v>
          </cell>
        </row>
        <row r="670">
          <cell r="B670" t="str">
            <v>III. TRANSPORTES</v>
          </cell>
          <cell r="H670">
            <v>451.57499999999999</v>
          </cell>
        </row>
        <row r="671">
          <cell r="B671" t="str">
            <v>6TB11</v>
          </cell>
          <cell r="C671" t="str">
            <v xml:space="preserve">Transporte de materiales varios </v>
          </cell>
          <cell r="D671" t="str">
            <v>T/km</v>
          </cell>
          <cell r="E671">
            <v>30</v>
          </cell>
          <cell r="F671">
            <v>2.23E-2</v>
          </cell>
          <cell r="G671">
            <v>675</v>
          </cell>
          <cell r="H671">
            <v>451.57499999999999</v>
          </cell>
        </row>
        <row r="672">
          <cell r="B672" t="str">
            <v>IV. MANO DE OBRA</v>
          </cell>
          <cell r="H672">
            <v>9108.35</v>
          </cell>
        </row>
        <row r="673">
          <cell r="B673">
            <v>21111</v>
          </cell>
          <cell r="C673" t="str">
            <v>Mo Oficial</v>
          </cell>
          <cell r="D673" t="str">
            <v>jor</v>
          </cell>
          <cell r="E673">
            <v>0.05</v>
          </cell>
          <cell r="G673">
            <v>116960</v>
          </cell>
          <cell r="H673">
            <v>5848</v>
          </cell>
        </row>
        <row r="674">
          <cell r="B674">
            <v>21131</v>
          </cell>
          <cell r="C674" t="str">
            <v>Mo Ayudante Raso</v>
          </cell>
          <cell r="D674" t="str">
            <v>jor</v>
          </cell>
          <cell r="E674">
            <v>0.05</v>
          </cell>
          <cell r="G674">
            <v>65207</v>
          </cell>
          <cell r="H674">
            <v>3260.3500000000004</v>
          </cell>
        </row>
        <row r="675">
          <cell r="B675" t="str">
            <v>10.2</v>
          </cell>
          <cell r="C675" t="str">
            <v>Suministro de puerta en madera tipo economica de 0.80x2.10 m, incluye marco, chapa economica, bisagras y demas elementos para su correcto funcionamiento.</v>
          </cell>
          <cell r="D675" t="str">
            <v>Un</v>
          </cell>
          <cell r="E675">
            <v>1</v>
          </cell>
          <cell r="G675" t="str">
            <v/>
          </cell>
          <cell r="H675">
            <v>274645</v>
          </cell>
        </row>
        <row r="676">
          <cell r="B676" t="str">
            <v>I. EQUIPO Y HERRAMIENTA</v>
          </cell>
          <cell r="H676">
            <v>910.83500000000004</v>
          </cell>
        </row>
        <row r="677">
          <cell r="B677">
            <v>46111</v>
          </cell>
          <cell r="C677" t="str">
            <v>Herramienta Y Equipo Menor</v>
          </cell>
          <cell r="D677" t="str">
            <v>%</v>
          </cell>
          <cell r="F677">
            <v>0.05</v>
          </cell>
          <cell r="G677">
            <v>18216.7</v>
          </cell>
          <cell r="H677">
            <v>910.83500000000004</v>
          </cell>
        </row>
        <row r="678">
          <cell r="B678" t="str">
            <v>II. MATERIALES</v>
          </cell>
          <cell r="H678">
            <v>255094</v>
          </cell>
        </row>
        <row r="679">
          <cell r="B679" t="str">
            <v>16CP2</v>
          </cell>
          <cell r="C679" t="str">
            <v>Puerta en Madera - 0.80m X 2.10m - Incluye Marco</v>
          </cell>
          <cell r="D679" t="str">
            <v>un</v>
          </cell>
          <cell r="E679">
            <v>1</v>
          </cell>
          <cell r="G679">
            <v>212000</v>
          </cell>
          <cell r="H679">
            <v>212000</v>
          </cell>
        </row>
        <row r="680">
          <cell r="B680" t="str">
            <v>AD1190</v>
          </cell>
          <cell r="C680" t="str">
            <v>Inmunizante insecticida fungicida para madera transparente 3kg, tipo Merulex o similar</v>
          </cell>
          <cell r="D680" t="str">
            <v>Un</v>
          </cell>
          <cell r="E680">
            <v>0.2</v>
          </cell>
          <cell r="G680">
            <v>105970</v>
          </cell>
          <cell r="H680">
            <v>21194</v>
          </cell>
        </row>
        <row r="681">
          <cell r="B681" t="str">
            <v>16C25</v>
          </cell>
          <cell r="C681" t="str">
            <v>Chapa económica</v>
          </cell>
          <cell r="D681" t="str">
            <v>un</v>
          </cell>
          <cell r="E681">
            <v>1</v>
          </cell>
          <cell r="G681">
            <v>21900</v>
          </cell>
          <cell r="H681">
            <v>21900</v>
          </cell>
        </row>
        <row r="682">
          <cell r="B682" t="str">
            <v>III. TRANSPORTES</v>
          </cell>
          <cell r="H682">
            <v>423.22500000000002</v>
          </cell>
        </row>
        <row r="683">
          <cell r="B683" t="str">
            <v>6TB11</v>
          </cell>
          <cell r="C683" t="str">
            <v xml:space="preserve">Transporte de materiales varios </v>
          </cell>
          <cell r="D683" t="str">
            <v>T/km</v>
          </cell>
          <cell r="E683">
            <v>30</v>
          </cell>
          <cell r="F683">
            <v>2.0900000000000002E-2</v>
          </cell>
          <cell r="G683">
            <v>675</v>
          </cell>
          <cell r="H683">
            <v>423.22500000000002</v>
          </cell>
        </row>
        <row r="684">
          <cell r="B684" t="str">
            <v>IV. MANO DE OBRA</v>
          </cell>
          <cell r="H684">
            <v>18216.7</v>
          </cell>
        </row>
        <row r="685">
          <cell r="B685">
            <v>21111</v>
          </cell>
          <cell r="C685" t="str">
            <v>Mo Oficial</v>
          </cell>
          <cell r="D685" t="str">
            <v>jor</v>
          </cell>
          <cell r="E685">
            <v>0.1</v>
          </cell>
          <cell r="G685">
            <v>116960</v>
          </cell>
          <cell r="H685">
            <v>11696</v>
          </cell>
        </row>
        <row r="686">
          <cell r="B686">
            <v>21131</v>
          </cell>
          <cell r="C686" t="str">
            <v>Mo Ayudante Raso</v>
          </cell>
          <cell r="D686" t="str">
            <v>jor</v>
          </cell>
          <cell r="E686">
            <v>0.1</v>
          </cell>
          <cell r="G686">
            <v>65207</v>
          </cell>
          <cell r="H686">
            <v>6520.7000000000007</v>
          </cell>
        </row>
        <row r="687">
          <cell r="B687" t="str">
            <v>10.3</v>
          </cell>
          <cell r="C687" t="str">
            <v>Suministro de ventana en madera tipo economica de 1.20x1.40 m, incluye marco, bisagras y demas elementos para su correcto funcionamiento.</v>
          </cell>
          <cell r="D687" t="str">
            <v>Un</v>
          </cell>
          <cell r="E687">
            <v>3</v>
          </cell>
          <cell r="G687" t="str">
            <v/>
          </cell>
          <cell r="H687">
            <v>220779</v>
          </cell>
        </row>
        <row r="688">
          <cell r="B688" t="str">
            <v>I. EQUIPO Y HERRAMIENTA</v>
          </cell>
          <cell r="H688">
            <v>910.83500000000004</v>
          </cell>
        </row>
        <row r="689">
          <cell r="B689">
            <v>46111</v>
          </cell>
          <cell r="C689" t="str">
            <v>Herramienta Y Equipo Menor</v>
          </cell>
          <cell r="D689" t="str">
            <v>%</v>
          </cell>
          <cell r="F689">
            <v>0.05</v>
          </cell>
          <cell r="G689">
            <v>18216.7</v>
          </cell>
          <cell r="H689">
            <v>910.83500000000004</v>
          </cell>
        </row>
        <row r="690">
          <cell r="B690" t="str">
            <v>II. MATERIALES</v>
          </cell>
          <cell r="H690">
            <v>201194</v>
          </cell>
        </row>
        <row r="691">
          <cell r="B691" t="str">
            <v>16CV1</v>
          </cell>
          <cell r="C691" t="str">
            <v>Ventana en Madera - 1.20m X 1.40m -  Incluye marco, bisagras y pestillos de seguridad</v>
          </cell>
          <cell r="D691" t="str">
            <v>un</v>
          </cell>
          <cell r="E691">
            <v>1</v>
          </cell>
          <cell r="G691">
            <v>180000</v>
          </cell>
          <cell r="H691">
            <v>180000</v>
          </cell>
        </row>
        <row r="692">
          <cell r="B692" t="str">
            <v>AD1190</v>
          </cell>
          <cell r="C692" t="str">
            <v>Inmunizante insecticida fungicida para madera transparente 3kg, tipo Merulex o similar</v>
          </cell>
          <cell r="D692" t="str">
            <v>Un</v>
          </cell>
          <cell r="E692">
            <v>0.2</v>
          </cell>
          <cell r="G692">
            <v>105970</v>
          </cell>
          <cell r="H692">
            <v>21194</v>
          </cell>
        </row>
        <row r="693">
          <cell r="B693" t="str">
            <v>III. TRANSPORTES</v>
          </cell>
          <cell r="H693">
            <v>457.65000000000003</v>
          </cell>
        </row>
        <row r="694">
          <cell r="B694" t="str">
            <v>6TB11</v>
          </cell>
          <cell r="C694" t="str">
            <v xml:space="preserve">Transporte de materiales varios </v>
          </cell>
          <cell r="D694" t="str">
            <v>T/km</v>
          </cell>
          <cell r="E694">
            <v>30</v>
          </cell>
          <cell r="F694">
            <v>2.2600000000000002E-2</v>
          </cell>
          <cell r="G694">
            <v>675</v>
          </cell>
          <cell r="H694">
            <v>457.65000000000003</v>
          </cell>
        </row>
        <row r="695">
          <cell r="B695" t="str">
            <v>IV. MANO DE OBRA</v>
          </cell>
          <cell r="H695">
            <v>18216.7</v>
          </cell>
        </row>
        <row r="696">
          <cell r="B696">
            <v>21111</v>
          </cell>
          <cell r="C696" t="str">
            <v>Mo Oficial</v>
          </cell>
          <cell r="D696" t="str">
            <v>jor</v>
          </cell>
          <cell r="E696">
            <v>0.1</v>
          </cell>
          <cell r="G696">
            <v>116960</v>
          </cell>
          <cell r="H696">
            <v>11696</v>
          </cell>
        </row>
        <row r="697">
          <cell r="B697">
            <v>21131</v>
          </cell>
          <cell r="C697" t="str">
            <v>Mo Ayudante Raso</v>
          </cell>
          <cell r="D697" t="str">
            <v>jor</v>
          </cell>
          <cell r="E697">
            <v>0.1</v>
          </cell>
          <cell r="G697">
            <v>65207</v>
          </cell>
          <cell r="H697">
            <v>6520.7000000000007</v>
          </cell>
        </row>
        <row r="698">
          <cell r="B698" t="str">
            <v>10.4</v>
          </cell>
          <cell r="C698" t="str">
            <v>Suministro de ventana en madera tipo economica de 1.20x1.20 m, incluye marco, bisagras y demas elementos para su correcto funcionamiento.</v>
          </cell>
          <cell r="D698" t="str">
            <v>Un</v>
          </cell>
          <cell r="E698">
            <v>1</v>
          </cell>
          <cell r="G698" t="str">
            <v/>
          </cell>
          <cell r="H698">
            <v>188698</v>
          </cell>
        </row>
        <row r="699">
          <cell r="B699" t="str">
            <v>I. EQUIPO Y HERRAMIENTA</v>
          </cell>
          <cell r="H699">
            <v>910.83500000000004</v>
          </cell>
        </row>
        <row r="700">
          <cell r="B700">
            <v>46111</v>
          </cell>
          <cell r="C700" t="str">
            <v>Herramienta Y Equipo Menor</v>
          </cell>
          <cell r="D700" t="str">
            <v>%</v>
          </cell>
          <cell r="F700">
            <v>0.05</v>
          </cell>
          <cell r="G700">
            <v>18216.7</v>
          </cell>
          <cell r="H700">
            <v>910.83500000000004</v>
          </cell>
        </row>
        <row r="701">
          <cell r="B701" t="str">
            <v>II. MATERIALES</v>
          </cell>
          <cell r="H701">
            <v>169194</v>
          </cell>
        </row>
        <row r="702">
          <cell r="B702" t="str">
            <v>16CV2</v>
          </cell>
          <cell r="C702" t="str">
            <v>Ventana en Madera - 1.20m X 1.20m - Incluye marco, bisagras y pestillos de seguridad</v>
          </cell>
          <cell r="D702" t="str">
            <v>un</v>
          </cell>
          <cell r="E702">
            <v>1</v>
          </cell>
          <cell r="G702">
            <v>148000</v>
          </cell>
          <cell r="H702">
            <v>148000</v>
          </cell>
        </row>
        <row r="703">
          <cell r="B703" t="str">
            <v>AD1190</v>
          </cell>
          <cell r="C703" t="str">
            <v>Inmunizante insecticida fungicida para madera transparente 3kg, tipo Merulex o similar</v>
          </cell>
          <cell r="D703" t="str">
            <v>Un</v>
          </cell>
          <cell r="E703">
            <v>0.2</v>
          </cell>
          <cell r="G703">
            <v>105970</v>
          </cell>
          <cell r="H703">
            <v>21194</v>
          </cell>
        </row>
        <row r="704">
          <cell r="B704" t="str">
            <v>III. TRANSPORTES</v>
          </cell>
          <cell r="H704">
            <v>376.65000000000003</v>
          </cell>
        </row>
        <row r="705">
          <cell r="B705" t="str">
            <v>6TB11</v>
          </cell>
          <cell r="C705" t="str">
            <v xml:space="preserve">Transporte de materiales varios </v>
          </cell>
          <cell r="D705" t="str">
            <v>T/km</v>
          </cell>
          <cell r="E705">
            <v>30</v>
          </cell>
          <cell r="F705">
            <v>1.8600000000000002E-2</v>
          </cell>
          <cell r="G705">
            <v>675</v>
          </cell>
          <cell r="H705">
            <v>376.65000000000003</v>
          </cell>
        </row>
        <row r="706">
          <cell r="B706" t="str">
            <v>IV. MANO DE OBRA</v>
          </cell>
          <cell r="H706">
            <v>18216.7</v>
          </cell>
        </row>
        <row r="707">
          <cell r="B707">
            <v>21111</v>
          </cell>
          <cell r="C707" t="str">
            <v>Mo Oficial</v>
          </cell>
          <cell r="D707" t="str">
            <v>jor</v>
          </cell>
          <cell r="E707">
            <v>0.1</v>
          </cell>
          <cell r="G707">
            <v>116960</v>
          </cell>
          <cell r="H707">
            <v>11696</v>
          </cell>
        </row>
        <row r="708">
          <cell r="B708">
            <v>21131</v>
          </cell>
          <cell r="C708" t="str">
            <v>Mo Ayudante Raso</v>
          </cell>
          <cell r="D708" t="str">
            <v>jor</v>
          </cell>
          <cell r="E708">
            <v>0.1</v>
          </cell>
          <cell r="G708">
            <v>65207</v>
          </cell>
          <cell r="H708">
            <v>6520.7000000000007</v>
          </cell>
        </row>
        <row r="709">
          <cell r="B709" t="str">
            <v>11.</v>
          </cell>
          <cell r="C709" t="str">
            <v>SISTEMA SÉPTICO</v>
          </cell>
        </row>
        <row r="710">
          <cell r="B710" t="str">
            <v>11.1</v>
          </cell>
          <cell r="C710" t="str">
            <v xml:space="preserve">Sistema séptico en polietileno, compuesto por: trampa de grasas 250l, tanque séptico de 1000l y tanque para filtro anaeróbico de flujo ascendente -fafa 1000l. incuye accesorios y todos los elementos necesarios para su correcta instalación. sistema diseñado conforme al ras – resolución 0330 de 2017 y prefabricado conforme a la ntc 4384. </v>
          </cell>
          <cell r="D710" t="str">
            <v>Un</v>
          </cell>
          <cell r="E710">
            <v>1</v>
          </cell>
          <cell r="G710" t="str">
            <v/>
          </cell>
          <cell r="H710">
            <v>1849864</v>
          </cell>
        </row>
        <row r="711">
          <cell r="B711" t="str">
            <v>I. EQUIPO Y HERRAMIENTA</v>
          </cell>
          <cell r="H711">
            <v>2017.3000000000002</v>
          </cell>
        </row>
        <row r="712">
          <cell r="B712">
            <v>46111</v>
          </cell>
          <cell r="C712" t="str">
            <v>Herramienta Y Equipo Menor</v>
          </cell>
          <cell r="D712" t="str">
            <v>%</v>
          </cell>
          <cell r="F712">
            <v>0.05</v>
          </cell>
          <cell r="G712">
            <v>40346</v>
          </cell>
          <cell r="H712">
            <v>2017.3000000000002</v>
          </cell>
        </row>
        <row r="713">
          <cell r="B713" t="str">
            <v>II. MATERIALES</v>
          </cell>
          <cell r="H713">
            <v>1805707</v>
          </cell>
        </row>
        <row r="714">
          <cell r="B714" t="str">
            <v>9KS1P</v>
          </cell>
          <cell r="C714" t="str">
            <v>Kit Séptico Prefabricado en PEAD, V=2000 litros + Trampa de Grasa V=250 litros</v>
          </cell>
          <cell r="D714" t="str">
            <v>un</v>
          </cell>
          <cell r="E714">
            <v>1</v>
          </cell>
          <cell r="F714">
            <v>0</v>
          </cell>
          <cell r="G714">
            <v>1718000</v>
          </cell>
          <cell r="H714">
            <v>1718000</v>
          </cell>
        </row>
        <row r="715">
          <cell r="B715" t="str">
            <v>1HS75</v>
          </cell>
          <cell r="C715" t="str">
            <v>Tuberia Pvc-S Ø= 4"</v>
          </cell>
          <cell r="D715" t="str">
            <v>m</v>
          </cell>
          <cell r="E715">
            <v>1</v>
          </cell>
          <cell r="G715">
            <v>22150</v>
          </cell>
          <cell r="H715">
            <v>22150</v>
          </cell>
        </row>
        <row r="716">
          <cell r="B716" t="str">
            <v>1HS98</v>
          </cell>
          <cell r="C716" t="str">
            <v>Tuberia Pvc-S Ø= 3"</v>
          </cell>
          <cell r="D716" t="str">
            <v>m</v>
          </cell>
          <cell r="E716">
            <v>1</v>
          </cell>
          <cell r="G716">
            <v>16090</v>
          </cell>
          <cell r="H716">
            <v>16090</v>
          </cell>
        </row>
        <row r="717">
          <cell r="B717" t="str">
            <v>1HS44</v>
          </cell>
          <cell r="C717" t="str">
            <v>Limpiador PVC 760 gramos (1/4 gal) o similar</v>
          </cell>
          <cell r="D717" t="str">
            <v>un</v>
          </cell>
          <cell r="E717">
            <v>0.03</v>
          </cell>
          <cell r="G717">
            <v>37900</v>
          </cell>
          <cell r="H717">
            <v>1137</v>
          </cell>
        </row>
        <row r="718">
          <cell r="B718" t="str">
            <v>1EL67</v>
          </cell>
          <cell r="C718" t="str">
            <v>Soldadura PVC 1/4 gal o similar</v>
          </cell>
          <cell r="D718" t="str">
            <v>un</v>
          </cell>
          <cell r="E718">
            <v>0.03</v>
          </cell>
          <cell r="G718">
            <v>71000</v>
          </cell>
          <cell r="H718">
            <v>2130</v>
          </cell>
        </row>
        <row r="719">
          <cell r="B719" t="str">
            <v>1HS31</v>
          </cell>
          <cell r="C719" t="str">
            <v>Codo 90º Pvc-S Cxc, Ø= 3".</v>
          </cell>
          <cell r="D719" t="str">
            <v>un</v>
          </cell>
          <cell r="E719">
            <v>1</v>
          </cell>
          <cell r="G719">
            <v>7650</v>
          </cell>
          <cell r="H719">
            <v>7650</v>
          </cell>
        </row>
        <row r="720">
          <cell r="B720" t="str">
            <v>1HS61</v>
          </cell>
          <cell r="C720" t="str">
            <v>Tee Pvc-S Ø= 4"</v>
          </cell>
          <cell r="D720" t="str">
            <v>un</v>
          </cell>
          <cell r="E720">
            <v>1</v>
          </cell>
          <cell r="G720">
            <v>17050</v>
          </cell>
          <cell r="H720">
            <v>17050</v>
          </cell>
        </row>
        <row r="721">
          <cell r="B721" t="str">
            <v>1HS82</v>
          </cell>
          <cell r="C721" t="str">
            <v>Yee Reducida Pvc-S Ø= 4"X2"</v>
          </cell>
          <cell r="D721" t="str">
            <v>un</v>
          </cell>
          <cell r="E721">
            <v>1</v>
          </cell>
          <cell r="G721">
            <v>21500</v>
          </cell>
          <cell r="H721">
            <v>21500</v>
          </cell>
        </row>
        <row r="722">
          <cell r="B722" t="str">
            <v>III. TRANSPORTES</v>
          </cell>
          <cell r="H722">
            <v>1794.0852</v>
          </cell>
        </row>
        <row r="723">
          <cell r="B723" t="str">
            <v>6TB11</v>
          </cell>
          <cell r="C723" t="str">
            <v xml:space="preserve">Transporte de materiales varios </v>
          </cell>
          <cell r="D723" t="str">
            <v>T/km</v>
          </cell>
          <cell r="E723">
            <v>30</v>
          </cell>
          <cell r="F723">
            <v>8.8596800000000003E-2</v>
          </cell>
          <cell r="G723">
            <v>675</v>
          </cell>
          <cell r="H723">
            <v>1794.0852</v>
          </cell>
        </row>
        <row r="724">
          <cell r="B724" t="str">
            <v>IV. MANO DE OBRA</v>
          </cell>
          <cell r="H724">
            <v>40346</v>
          </cell>
        </row>
        <row r="725">
          <cell r="B725">
            <v>21111</v>
          </cell>
          <cell r="C725" t="str">
            <v>Mo Oficial</v>
          </cell>
          <cell r="D725" t="str">
            <v>jor</v>
          </cell>
          <cell r="E725">
            <v>0.2</v>
          </cell>
          <cell r="G725">
            <v>116960</v>
          </cell>
          <cell r="H725">
            <v>23392</v>
          </cell>
        </row>
        <row r="726">
          <cell r="B726">
            <v>21121</v>
          </cell>
          <cell r="C726" t="str">
            <v>Mo Ayudante Entendido</v>
          </cell>
          <cell r="D726" t="str">
            <v>jor</v>
          </cell>
          <cell r="E726">
            <v>0.2</v>
          </cell>
          <cell r="G726">
            <v>84770</v>
          </cell>
          <cell r="H726">
            <v>16954</v>
          </cell>
        </row>
        <row r="727">
          <cell r="B727" t="str">
            <v>11.2</v>
          </cell>
          <cell r="C727" t="str">
            <v>Construccion de pozo de absorcion de 1.50 m x 1.50 m (profundidad de referencia 2,0 m) en mamposteria construido en sitio, para manejo de clarificante y disposicion final; incluye excavacion, accesorios pvc, concreto, formaletas y tapa</v>
          </cell>
          <cell r="D727" t="str">
            <v>Un</v>
          </cell>
          <cell r="E727">
            <v>1</v>
          </cell>
          <cell r="G727" t="str">
            <v/>
          </cell>
          <cell r="H727">
            <v>654087</v>
          </cell>
        </row>
        <row r="728">
          <cell r="B728" t="str">
            <v>I. EQUIPO Y HERRAMIENTA</v>
          </cell>
          <cell r="H728">
            <v>3025.9500000000003</v>
          </cell>
        </row>
        <row r="729">
          <cell r="B729">
            <v>46111</v>
          </cell>
          <cell r="C729" t="str">
            <v>Herramienta Y Equipo Menor</v>
          </cell>
          <cell r="D729" t="str">
            <v>%</v>
          </cell>
          <cell r="F729">
            <v>0.05</v>
          </cell>
          <cell r="G729">
            <v>60519</v>
          </cell>
          <cell r="H729">
            <v>3025.9500000000003</v>
          </cell>
        </row>
        <row r="730">
          <cell r="B730" t="str">
            <v>II. MATERIALES</v>
          </cell>
          <cell r="H730">
            <v>559530.4</v>
          </cell>
        </row>
        <row r="731">
          <cell r="B731">
            <v>72132</v>
          </cell>
          <cell r="C731" t="str">
            <v>Aux Concreto 3000 Psi (21.1 Mpa) -Obra- 3/4"</v>
          </cell>
          <cell r="D731" t="str">
            <v>m3</v>
          </cell>
          <cell r="E731">
            <v>0.1</v>
          </cell>
          <cell r="G731">
            <v>487024</v>
          </cell>
          <cell r="H731">
            <v>48702.400000000001</v>
          </cell>
        </row>
        <row r="732">
          <cell r="B732">
            <v>14123</v>
          </cell>
          <cell r="C732" t="str">
            <v>Angulo De Acero De 2-1/2"X2-1/2"X1/4"</v>
          </cell>
          <cell r="D732" t="str">
            <v>m</v>
          </cell>
          <cell r="E732">
            <v>2</v>
          </cell>
          <cell r="G732">
            <v>36500</v>
          </cell>
          <cell r="H732">
            <v>73000</v>
          </cell>
        </row>
        <row r="733">
          <cell r="B733" t="str">
            <v>1HS31</v>
          </cell>
          <cell r="C733" t="str">
            <v>Codo 90º Pvc-S Cxc, Ø= 3".</v>
          </cell>
          <cell r="D733" t="str">
            <v>un</v>
          </cell>
          <cell r="E733">
            <v>1</v>
          </cell>
          <cell r="G733">
            <v>7650</v>
          </cell>
          <cell r="H733">
            <v>7650</v>
          </cell>
        </row>
        <row r="734">
          <cell r="B734" t="str">
            <v>1HS44</v>
          </cell>
          <cell r="C734" t="str">
            <v>Limpiador PVC 760 gramos (1/4 gal) o similar</v>
          </cell>
          <cell r="D734" t="str">
            <v>un</v>
          </cell>
          <cell r="E734">
            <v>0.02</v>
          </cell>
          <cell r="G734">
            <v>37900</v>
          </cell>
          <cell r="H734">
            <v>758</v>
          </cell>
        </row>
        <row r="735">
          <cell r="B735" t="str">
            <v>1EL67</v>
          </cell>
          <cell r="C735" t="str">
            <v>Soldadura PVC 1/4 gal o similar</v>
          </cell>
          <cell r="D735" t="str">
            <v>un</v>
          </cell>
          <cell r="E735">
            <v>0.02</v>
          </cell>
          <cell r="G735">
            <v>71000</v>
          </cell>
          <cell r="H735">
            <v>1420</v>
          </cell>
        </row>
        <row r="736">
          <cell r="B736">
            <v>18316</v>
          </cell>
          <cell r="C736" t="str">
            <v>Bloque de Concreto 10X20X40</v>
          </cell>
          <cell r="D736" t="str">
            <v>un</v>
          </cell>
          <cell r="E736">
            <v>60</v>
          </cell>
          <cell r="G736">
            <v>1850</v>
          </cell>
          <cell r="H736">
            <v>111000</v>
          </cell>
        </row>
        <row r="737">
          <cell r="B737">
            <v>11234</v>
          </cell>
          <cell r="C737" t="str">
            <v>Triturado 3/4"</v>
          </cell>
          <cell r="D737" t="str">
            <v>m3</v>
          </cell>
          <cell r="E737">
            <v>0.5</v>
          </cell>
          <cell r="G737">
            <v>110000</v>
          </cell>
          <cell r="H737">
            <v>55000</v>
          </cell>
        </row>
        <row r="738">
          <cell r="B738" t="str">
            <v>1N180</v>
          </cell>
          <cell r="C738" t="str">
            <v>Ensayo de permeablidad</v>
          </cell>
          <cell r="D738" t="str">
            <v>un</v>
          </cell>
          <cell r="E738">
            <v>1</v>
          </cell>
          <cell r="G738">
            <v>262000</v>
          </cell>
          <cell r="H738">
            <v>262000</v>
          </cell>
        </row>
        <row r="739">
          <cell r="B739" t="str">
            <v>III. TRANSPORTES</v>
          </cell>
          <cell r="H739">
            <v>31011.279299999998</v>
          </cell>
        </row>
        <row r="740">
          <cell r="B740" t="str">
            <v>6TB11</v>
          </cell>
          <cell r="C740" t="str">
            <v xml:space="preserve">Transporte de materiales varios </v>
          </cell>
          <cell r="D740" t="str">
            <v>T/km</v>
          </cell>
          <cell r="E740">
            <v>30</v>
          </cell>
          <cell r="F740">
            <v>1.5314212</v>
          </cell>
          <cell r="G740">
            <v>675</v>
          </cell>
          <cell r="H740">
            <v>31011.279299999998</v>
          </cell>
        </row>
        <row r="741">
          <cell r="B741" t="str">
            <v>IV. MANO DE OBRA</v>
          </cell>
          <cell r="H741">
            <v>60519</v>
          </cell>
        </row>
        <row r="742">
          <cell r="B742">
            <v>21111</v>
          </cell>
          <cell r="C742" t="str">
            <v>Mo Oficial</v>
          </cell>
          <cell r="D742" t="str">
            <v>jor</v>
          </cell>
          <cell r="E742">
            <v>0.3</v>
          </cell>
          <cell r="G742">
            <v>116960</v>
          </cell>
          <cell r="H742">
            <v>35088</v>
          </cell>
        </row>
        <row r="743">
          <cell r="B743">
            <v>21121</v>
          </cell>
          <cell r="C743" t="str">
            <v>Mo Ayudante Entendido</v>
          </cell>
          <cell r="D743" t="str">
            <v>jor</v>
          </cell>
          <cell r="E743">
            <v>0.3</v>
          </cell>
          <cell r="G743">
            <v>84770</v>
          </cell>
          <cell r="H743">
            <v>25431</v>
          </cell>
        </row>
      </sheetData>
      <sheetData sheetId="8"/>
      <sheetData sheetId="9"/>
      <sheetData sheetId="10">
        <row r="4">
          <cell r="B4" t="str">
            <v>COD</v>
          </cell>
        </row>
      </sheetData>
      <sheetData sheetId="11"/>
      <sheetData sheetId="12"/>
      <sheetData sheetId="13"/>
      <sheetData sheetId="14"/>
      <sheetData sheetId="15"/>
      <sheetData sheetId="16"/>
      <sheetData sheetId="17"/>
      <sheetData sheetId="18"/>
      <sheetData sheetId="19" refreshError="1"/>
      <sheetData sheetId="20"/>
      <sheetData sheetId="2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_LEGALIZACIÓN"/>
      <sheetName val="OBRA_PÓLIZAS"/>
      <sheetName val="MENU"/>
      <sheetName val="Polizas"/>
      <sheetName val="Items_def"/>
      <sheetName val="1-Resumen Ejecutivo"/>
      <sheetName val="2.1-Ppto Hab"/>
      <sheetName val="2.2-Ppto Coc"/>
      <sheetName val="2.3-Ppto Ban"/>
      <sheetName val="2.2-Presup x Benef"/>
      <sheetName val="3.1-Cantidades Hab"/>
      <sheetName val="3.2-Cantidades Coc"/>
      <sheetName val="3.3-Cantidades Ban"/>
      <sheetName val="5-Costos Administracion"/>
      <sheetName val="4-APU"/>
      <sheetName val="4.1-APU Aux"/>
      <sheetName val="4.2-Insumos"/>
      <sheetName val="4.3-Factor Prest"/>
      <sheetName val="6-Costos Ambientales"/>
      <sheetName val="7-Interventoria"/>
      <sheetName val="7.1-Base Calculo FM"/>
      <sheetName val="9-Cadena de Valor"/>
      <sheetName val="10-Propuesta de Giro SGR"/>
      <sheetName val="Salarios"/>
      <sheetName val="12-Flujo de inversion"/>
    </sheetNames>
    <sheetDataSet>
      <sheetData sheetId="0" refreshError="1"/>
      <sheetData sheetId="1"/>
      <sheetData sheetId="2" refreshError="1"/>
      <sheetData sheetId="3" refreshError="1"/>
      <sheetData sheetId="4">
        <row r="6">
          <cell r="B6" t="str">
            <v>Ítem</v>
          </cell>
        </row>
      </sheetData>
      <sheetData sheetId="5"/>
      <sheetData sheetId="6">
        <row r="6">
          <cell r="B6" t="str">
            <v>Ítem</v>
          </cell>
          <cell r="C6" t="str">
            <v>Descripción</v>
          </cell>
          <cell r="D6" t="str">
            <v>Unidad</v>
          </cell>
          <cell r="E6" t="str">
            <v>Cantidad</v>
          </cell>
          <cell r="F6" t="str">
            <v>Vr Unitario</v>
          </cell>
          <cell r="G6" t="str">
            <v>Vr. Total/U.V</v>
          </cell>
          <cell r="H6" t="str">
            <v>Vr. Total</v>
          </cell>
          <cell r="I6" t="str">
            <v>Vr Aproximado al peso</v>
          </cell>
        </row>
        <row r="7">
          <cell r="B7" t="str">
            <v>1.</v>
          </cell>
          <cell r="C7" t="str">
            <v>PRELIMINARES</v>
          </cell>
          <cell r="G7" t="str">
            <v/>
          </cell>
          <cell r="I7">
            <v>123212</v>
          </cell>
        </row>
        <row r="8">
          <cell r="B8" t="str">
            <v>1.1</v>
          </cell>
          <cell r="C8" t="str">
            <v>Localización, trazado y replanteo. Incluye demarcación, línea de trazado y todo lo necesario para su correcta ejecución.</v>
          </cell>
          <cell r="D8" t="str">
            <v>m2</v>
          </cell>
          <cell r="E8">
            <v>10.9</v>
          </cell>
          <cell r="F8">
            <v>2826</v>
          </cell>
          <cell r="G8">
            <v>30803</v>
          </cell>
          <cell r="H8">
            <v>123212</v>
          </cell>
        </row>
        <row r="9">
          <cell r="B9" t="str">
            <v>2.</v>
          </cell>
          <cell r="C9" t="str">
            <v>EXCAVACIONES</v>
          </cell>
          <cell r="G9" t="str">
            <v/>
          </cell>
          <cell r="I9">
            <v>709920</v>
          </cell>
        </row>
        <row r="10">
          <cell r="B10" t="str">
            <v>2.1</v>
          </cell>
          <cell r="C10" t="str">
            <v>Excavación manual de material heterogéneo DE 0-2m, bajo cualquier grado de humedad. Incluye: roca descompuesta, bolas de roca de volumen inferior a 0.35m³, el cargue, transporte interno y externo, su medida será en el sitio. No incluye entibado.</v>
          </cell>
          <cell r="D10" t="str">
            <v>m3</v>
          </cell>
          <cell r="E10">
            <v>1.79</v>
          </cell>
          <cell r="F10">
            <v>26437</v>
          </cell>
          <cell r="G10">
            <v>47322</v>
          </cell>
          <cell r="H10">
            <v>189288</v>
          </cell>
        </row>
        <row r="11">
          <cell r="B11" t="str">
            <v>2.2</v>
          </cell>
          <cell r="C11" t="str">
            <v>Botada de materiales resultantes de excavaciones, demoliciones, retiro y demas actividades que asi lo requieran, este será llevado en volqueta u otro medio de transporte al sitio destinado.</v>
          </cell>
          <cell r="D11" t="str">
            <v>m3</v>
          </cell>
          <cell r="E11">
            <v>2.33</v>
          </cell>
          <cell r="F11">
            <v>55862</v>
          </cell>
          <cell r="G11">
            <v>130158</v>
          </cell>
          <cell r="H11">
            <v>520632</v>
          </cell>
        </row>
        <row r="12">
          <cell r="B12" t="str">
            <v>3.</v>
          </cell>
          <cell r="C12" t="str">
            <v>ELEMENTOS ESTRUCTURALES</v>
          </cell>
          <cell r="I12">
            <v>9610208</v>
          </cell>
        </row>
        <row r="13">
          <cell r="B13" t="str">
            <v>3.1</v>
          </cell>
          <cell r="C13" t="str">
            <v>Vaciado de viga de fundación en concreto de 21MPa a nivel de cimentación, de sección 0.25x0.20m. Incluye formaleta, equipo y todo lo necesario para su correcta colocación y funcionamiento.</v>
          </cell>
          <cell r="D13" t="str">
            <v>m</v>
          </cell>
          <cell r="E13">
            <v>11.8</v>
          </cell>
          <cell r="F13">
            <v>49310</v>
          </cell>
          <cell r="G13">
            <v>581858</v>
          </cell>
          <cell r="H13">
            <v>2327432</v>
          </cell>
        </row>
        <row r="14">
          <cell r="B14" t="str">
            <v>3.2</v>
          </cell>
          <cell r="C14" t="str">
            <v>Vaciado de viga de amarre superior en concreto a la vista de 21MPa sobre mampostería de sección 0.10x0.20m. Incluye formaleta, equipo y todo lo necesario para su correcta colocación y funcionamiento.</v>
          </cell>
          <cell r="D14" t="str">
            <v>m</v>
          </cell>
          <cell r="E14">
            <v>12.4</v>
          </cell>
          <cell r="F14">
            <v>37577</v>
          </cell>
          <cell r="G14">
            <v>465955</v>
          </cell>
          <cell r="H14">
            <v>1863820</v>
          </cell>
        </row>
        <row r="15">
          <cell r="B15" t="str">
            <v>3.3</v>
          </cell>
          <cell r="C15" t="str">
            <v>Vaciado de viga cinta en concreto a la vista de 21MPa sobre mampostería de sección 0.10x0.10m. Incluye formaleta, equipo y todo lo necesario para su correcta colocación y funcionamiento.</v>
          </cell>
          <cell r="D15" t="str">
            <v>m</v>
          </cell>
          <cell r="E15">
            <v>9.56</v>
          </cell>
          <cell r="F15">
            <v>28188</v>
          </cell>
          <cell r="G15">
            <v>269477</v>
          </cell>
          <cell r="H15">
            <v>1077908</v>
          </cell>
        </row>
        <row r="16">
          <cell r="B16" t="str">
            <v>3.5</v>
          </cell>
          <cell r="C16" t="str">
            <v>Construcción de piso en concreto de 21 MPA, acabado escobillado, e=10 cm, reforzado con malla electrosoldada D188. Incluye el concreto, la malla, formaletería, material de recebo b-200 e=10 cm, polietileno y todo lo necesario para su correcta instalación.</v>
          </cell>
          <cell r="D16" t="str">
            <v>m2</v>
          </cell>
          <cell r="E16">
            <v>7.95</v>
          </cell>
          <cell r="F16">
            <v>136511</v>
          </cell>
          <cell r="G16">
            <v>1085262</v>
          </cell>
          <cell r="H16">
            <v>4341048</v>
          </cell>
        </row>
        <row r="17">
          <cell r="B17" t="str">
            <v>4.</v>
          </cell>
          <cell r="C17" t="str">
            <v>ACERO DE REFUERZO</v>
          </cell>
          <cell r="I17">
            <v>3673480</v>
          </cell>
        </row>
        <row r="18">
          <cell r="B18" t="str">
            <v>4.1</v>
          </cell>
          <cell r="C18" t="str">
            <v>Suministro e instalación de acero de refuerzo Fy= 420MPa, corrugado. Incluye transporte con descarga, transporte interno, figurado, alambre de amarre, certificados y todos los elementos necesarios para su correcta instalación, según diseño y recomendaciones estructurales.</v>
          </cell>
          <cell r="D18" t="str">
            <v>kg</v>
          </cell>
          <cell r="E18">
            <v>141.68</v>
          </cell>
          <cell r="F18">
            <v>6482</v>
          </cell>
          <cell r="G18">
            <v>918370</v>
          </cell>
          <cell r="H18">
            <v>3673480</v>
          </cell>
        </row>
        <row r="19">
          <cell r="B19" t="str">
            <v>5.</v>
          </cell>
          <cell r="C19" t="str">
            <v>MAMPOSTERIA Y ELEMENTOS NO ESTRUCTURALES</v>
          </cell>
          <cell r="G19" t="str">
            <v/>
          </cell>
          <cell r="I19">
            <v>9472824</v>
          </cell>
        </row>
        <row r="20">
          <cell r="B20" t="str">
            <v>5.1</v>
          </cell>
          <cell r="C20" t="str">
            <v>Suministro, transporte y colocación de concreto fluido para dovelas en mampostería estructural. Incluye grouting de 21 MPA, espaciadas de acuerdo a los diseños, o en su defecto cada 1.20 m y en las intersecciones de muros.</v>
          </cell>
          <cell r="D20" t="str">
            <v>m</v>
          </cell>
          <cell r="E20">
            <v>28.68</v>
          </cell>
          <cell r="F20">
            <v>23500</v>
          </cell>
          <cell r="G20">
            <v>673980</v>
          </cell>
          <cell r="H20">
            <v>2695920</v>
          </cell>
        </row>
        <row r="21">
          <cell r="B21" t="str">
            <v>5.2</v>
          </cell>
          <cell r="C21" t="str">
            <v>Construcción de mampostería en bloque de concreto, perforación vertical, de 10x20x40 cm, resistencia de 10 MPA. Incluye el suministro, transporte y colocación del bloque vertical, el mortero de pega 1:4, espesor max=0.01 m, encorazados y todos los elementos necesarios para su correcta instalación. Todos los cortes serán realizados a máquina.</v>
          </cell>
          <cell r="D21" t="str">
            <v>m2</v>
          </cell>
          <cell r="E21">
            <v>24.66</v>
          </cell>
          <cell r="F21">
            <v>66219</v>
          </cell>
          <cell r="G21">
            <v>1632961</v>
          </cell>
          <cell r="H21">
            <v>6531844</v>
          </cell>
        </row>
        <row r="22">
          <cell r="B22" t="str">
            <v>5.3</v>
          </cell>
          <cell r="C22" t="str">
            <v>Construcción de mampostería en bloque calado de 0,10x0,20x0,20m, según detalle, revitado a dos caras, sin rebabas. Incluye el suministro, transporte y colocación del ladrillo, el mortero de pega, angeo y todos los elementos necesarios para su correcta instalación.</v>
          </cell>
          <cell r="D22" t="str">
            <v>m2</v>
          </cell>
          <cell r="E22">
            <v>0.67</v>
          </cell>
          <cell r="F22">
            <v>91440</v>
          </cell>
          <cell r="G22">
            <v>61265</v>
          </cell>
          <cell r="H22">
            <v>245060</v>
          </cell>
        </row>
        <row r="23">
          <cell r="B23" t="str">
            <v>6.</v>
          </cell>
          <cell r="C23" t="str">
            <v>INSTALACIONES HIDRÁULICAS E HIDROSANITARIAS</v>
          </cell>
          <cell r="I23">
            <v>0</v>
          </cell>
        </row>
        <row r="24">
          <cell r="B24" t="str">
            <v>7.</v>
          </cell>
          <cell r="C24" t="str">
            <v>INSTALACIONES ELECTRICAS</v>
          </cell>
          <cell r="I24">
            <v>857836</v>
          </cell>
        </row>
        <row r="25">
          <cell r="B25" t="str">
            <v>7.1</v>
          </cell>
          <cell r="C25" t="str">
            <v>Suministro e instalación de toma corriente 125V doble con polo a tierra, 15A. de empotrar. Incluye caja, accesorios, fijaciones y todos los elementos para su correcta instalación. Los materiales deben cumplir con certificación RETIE.</v>
          </cell>
          <cell r="D25" t="str">
            <v>Un</v>
          </cell>
          <cell r="E25">
            <v>2</v>
          </cell>
          <cell r="F25">
            <v>9376</v>
          </cell>
          <cell r="G25">
            <v>18752</v>
          </cell>
          <cell r="H25">
            <v>75008</v>
          </cell>
        </row>
        <row r="26">
          <cell r="B26" t="str">
            <v>7.2</v>
          </cell>
          <cell r="C26" t="str">
            <v>Suministro e instalación de tomas GFCI, blanca, de empotrar. Incluye caja, accesorios, fijaciones y todos los elementos para su correcta instalación. Los materiales deben cumplir con certificación RETIE.</v>
          </cell>
          <cell r="D26" t="str">
            <v>Un</v>
          </cell>
          <cell r="F26">
            <v>38676</v>
          </cell>
          <cell r="G26">
            <v>0</v>
          </cell>
          <cell r="H26">
            <v>0</v>
          </cell>
        </row>
        <row r="27">
          <cell r="B27" t="str">
            <v>7.3</v>
          </cell>
          <cell r="C27" t="str">
            <v xml:space="preserve">Suministro e instalación de interruptor sencillo blanco, de empotrar. Incluye caja, accesorios, fijaciones y todos los elementos para su correcta instalación. Los materiales deben cumplir con certificación RETIE. </v>
          </cell>
          <cell r="D27" t="str">
            <v>Un</v>
          </cell>
          <cell r="E27">
            <v>1</v>
          </cell>
          <cell r="F27">
            <v>9275</v>
          </cell>
          <cell r="G27">
            <v>9275</v>
          </cell>
          <cell r="H27">
            <v>37100</v>
          </cell>
        </row>
        <row r="28">
          <cell r="B28" t="str">
            <v>7.4</v>
          </cell>
          <cell r="C28" t="str">
            <v xml:space="preserve">Suministro e instalación de plafones, salidas para iluminación. En baquelita, blanco, de sobreponer. Incluye caja, accesorios, fijaciones y todos los elementos para su correcta instalación. Los materiales deben cumplir con certificación RETIE. </v>
          </cell>
          <cell r="D28" t="str">
            <v>Un</v>
          </cell>
          <cell r="E28">
            <v>2</v>
          </cell>
          <cell r="F28">
            <v>7416</v>
          </cell>
          <cell r="G28">
            <v>14832</v>
          </cell>
          <cell r="H28">
            <v>59328</v>
          </cell>
        </row>
        <row r="29">
          <cell r="B29" t="str">
            <v>7.5</v>
          </cell>
          <cell r="C29" t="str">
            <v xml:space="preserve">Suministro e instalación de tubería PVC 1/2" tipo Conduit o similar. Incluye accesorios y todos los elementos para su correcta instalación. Los materiales deben cumplir con certificación RETIE. </v>
          </cell>
          <cell r="D29" t="str">
            <v>m</v>
          </cell>
          <cell r="E29">
            <v>10</v>
          </cell>
          <cell r="F29">
            <v>4512</v>
          </cell>
          <cell r="G29">
            <v>45120</v>
          </cell>
          <cell r="H29">
            <v>180480</v>
          </cell>
        </row>
        <row r="30">
          <cell r="B30" t="str">
            <v>7.6</v>
          </cell>
          <cell r="C30" t="str">
            <v>Suministro e instalación de cable de cobre 12AWU-Cu-THHN-THWN 90°C. Los materiales deben cumplir con Certificación RETIE.</v>
          </cell>
          <cell r="D30" t="str">
            <v>m</v>
          </cell>
          <cell r="E30">
            <v>30</v>
          </cell>
          <cell r="F30">
            <v>4216</v>
          </cell>
          <cell r="G30">
            <v>126480</v>
          </cell>
          <cell r="H30">
            <v>505920</v>
          </cell>
        </row>
        <row r="31">
          <cell r="B31" t="str">
            <v>8.</v>
          </cell>
          <cell r="C31" t="str">
            <v>CARPINTERIA METÁLICA</v>
          </cell>
          <cell r="I31">
            <v>3682160</v>
          </cell>
        </row>
        <row r="32">
          <cell r="B32" t="str">
            <v>8.1</v>
          </cell>
          <cell r="C32" t="str">
            <v>Suministro de puerta metálica calibre 20 de 0.80x2.10m. Incluye marco, pintura anticorrosiva color negro, chapa económica, bisagras y demás elementos para su correcto funcionamiento.</v>
          </cell>
          <cell r="D32" t="str">
            <v>Un</v>
          </cell>
          <cell r="E32">
            <v>1</v>
          </cell>
          <cell r="F32">
            <v>379104</v>
          </cell>
          <cell r="G32">
            <v>379104</v>
          </cell>
          <cell r="H32">
            <v>1516416</v>
          </cell>
        </row>
        <row r="33">
          <cell r="B33" t="str">
            <v>8.2</v>
          </cell>
          <cell r="C33" t="str">
            <v>Suministro de ventana marco y ala en aluminio, con una sola ala corrediza, tipo economica con sistema de montante 5020, de medidas 1.20x1.20 m.V-1 Incluye adecuación de vano (demolición), y demas elementos para su correcto funcionamiento.</v>
          </cell>
          <cell r="D33" t="str">
            <v>Un</v>
          </cell>
          <cell r="E33">
            <v>2</v>
          </cell>
          <cell r="F33">
            <v>270718</v>
          </cell>
          <cell r="G33">
            <v>541436</v>
          </cell>
          <cell r="H33">
            <v>2165744</v>
          </cell>
        </row>
        <row r="34">
          <cell r="B34" t="str">
            <v>9.</v>
          </cell>
          <cell r="C34" t="str">
            <v>ENCHAPES Y ACABADOS</v>
          </cell>
          <cell r="I34">
            <v>5737456</v>
          </cell>
        </row>
        <row r="35">
          <cell r="B35" t="str">
            <v>9.3</v>
          </cell>
          <cell r="C35" t="str">
            <v xml:space="preserve">Suministro e instalación de enchape cerámico antideslizante color beige para piso en cocina . Formato a definir con la Interventoría. Incluye lechada, pega y todo lo necesario para su correcta instalación. </v>
          </cell>
          <cell r="D35" t="str">
            <v>m2</v>
          </cell>
          <cell r="E35">
            <v>9</v>
          </cell>
          <cell r="F35">
            <v>50884</v>
          </cell>
          <cell r="G35">
            <v>457956</v>
          </cell>
          <cell r="H35">
            <v>1831824</v>
          </cell>
        </row>
        <row r="36">
          <cell r="B36" t="str">
            <v>9.4</v>
          </cell>
          <cell r="C36" t="str">
            <v>Aplicación de pintura vinílica para zonas húmedas, dos manos. Incluye suministro y transporte de los materiales, resanes, adecuación de la superficie y todo lo necesario para su correcta aplicación, en baños color blanco y en cocina color gris basalto.</v>
          </cell>
          <cell r="D36" t="str">
            <v>m2</v>
          </cell>
          <cell r="E36">
            <v>23.9</v>
          </cell>
          <cell r="F36">
            <v>18744</v>
          </cell>
          <cell r="G36">
            <v>447982</v>
          </cell>
          <cell r="H36">
            <v>1791928</v>
          </cell>
        </row>
        <row r="37">
          <cell r="B37" t="str">
            <v>9.5</v>
          </cell>
          <cell r="C37" t="str">
            <v>Aplicación de pintura acrílica sobre mampostería en fachada a la altura del zócalo a 0.85m, dos manos, color a definir. Incluye adecuación de la superficie antes de aplicación, limpieza de superficie, resanes de perforaciones menores, aplicación final y todo lo necesario para su correcto acabado.</v>
          </cell>
          <cell r="D37" t="str">
            <v>m2</v>
          </cell>
          <cell r="E37">
            <v>24.87</v>
          </cell>
          <cell r="F37">
            <v>18103</v>
          </cell>
          <cell r="G37">
            <v>450222</v>
          </cell>
          <cell r="H37">
            <v>1800888</v>
          </cell>
        </row>
        <row r="38">
          <cell r="B38" t="str">
            <v>9.6</v>
          </cell>
          <cell r="C38" t="str">
            <v>Aplicación de pintura tipo esmalte sobre puerta metálica, color BLANCO. Incluye anticorrosivo, pintura del marco y del ala, limpieza, ajuste y todo lo necesario para su correcto acabado.</v>
          </cell>
          <cell r="D38" t="str">
            <v>m2</v>
          </cell>
          <cell r="E38">
            <v>3.36</v>
          </cell>
          <cell r="F38">
            <v>23275</v>
          </cell>
          <cell r="G38">
            <v>78204</v>
          </cell>
          <cell r="H38">
            <v>312816</v>
          </cell>
        </row>
        <row r="39">
          <cell r="B39" t="str">
            <v>10.</v>
          </cell>
          <cell r="C39" t="str">
            <v>APARATOS, ACCESORIOS Y MUEBLES ESPECIALES</v>
          </cell>
          <cell r="I39">
            <v>0</v>
          </cell>
        </row>
        <row r="40">
          <cell r="B40" t="str">
            <v>11.</v>
          </cell>
          <cell r="C40" t="str">
            <v>CUBIERTA</v>
          </cell>
          <cell r="I40">
            <v>8100868</v>
          </cell>
        </row>
        <row r="41">
          <cell r="B41" t="str">
            <v>11.1</v>
          </cell>
          <cell r="C41" t="str">
            <v>Suministro, transporte e instalación de cubierta en teja termoacústica UPVC 2.0 mm tipo ECOROOF o similar. Incluye sistemas fijación a elementos estructurales. La medida será tomada en pendiente de cubierta. Color VERDE.</v>
          </cell>
          <cell r="D41" t="str">
            <v>m2</v>
          </cell>
          <cell r="E41">
            <v>16.399999999999999</v>
          </cell>
          <cell r="F41">
            <v>67585</v>
          </cell>
          <cell r="G41">
            <v>1108394</v>
          </cell>
          <cell r="H41">
            <v>4433576</v>
          </cell>
        </row>
        <row r="42">
          <cell r="B42" t="str">
            <v>11.2</v>
          </cell>
          <cell r="C42" t="str">
            <v>Suministro, transporte e instalación de correa en madera pino pátula inmunizada (ES6) de sección 3"x4". Incluye anclajes y todo lo necesario para su correcto funcionamiento.</v>
          </cell>
          <cell r="D42" t="str">
            <v>m</v>
          </cell>
          <cell r="E42">
            <v>12</v>
          </cell>
          <cell r="F42">
            <v>26291</v>
          </cell>
          <cell r="G42">
            <v>315492</v>
          </cell>
          <cell r="H42">
            <v>1261968</v>
          </cell>
        </row>
        <row r="43">
          <cell r="B43" t="str">
            <v>11.3</v>
          </cell>
          <cell r="C43" t="str">
            <v>Suministro, transporte e instalación de correa en madera pino pátula inmunizada (ES6) de sección 3"x2". Incluye anclajes y todo lo necesario para su correcto funcionamiento.</v>
          </cell>
          <cell r="D43" t="str">
            <v>m</v>
          </cell>
          <cell r="E43">
            <v>16.399999999999999</v>
          </cell>
          <cell r="F43">
            <v>22058</v>
          </cell>
          <cell r="G43">
            <v>361751</v>
          </cell>
          <cell r="H43">
            <v>1447004</v>
          </cell>
        </row>
        <row r="44">
          <cell r="B44" t="str">
            <v>11.5</v>
          </cell>
          <cell r="C44"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44" t="str">
            <v>m</v>
          </cell>
          <cell r="E44">
            <v>4.0999999999999996</v>
          </cell>
          <cell r="F44">
            <v>46100</v>
          </cell>
          <cell r="G44">
            <v>189010</v>
          </cell>
          <cell r="H44">
            <v>756040</v>
          </cell>
        </row>
        <row r="45">
          <cell r="B45" t="str">
            <v>11.6</v>
          </cell>
          <cell r="C45" t="str">
            <v>Suministro, transporte e instalación de bajante de aguas lluvias PVC-ALL 2". Incluye todo lo requerido para su correcta instalación como codos, soportes y demás elementos necesarios.</v>
          </cell>
          <cell r="D45" t="str">
            <v>m</v>
          </cell>
          <cell r="E45">
            <v>2.5</v>
          </cell>
          <cell r="F45">
            <v>20228</v>
          </cell>
          <cell r="G45">
            <v>50570</v>
          </cell>
          <cell r="H45">
            <v>202280</v>
          </cell>
        </row>
        <row r="46">
          <cell r="B46" t="str">
            <v>12.</v>
          </cell>
          <cell r="C46" t="str">
            <v>SISTEMA SÉPTICO</v>
          </cell>
          <cell r="I46">
            <v>0</v>
          </cell>
        </row>
        <row r="47">
          <cell r="C47" t="str">
            <v>TOTAL COSTO DIRECTO</v>
          </cell>
          <cell r="G47">
            <v>10491991</v>
          </cell>
          <cell r="H47">
            <v>41967964</v>
          </cell>
          <cell r="I47">
            <v>41967964</v>
          </cell>
        </row>
      </sheetData>
      <sheetData sheetId="7">
        <row r="6">
          <cell r="B6" t="str">
            <v>Ítem</v>
          </cell>
          <cell r="C6" t="str">
            <v>Descripción</v>
          </cell>
          <cell r="D6" t="str">
            <v>Unidad</v>
          </cell>
          <cell r="E6" t="str">
            <v>Cantidad</v>
          </cell>
          <cell r="F6" t="str">
            <v>Vr Unitario</v>
          </cell>
          <cell r="G6" t="str">
            <v>Vr. Total/U.V</v>
          </cell>
          <cell r="H6" t="str">
            <v>Vr. Total</v>
          </cell>
          <cell r="I6" t="str">
            <v>Vr Aproximado al peso</v>
          </cell>
        </row>
        <row r="7">
          <cell r="B7" t="str">
            <v>1.</v>
          </cell>
          <cell r="C7" t="str">
            <v>PRELIMINARES</v>
          </cell>
          <cell r="G7" t="str">
            <v/>
          </cell>
          <cell r="I7">
            <v>54429</v>
          </cell>
        </row>
        <row r="8">
          <cell r="B8" t="str">
            <v>1.1</v>
          </cell>
          <cell r="C8" t="str">
            <v>Localización, trazado y replanteo. Incluye demarcación, línea de trazado y todo lo necesario para su correcta ejecución.</v>
          </cell>
          <cell r="D8" t="str">
            <v>m2</v>
          </cell>
          <cell r="E8">
            <v>6.42</v>
          </cell>
          <cell r="F8">
            <v>2826</v>
          </cell>
          <cell r="G8">
            <v>18143</v>
          </cell>
          <cell r="H8">
            <v>54429</v>
          </cell>
        </row>
        <row r="9">
          <cell r="B9" t="str">
            <v>2.</v>
          </cell>
          <cell r="C9" t="str">
            <v>EXCAVACIONES</v>
          </cell>
          <cell r="G9" t="str">
            <v/>
          </cell>
          <cell r="I9">
            <v>599988</v>
          </cell>
        </row>
        <row r="10">
          <cell r="B10" t="str">
            <v>2.1</v>
          </cell>
          <cell r="C10" t="str">
            <v>Excavación manual de material heterogéneo DE 0-2m, bajo cualquier grado de humedad. Incluye: roca descompuesta, bolas de roca de volumen inferior a 0.35m³, el cargue, transporte interno y externo, su medida será en el sitio. No incluye entibado.</v>
          </cell>
          <cell r="D10" t="str">
            <v>m3</v>
          </cell>
          <cell r="E10">
            <v>2.0499999999999998</v>
          </cell>
          <cell r="F10">
            <v>26437</v>
          </cell>
          <cell r="G10">
            <v>54196</v>
          </cell>
          <cell r="H10">
            <v>162588</v>
          </cell>
        </row>
        <row r="11">
          <cell r="B11" t="str">
            <v>2.2</v>
          </cell>
          <cell r="C11" t="str">
            <v>Botada de materiales resultantes de excavaciones, demoliciones, retiro y demas actividades que asi lo requieran, este será llevado en volqueta u otro medio de transporte al sitio destinado.</v>
          </cell>
          <cell r="D11" t="str">
            <v>m3</v>
          </cell>
          <cell r="E11">
            <v>2.61</v>
          </cell>
          <cell r="F11">
            <v>55862</v>
          </cell>
          <cell r="G11">
            <v>145800</v>
          </cell>
          <cell r="H11">
            <v>437400</v>
          </cell>
        </row>
        <row r="12">
          <cell r="B12" t="str">
            <v>3.</v>
          </cell>
          <cell r="C12" t="str">
            <v>ELEMENTOS ESTRUCTURALES</v>
          </cell>
          <cell r="I12">
            <v>4663506</v>
          </cell>
        </row>
        <row r="13">
          <cell r="B13" t="str">
            <v>3.1</v>
          </cell>
          <cell r="C13" t="str">
            <v>Vaciado de viga de fundación en concreto de 21MPa a nivel de cimentación, de sección 0.25x0.20m. Incluye formaleta, equipo y todo lo necesario para su correcta colocación y funcionamiento.</v>
          </cell>
          <cell r="D13" t="str">
            <v>m</v>
          </cell>
          <cell r="E13">
            <v>8.6</v>
          </cell>
          <cell r="F13">
            <v>49310</v>
          </cell>
          <cell r="G13">
            <v>424066</v>
          </cell>
          <cell r="H13">
            <v>1272198</v>
          </cell>
        </row>
        <row r="14">
          <cell r="B14" t="str">
            <v>3.2</v>
          </cell>
          <cell r="C14" t="str">
            <v>Vaciado de viga de amarre superior en concreto a la vista de 21MPa sobre mampostería de sección 0.10x0.20m. Incluye formaleta, equipo y todo lo necesario para su correcta colocación y funcionamiento.</v>
          </cell>
          <cell r="D14" t="str">
            <v>m</v>
          </cell>
          <cell r="E14">
            <v>9.1999999999999993</v>
          </cell>
          <cell r="F14">
            <v>37577</v>
          </cell>
          <cell r="G14">
            <v>345708</v>
          </cell>
          <cell r="H14">
            <v>1037124</v>
          </cell>
        </row>
        <row r="15">
          <cell r="B15" t="str">
            <v>3.3</v>
          </cell>
          <cell r="C15" t="str">
            <v>Vaciado de viga cinta en concreto a la vista de 21MPa sobre mampostería de sección 0.10x0.10m. Incluye formaleta, equipo y todo lo necesario para su correcta colocación y funcionamiento.</v>
          </cell>
          <cell r="D15" t="str">
            <v>m</v>
          </cell>
          <cell r="E15">
            <v>7.16</v>
          </cell>
          <cell r="F15">
            <v>28188</v>
          </cell>
          <cell r="G15">
            <v>201826</v>
          </cell>
          <cell r="H15">
            <v>605478</v>
          </cell>
        </row>
        <row r="16">
          <cell r="B16" t="str">
            <v>3.5</v>
          </cell>
          <cell r="C16" t="str">
            <v>Construcción de piso en concreto de 21 MPA, acabado escobillado, e=10 cm, reforzado con malla electrosoldada D188. Incluye el concreto, la malla, formaletería, material de recebo b-200 e=10 cm, polietileno y todo lo necesario para su correcta instalación.</v>
          </cell>
          <cell r="D16" t="str">
            <v>m2</v>
          </cell>
          <cell r="E16">
            <v>4.2699999999999996</v>
          </cell>
          <cell r="F16">
            <v>136511</v>
          </cell>
          <cell r="G16">
            <v>582902</v>
          </cell>
          <cell r="H16">
            <v>1748706</v>
          </cell>
        </row>
        <row r="17">
          <cell r="B17" t="str">
            <v>4.</v>
          </cell>
          <cell r="C17" t="str">
            <v>ACERO DE REFUERZO</v>
          </cell>
          <cell r="I17">
            <v>2098419</v>
          </cell>
        </row>
        <row r="18">
          <cell r="B18" t="str">
            <v>4.1</v>
          </cell>
          <cell r="C18" t="str">
            <v>Suministro e instalación de acero de refuerzo Fy= 420MPa, corrugado. Incluye transporte con descarga, transporte interno, figurado, alambre de amarre, certificados y todos los elementos necesarios para su correcta instalación, según diseño y recomendaciones estructurales.</v>
          </cell>
          <cell r="D18" t="str">
            <v>kg</v>
          </cell>
          <cell r="E18">
            <v>107.91</v>
          </cell>
          <cell r="F18">
            <v>6482</v>
          </cell>
          <cell r="G18">
            <v>699473</v>
          </cell>
          <cell r="H18">
            <v>2098419</v>
          </cell>
        </row>
        <row r="19">
          <cell r="B19" t="str">
            <v>5.</v>
          </cell>
          <cell r="C19" t="str">
            <v>MAMPOSTERIA Y ELEMENTOS NO ESTRUCTURALES</v>
          </cell>
          <cell r="G19" t="str">
            <v/>
          </cell>
          <cell r="I19">
            <v>5302290</v>
          </cell>
        </row>
        <row r="20">
          <cell r="B20" t="str">
            <v>5.1</v>
          </cell>
          <cell r="C20" t="str">
            <v>Suministro, transporte y colocación de concreto fluido para dovelas en mampostería estructural. Incluye grouting de 21 MPA, espaciadas de acuerdo a los diseños, o en su defecto cada 1.20 m y en las intersecciones de muros.</v>
          </cell>
          <cell r="D20" t="str">
            <v>m</v>
          </cell>
          <cell r="E20">
            <v>22.91</v>
          </cell>
          <cell r="F20">
            <v>23500</v>
          </cell>
          <cell r="G20">
            <v>538385</v>
          </cell>
          <cell r="H20">
            <v>1615155</v>
          </cell>
        </row>
        <row r="21">
          <cell r="B21" t="str">
            <v>5.2</v>
          </cell>
          <cell r="C21" t="str">
            <v>Construcción de mampostería en bloque de concreto, perforación vertical, de 10x20x40 cm, resistencia de 10 MPA. Incluye el suministro, transporte y colocación del bloque vertical, el mortero de pega 1:4, espesor max=0.01 m, encorazados y todos los elementos necesarios para su correcta instalación. Todos los cortes serán realizados a máquina.</v>
          </cell>
          <cell r="D21" t="str">
            <v>m2</v>
          </cell>
          <cell r="E21">
            <v>17.41</v>
          </cell>
          <cell r="F21">
            <v>66219</v>
          </cell>
          <cell r="G21">
            <v>1152873</v>
          </cell>
          <cell r="H21">
            <v>3458619</v>
          </cell>
        </row>
        <row r="22">
          <cell r="B22" t="str">
            <v>5.3</v>
          </cell>
          <cell r="C22" t="str">
            <v>Construcción de mampostería en bloque calado de 0,10x0,20x0,20m, según detalle, revitado a dos caras, sin rebabas. Incluye el suministro, transporte y colocación del ladrillo, el mortero de pega, angeo y todos los elementos necesarios para su correcta instalación.</v>
          </cell>
          <cell r="D22" t="str">
            <v>m2</v>
          </cell>
          <cell r="E22">
            <v>0.67</v>
          </cell>
          <cell r="F22">
            <v>91440</v>
          </cell>
          <cell r="G22">
            <v>61265</v>
          </cell>
          <cell r="H22">
            <v>183795</v>
          </cell>
        </row>
        <row r="23">
          <cell r="B23" t="str">
            <v>5.4</v>
          </cell>
          <cell r="C23" t="str">
            <v>Suministro e instalación de revoque en un espesor mínimo de 0,02m. y pulido con llana de madera, relación 1:4; incluye fajas, ranuras, filetes y todos los materiales necesarios para su correcta ejecución.</v>
          </cell>
          <cell r="D23" t="str">
            <v>m2</v>
          </cell>
          <cell r="E23">
            <v>0.76</v>
          </cell>
          <cell r="F23">
            <v>19614</v>
          </cell>
          <cell r="G23">
            <v>14907</v>
          </cell>
          <cell r="H23">
            <v>44721</v>
          </cell>
        </row>
        <row r="24">
          <cell r="B24" t="str">
            <v>6.</v>
          </cell>
          <cell r="C24" t="str">
            <v>INSTALACIONES HIDRÁULICAS E HIDROSANITARIAS</v>
          </cell>
          <cell r="I24">
            <v>2618496</v>
          </cell>
        </row>
        <row r="25">
          <cell r="B25" t="str">
            <v>6.1</v>
          </cell>
          <cell r="C25" t="str">
            <v>Punto hidráulico en PVC-P 1/2" RDE-13.5, incluye tubería presión, accesorios, limpiador, soldadura y todos los elementos necesarios para su correcta instalación.</v>
          </cell>
          <cell r="D25" t="str">
            <v>Un</v>
          </cell>
          <cell r="E25">
            <v>1</v>
          </cell>
          <cell r="F25">
            <v>18597</v>
          </cell>
          <cell r="G25">
            <v>18597</v>
          </cell>
          <cell r="H25">
            <v>55791</v>
          </cell>
        </row>
        <row r="26">
          <cell r="B26" t="str">
            <v>6.2</v>
          </cell>
          <cell r="C26" t="str">
            <v>Suministro, transporte e instalación de tubería PVC-P x 1/2" RDE-13.5, incluye tubería presión, accesorios , limpiador, soldadura y todos los elementos necesarios para su correcta instalación.</v>
          </cell>
          <cell r="D26" t="str">
            <v>m</v>
          </cell>
          <cell r="E26">
            <v>8.1</v>
          </cell>
          <cell r="F26">
            <v>11482</v>
          </cell>
          <cell r="G26">
            <v>93004</v>
          </cell>
          <cell r="H26">
            <v>279012</v>
          </cell>
        </row>
        <row r="27">
          <cell r="B27" t="str">
            <v>6.4</v>
          </cell>
          <cell r="C27" t="str">
            <v>Salidas sanitarias de 2" incluye materiales, accesorios y todos los elementos necesarios para su correcta instalación y funcionamiento</v>
          </cell>
          <cell r="D27" t="str">
            <v>Un</v>
          </cell>
          <cell r="E27">
            <v>2</v>
          </cell>
          <cell r="F27">
            <v>27473</v>
          </cell>
          <cell r="G27">
            <v>54946</v>
          </cell>
          <cell r="H27">
            <v>164838</v>
          </cell>
        </row>
        <row r="28">
          <cell r="B28" t="str">
            <v>6.6</v>
          </cell>
          <cell r="C28" t="str">
            <v>Red sanitaria de piso para en tubería PVC-S 2", incluye accesorios y todo lo necesario para su correcta instalación.</v>
          </cell>
          <cell r="D28" t="str">
            <v>m</v>
          </cell>
          <cell r="E28">
            <v>13.05</v>
          </cell>
          <cell r="F28">
            <v>24199</v>
          </cell>
          <cell r="G28">
            <v>315797</v>
          </cell>
          <cell r="H28">
            <v>947391</v>
          </cell>
        </row>
        <row r="29">
          <cell r="B29" t="str">
            <v>6.8</v>
          </cell>
          <cell r="C29" t="str">
            <v>Construcción de caja de empalme, dimensiones de 0,5 m x 0,5 m, con altura de 0,7 m-espesor de paredes 0,1 m. Incluye: herraje para tapa, cañuela y todos los materiales indicados en el plano, mano de obra, herramientas, formaleta, equipo, concreto de 21 Mpa, todos los demás elementos necesarios para el normal desarrollo de la actividad.</v>
          </cell>
          <cell r="D29" t="str">
            <v>un</v>
          </cell>
          <cell r="E29">
            <v>1</v>
          </cell>
          <cell r="F29">
            <v>390488</v>
          </cell>
          <cell r="G29">
            <v>390488</v>
          </cell>
          <cell r="H29">
            <v>1171464</v>
          </cell>
        </row>
        <row r="30">
          <cell r="B30" t="str">
            <v>7.</v>
          </cell>
          <cell r="C30" t="str">
            <v>INSTALACIONES ELECTRICAS</v>
          </cell>
          <cell r="I30">
            <v>503109</v>
          </cell>
        </row>
        <row r="31">
          <cell r="B31" t="str">
            <v>7.1</v>
          </cell>
          <cell r="C31" t="str">
            <v>Suministro e instalación de toma corriente 125V doble con polo a tierra, 15A. de empotrar. Incluye caja, accesorios, fijaciones y todos los elementos para su correcta instalación. Los materiales deben cumplir con certificación RETIE.</v>
          </cell>
          <cell r="D31" t="str">
            <v>Un</v>
          </cell>
          <cell r="E31">
            <v>1</v>
          </cell>
          <cell r="F31">
            <v>9376</v>
          </cell>
          <cell r="G31">
            <v>9376</v>
          </cell>
          <cell r="H31">
            <v>28128</v>
          </cell>
        </row>
        <row r="32">
          <cell r="B32" t="str">
            <v>7.2</v>
          </cell>
          <cell r="C32" t="str">
            <v>Suministro e instalación de tomas GFCI, blanca, de empotrar. Incluye caja, accesorios, fijaciones y todos los elementos para su correcta instalación. Los materiales deben cumplir con certificación RETIE.</v>
          </cell>
          <cell r="D32" t="str">
            <v>Un</v>
          </cell>
          <cell r="E32">
            <v>1</v>
          </cell>
          <cell r="F32">
            <v>38676</v>
          </cell>
          <cell r="G32">
            <v>38676</v>
          </cell>
          <cell r="H32">
            <v>116028</v>
          </cell>
        </row>
        <row r="33">
          <cell r="B33" t="str">
            <v>7.3</v>
          </cell>
          <cell r="C33" t="str">
            <v xml:space="preserve">Suministro e instalación de interruptor sencillo blanco, de empotrar. Incluye caja, accesorios, fijaciones y todos los elementos para su correcta instalación. Los materiales deben cumplir con certificación RETIE. </v>
          </cell>
          <cell r="D33" t="str">
            <v>Un</v>
          </cell>
          <cell r="E33">
            <v>1</v>
          </cell>
          <cell r="F33">
            <v>9275</v>
          </cell>
          <cell r="G33">
            <v>9275</v>
          </cell>
          <cell r="H33">
            <v>27825</v>
          </cell>
        </row>
        <row r="34">
          <cell r="B34" t="str">
            <v>7.4</v>
          </cell>
          <cell r="C34" t="str">
            <v xml:space="preserve">Suministro e instalación de plafones, salidas para iluminación. En baquelita, blanco, de sobreponer. Incluye caja, accesorios, fijaciones y todos los elementos para su correcta instalación. Los materiales deben cumplir con certificación RETIE. </v>
          </cell>
          <cell r="D34" t="str">
            <v>Un</v>
          </cell>
          <cell r="E34">
            <v>1</v>
          </cell>
          <cell r="F34">
            <v>7416</v>
          </cell>
          <cell r="G34">
            <v>7416</v>
          </cell>
          <cell r="H34">
            <v>22248</v>
          </cell>
        </row>
        <row r="35">
          <cell r="B35" t="str">
            <v>7.5</v>
          </cell>
          <cell r="C35" t="str">
            <v xml:space="preserve">Suministro e instalación de tubería PVC 1/2" tipo Conduit o similar. Incluye accesorios y todos los elementos para su correcta instalación. Los materiales deben cumplir con certificación RETIE. </v>
          </cell>
          <cell r="D35" t="str">
            <v>m</v>
          </cell>
          <cell r="E35">
            <v>6</v>
          </cell>
          <cell r="F35">
            <v>4512</v>
          </cell>
          <cell r="G35">
            <v>27072</v>
          </cell>
          <cell r="H35">
            <v>81216</v>
          </cell>
        </row>
        <row r="36">
          <cell r="B36" t="str">
            <v>7.6</v>
          </cell>
          <cell r="C36" t="str">
            <v>Suministro e instalación de cable de cobre 12AWU-Cu-THHN-THWN 90°C. Los materiales deben cumplir con Certificación RETIE.</v>
          </cell>
          <cell r="D36" t="str">
            <v>m</v>
          </cell>
          <cell r="E36">
            <v>18</v>
          </cell>
          <cell r="F36">
            <v>4216</v>
          </cell>
          <cell r="G36">
            <v>75888</v>
          </cell>
          <cell r="H36">
            <v>227664</v>
          </cell>
        </row>
        <row r="37">
          <cell r="B37" t="str">
            <v>8.</v>
          </cell>
          <cell r="C37" t="str">
            <v>CARPINTERIA METÁLICA</v>
          </cell>
          <cell r="I37">
            <v>1949466</v>
          </cell>
        </row>
        <row r="38">
          <cell r="B38" t="str">
            <v>8.1</v>
          </cell>
          <cell r="C38" t="str">
            <v>Suministro de puerta metálica calibre 20 de 0.80x2.10m. Incluye marco, pintura anticorrosiva color negro, chapa económica, bisagras y demás elementos para su correcto funcionamiento.</v>
          </cell>
          <cell r="D38" t="str">
            <v>Un</v>
          </cell>
          <cell r="E38">
            <v>1</v>
          </cell>
          <cell r="F38">
            <v>379104</v>
          </cell>
          <cell r="G38">
            <v>379104</v>
          </cell>
          <cell r="H38">
            <v>1137312</v>
          </cell>
        </row>
        <row r="39">
          <cell r="B39" t="str">
            <v>8.2</v>
          </cell>
          <cell r="C39" t="str">
            <v>Suministro de ventana marco y ala en aluminio, con una sola ala corrediza, tipo economica con sistema de montante 5020, de medidas 1.20x1.20 m.V-1 Incluye adecuación de vano (demolición), y demas elementos para su correcto funcionamiento.</v>
          </cell>
          <cell r="D39" t="str">
            <v>Un</v>
          </cell>
          <cell r="E39">
            <v>1</v>
          </cell>
          <cell r="F39">
            <v>270718</v>
          </cell>
          <cell r="G39">
            <v>270718</v>
          </cell>
          <cell r="H39">
            <v>812154</v>
          </cell>
        </row>
        <row r="40">
          <cell r="B40" t="str">
            <v>9.</v>
          </cell>
          <cell r="C40" t="str">
            <v>ENCHAPES Y ACABADOS</v>
          </cell>
          <cell r="I40">
            <v>3010089</v>
          </cell>
        </row>
        <row r="41">
          <cell r="B41" t="str">
            <v>9.2</v>
          </cell>
          <cell r="C41" t="str">
            <v>Enchape cerámico para pared en el área de zona de ropas, cocina y baño según planos arquitectónicos, color blanco. Formato a definir con la Interventoría Incluye material de pega, lechada, limpieza y todo lo necesario para su correcta instalación.</v>
          </cell>
          <cell r="D41" t="str">
            <v>m2</v>
          </cell>
          <cell r="E41">
            <v>0.76</v>
          </cell>
          <cell r="F41">
            <v>44794</v>
          </cell>
          <cell r="G41">
            <v>34043</v>
          </cell>
          <cell r="H41">
            <v>102129</v>
          </cell>
        </row>
        <row r="42">
          <cell r="B42" t="str">
            <v>9.3</v>
          </cell>
          <cell r="C42" t="str">
            <v xml:space="preserve">Suministro e instalación de enchape cerámico antideslizante color beige para piso en cocina . Formato a definir con la Interventoría. Incluye lechada, pega y todo lo necesario para su correcta instalación. </v>
          </cell>
          <cell r="D42" t="str">
            <v>m2</v>
          </cell>
          <cell r="E42">
            <v>4.84</v>
          </cell>
          <cell r="F42">
            <v>50884</v>
          </cell>
          <cell r="G42">
            <v>246279</v>
          </cell>
          <cell r="H42">
            <v>738837</v>
          </cell>
        </row>
        <row r="43">
          <cell r="B43" t="str">
            <v>9.4</v>
          </cell>
          <cell r="C43" t="str">
            <v>Aplicación de pintura vinílica para zonas húmedas, dos manos. Incluye suministro y transporte de los materiales, resanes, adecuación de la superficie y todo lo necesario para su correcta aplicación, en baños color blanco y en cocina color gris basalto.</v>
          </cell>
          <cell r="D43" t="str">
            <v>m2</v>
          </cell>
          <cell r="E43">
            <v>16.11</v>
          </cell>
          <cell r="F43">
            <v>18744</v>
          </cell>
          <cell r="G43">
            <v>301966</v>
          </cell>
          <cell r="H43">
            <v>905898</v>
          </cell>
        </row>
        <row r="44">
          <cell r="B44" t="str">
            <v>9.5</v>
          </cell>
          <cell r="C44" t="str">
            <v>Aplicación de pintura acrílica sobre mampostería en fachada a la altura del zócalo a 0.85m, dos manos, color a definir. Incluye adecuación de la superficie antes de aplicación, limpieza de superficie, resanes de perforaciones menores, aplicación final y todo lo necesario para su correcto acabado.</v>
          </cell>
          <cell r="D44" t="str">
            <v>m2</v>
          </cell>
          <cell r="E44">
            <v>18.940000000000001</v>
          </cell>
          <cell r="F44">
            <v>18103</v>
          </cell>
          <cell r="G44">
            <v>342871</v>
          </cell>
          <cell r="H44">
            <v>1028613</v>
          </cell>
        </row>
        <row r="45">
          <cell r="B45" t="str">
            <v>9.6</v>
          </cell>
          <cell r="C45" t="str">
            <v>Aplicación de pintura tipo esmalte sobre puerta metálica, color BLANCO. Incluye anticorrosivo, pintura del marco y del ala, limpieza, ajuste y todo lo necesario para su correcto acabado.</v>
          </cell>
          <cell r="D45" t="str">
            <v>m2</v>
          </cell>
          <cell r="E45">
            <v>3.36</v>
          </cell>
          <cell r="F45">
            <v>23275</v>
          </cell>
          <cell r="G45">
            <v>78204</v>
          </cell>
          <cell r="H45">
            <v>234612</v>
          </cell>
        </row>
        <row r="46">
          <cell r="B46" t="str">
            <v>10.</v>
          </cell>
          <cell r="C46" t="str">
            <v>APARATOS, ACCESORIOS Y MUEBLES ESPECIALES</v>
          </cell>
          <cell r="I46">
            <v>1481946</v>
          </cell>
        </row>
        <row r="47">
          <cell r="B47" t="str">
            <v>10.3</v>
          </cell>
          <cell r="C47" t="str">
            <v>Suministro de mesón de cocina en acero inoxidable de medidas 1.20 x 0.55 m. Incluye pozuelo, soporte de mesón en machones de bloque de cemento 10x20x40 cm con pega de mortero 1:4 de espesor máximo 1.5 cm con una altura de 85 cm, incluye pintura vinilica dos manos.</v>
          </cell>
          <cell r="D47" t="str">
            <v>Un</v>
          </cell>
          <cell r="E47">
            <v>1</v>
          </cell>
          <cell r="F47">
            <v>432739</v>
          </cell>
          <cell r="G47">
            <v>432739</v>
          </cell>
          <cell r="H47">
            <v>1298217</v>
          </cell>
        </row>
        <row r="48">
          <cell r="B48" t="str">
            <v>10.4</v>
          </cell>
          <cell r="C48" t="str">
            <v>Griferia sencilla para lavaplatos. Comprende el suministro e instalacion de griferia sencilla tipo cuello de ganso (monocontrol) referencia piscis o equivalente.</v>
          </cell>
          <cell r="D48" t="str">
            <v>Un</v>
          </cell>
          <cell r="E48">
            <v>1</v>
          </cell>
          <cell r="F48">
            <v>52411</v>
          </cell>
          <cell r="G48">
            <v>52411</v>
          </cell>
          <cell r="H48">
            <v>157233</v>
          </cell>
        </row>
        <row r="49">
          <cell r="B49" t="str">
            <v>10.6</v>
          </cell>
          <cell r="C49" t="str">
            <v>Suministro, transporte e instalación de rejilla de piso cuadrada de 2" en PVC, para desagüe de ducha. Incluye los materiales y todos los elementos necesarios para su correcta instalación.</v>
          </cell>
          <cell r="D49" t="str">
            <v>Un</v>
          </cell>
          <cell r="E49">
            <v>1</v>
          </cell>
          <cell r="F49">
            <v>8832</v>
          </cell>
          <cell r="G49">
            <v>8832</v>
          </cell>
          <cell r="H49">
            <v>26496</v>
          </cell>
        </row>
        <row r="50">
          <cell r="B50" t="str">
            <v>11.</v>
          </cell>
          <cell r="C50" t="str">
            <v>CUBIERTA</v>
          </cell>
          <cell r="I50">
            <v>5203938</v>
          </cell>
        </row>
        <row r="51">
          <cell r="B51" t="str">
            <v>11.1</v>
          </cell>
          <cell r="C51" t="str">
            <v>Suministro, transporte e instalación de cubierta en teja termoacústica UPVC 2.0 mm tipo ECOROOF o similar. Incluye sistemas fijación a elementos estructurales. La medida será tomada en pendiente de cubierta. Color VERDE.</v>
          </cell>
          <cell r="D51" t="str">
            <v>m2</v>
          </cell>
          <cell r="E51">
            <v>13.69</v>
          </cell>
          <cell r="F51">
            <v>67585</v>
          </cell>
          <cell r="G51">
            <v>925239</v>
          </cell>
          <cell r="H51">
            <v>2775717</v>
          </cell>
        </row>
        <row r="52">
          <cell r="B52" t="str">
            <v>11.2</v>
          </cell>
          <cell r="C52" t="str">
            <v>Suministro, transporte e instalación de correa en madera pino pátula inmunizada (ES6) de sección 3"x4". Incluye anclajes y todo lo necesario para su correcto funcionamiento.</v>
          </cell>
          <cell r="D52" t="str">
            <v>m</v>
          </cell>
          <cell r="E52">
            <v>10.98</v>
          </cell>
          <cell r="F52">
            <v>26291</v>
          </cell>
          <cell r="G52">
            <v>288675</v>
          </cell>
          <cell r="H52">
            <v>866025</v>
          </cell>
        </row>
        <row r="53">
          <cell r="B53" t="str">
            <v>11.3</v>
          </cell>
          <cell r="C53" t="str">
            <v>Suministro, transporte e instalación de correa en madera pino pátula inmunizada (ES6) de sección 3"x2". Incluye anclajes y todo lo necesario para su correcto funcionamiento.</v>
          </cell>
          <cell r="D53" t="str">
            <v>m</v>
          </cell>
          <cell r="E53">
            <v>14</v>
          </cell>
          <cell r="F53">
            <v>22058</v>
          </cell>
          <cell r="G53">
            <v>308812</v>
          </cell>
          <cell r="H53">
            <v>926436</v>
          </cell>
        </row>
        <row r="54">
          <cell r="B54" t="str">
            <v>11.5</v>
          </cell>
          <cell r="C54"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54" t="str">
            <v>m</v>
          </cell>
          <cell r="E54">
            <v>3.5</v>
          </cell>
          <cell r="F54">
            <v>46100</v>
          </cell>
          <cell r="G54">
            <v>161350</v>
          </cell>
          <cell r="H54">
            <v>484050</v>
          </cell>
        </row>
        <row r="55">
          <cell r="B55" t="str">
            <v>11.6</v>
          </cell>
          <cell r="C55" t="str">
            <v>Suministro, transporte e instalación de bajante de aguas lluvias PVC-ALL 2". Incluye todo lo requerido para su correcta instalación como codos, soportes y demás elementos necesarios.</v>
          </cell>
          <cell r="D55" t="str">
            <v>m</v>
          </cell>
          <cell r="E55">
            <v>2.5</v>
          </cell>
          <cell r="F55">
            <v>20228</v>
          </cell>
          <cell r="G55">
            <v>50570</v>
          </cell>
          <cell r="H55">
            <v>151710</v>
          </cell>
        </row>
        <row r="56">
          <cell r="B56" t="str">
            <v>12.</v>
          </cell>
          <cell r="C56" t="str">
            <v>SISTEMA SÉPTICO</v>
          </cell>
          <cell r="I56">
            <v>846864</v>
          </cell>
        </row>
        <row r="57">
          <cell r="B57" t="str">
            <v>12.1</v>
          </cell>
          <cell r="C57" t="str">
            <v xml:space="preserve">Trampa de Grasas en polietileno, de 250 lt. incuye accesorios y todos los elementos necesarios para su correcta instalación. Sistema diseñado conforme al RAS – Resolución 0330 de 2017 y prefabricado conforme a la NTC 4384. </v>
          </cell>
          <cell r="D57" t="str">
            <v>Un</v>
          </cell>
          <cell r="E57">
            <v>1</v>
          </cell>
          <cell r="F57">
            <v>282288</v>
          </cell>
          <cell r="G57">
            <v>282288</v>
          </cell>
          <cell r="H57">
            <v>846864</v>
          </cell>
        </row>
        <row r="58">
          <cell r="C58" t="str">
            <v>TOTAL COSTO DIRECTO</v>
          </cell>
          <cell r="G58">
            <v>9444180</v>
          </cell>
          <cell r="H58">
            <v>28332540</v>
          </cell>
          <cell r="I58">
            <v>28332540</v>
          </cell>
        </row>
      </sheetData>
      <sheetData sheetId="8">
        <row r="6">
          <cell r="B6" t="str">
            <v>Ítem</v>
          </cell>
          <cell r="C6" t="str">
            <v>Descripción</v>
          </cell>
          <cell r="D6" t="str">
            <v>Unidad</v>
          </cell>
          <cell r="E6" t="str">
            <v>Cantidad</v>
          </cell>
          <cell r="F6" t="str">
            <v>Vr Unitario</v>
          </cell>
          <cell r="G6" t="str">
            <v>Vr. Total/U.V</v>
          </cell>
          <cell r="H6" t="str">
            <v>Vr. Total</v>
          </cell>
          <cell r="I6" t="str">
            <v>Vr Aproximado al peso</v>
          </cell>
        </row>
        <row r="7">
          <cell r="B7" t="str">
            <v>1.</v>
          </cell>
          <cell r="C7" t="str">
            <v>PRELIMINARES</v>
          </cell>
          <cell r="G7" t="str">
            <v/>
          </cell>
          <cell r="I7">
            <v>110383</v>
          </cell>
        </row>
        <row r="8">
          <cell r="B8" t="str">
            <v>1.1</v>
          </cell>
          <cell r="C8" t="str">
            <v>Localización, trazado y replanteo. Incluye demarcación, línea de trazado y todo lo necesario para su correcta ejecución.</v>
          </cell>
          <cell r="D8" t="str">
            <v>m2</v>
          </cell>
          <cell r="E8">
            <v>5.58</v>
          </cell>
          <cell r="F8">
            <v>2826</v>
          </cell>
          <cell r="G8">
            <v>15769</v>
          </cell>
          <cell r="H8">
            <v>110383</v>
          </cell>
        </row>
        <row r="9">
          <cell r="B9" t="str">
            <v>2.</v>
          </cell>
          <cell r="C9" t="str">
            <v>EXCAVACIONES</v>
          </cell>
          <cell r="G9" t="str">
            <v/>
          </cell>
          <cell r="I9">
            <v>8517334</v>
          </cell>
        </row>
        <row r="10">
          <cell r="B10" t="str">
            <v>2.1</v>
          </cell>
          <cell r="C10" t="str">
            <v>Excavación manual de material heterogéneo DE 0-2m, bajo cualquier grado de humedad. Incluye: roca descompuesta, bolas de roca de volumen inferior a 0.35m³, el cargue, transporte interno y externo, su medida será en el sitio. No incluye entibado.</v>
          </cell>
          <cell r="D10" t="str">
            <v>m3</v>
          </cell>
          <cell r="E10">
            <v>12.28</v>
          </cell>
          <cell r="F10">
            <v>26437</v>
          </cell>
          <cell r="G10">
            <v>324646</v>
          </cell>
          <cell r="H10">
            <v>2272522</v>
          </cell>
        </row>
        <row r="11">
          <cell r="B11" t="str">
            <v>2.2</v>
          </cell>
          <cell r="C11" t="str">
            <v>Botada de materiales resultantes de excavaciones, demoliciones, retiro y demas actividades que asi lo requieran, este será llevado en volqueta u otro medio de transporte al sitio destinado.</v>
          </cell>
          <cell r="D11" t="str">
            <v>m3</v>
          </cell>
          <cell r="E11">
            <v>15.97</v>
          </cell>
          <cell r="F11">
            <v>55862</v>
          </cell>
          <cell r="G11">
            <v>892116</v>
          </cell>
          <cell r="H11">
            <v>6244812</v>
          </cell>
        </row>
        <row r="12">
          <cell r="B12" t="str">
            <v>3.</v>
          </cell>
          <cell r="C12" t="str">
            <v>ELEMENTOS ESTRUCTURALES</v>
          </cell>
          <cell r="I12">
            <v>8515941</v>
          </cell>
        </row>
        <row r="13">
          <cell r="B13" t="str">
            <v>3.2</v>
          </cell>
          <cell r="C13" t="str">
            <v>Vaciado de viga de amarre superior en concreto a la vista de 21MPa sobre mampostería de sección 0.10x0.20m. Incluye formaleta, equipo y todo lo necesario para su correcta colocación y funcionamiento.</v>
          </cell>
          <cell r="D13" t="str">
            <v>m</v>
          </cell>
          <cell r="E13">
            <v>7.28</v>
          </cell>
          <cell r="F13">
            <v>37577</v>
          </cell>
          <cell r="G13">
            <v>273561</v>
          </cell>
          <cell r="H13">
            <v>1914927</v>
          </cell>
        </row>
        <row r="14">
          <cell r="B14" t="str">
            <v>3.3</v>
          </cell>
          <cell r="C14" t="str">
            <v>Vaciado de viga cinta en concreto a la vista de 21MPa sobre mampostería de sección 0.10x0.10m. Incluye formaleta, equipo y todo lo necesario para su correcta colocación y funcionamiento.</v>
          </cell>
          <cell r="D14" t="str">
            <v>m</v>
          </cell>
          <cell r="E14">
            <v>5.58</v>
          </cell>
          <cell r="F14">
            <v>28188</v>
          </cell>
          <cell r="G14">
            <v>157289</v>
          </cell>
          <cell r="H14">
            <v>1101023</v>
          </cell>
        </row>
        <row r="15">
          <cell r="B15" t="str">
            <v>3.4</v>
          </cell>
          <cell r="C15" t="str">
            <v>Dado en concreto de 21mpa 0.10x0.10x0.20m. para anclaje de columna de madera. Incluye formaleta, equipo y todo lo necesario para su correcta colocación y funcionamiento</v>
          </cell>
          <cell r="D15" t="str">
            <v>Un</v>
          </cell>
          <cell r="E15">
            <v>2</v>
          </cell>
          <cell r="F15">
            <v>14721</v>
          </cell>
          <cell r="G15">
            <v>29442</v>
          </cell>
          <cell r="H15">
            <v>206094</v>
          </cell>
        </row>
        <row r="16">
          <cell r="B16" t="str">
            <v>3.5</v>
          </cell>
          <cell r="C16" t="str">
            <v>Construcción de piso en concreto de 21 MPA, acabado escobillado, e=10 cm, reforzado con malla electrosoldada D188. Incluye el concreto, la malla, formaletería, material de recebo b-200 e=10 cm, polietileno y todo lo necesario para su correcta instalación.</v>
          </cell>
          <cell r="D16" t="str">
            <v>m2</v>
          </cell>
          <cell r="E16">
            <v>5.54</v>
          </cell>
          <cell r="F16">
            <v>136511</v>
          </cell>
          <cell r="G16">
            <v>756271</v>
          </cell>
          <cell r="H16">
            <v>5293897</v>
          </cell>
        </row>
        <row r="17">
          <cell r="B17" t="str">
            <v>4.</v>
          </cell>
          <cell r="C17" t="str">
            <v>ACERO DE REFUERZO</v>
          </cell>
          <cell r="I17">
            <v>2521890</v>
          </cell>
        </row>
        <row r="18">
          <cell r="B18" t="str">
            <v>4.1</v>
          </cell>
          <cell r="C18" t="str">
            <v>Suministro e instalación de acero de refuerzo Fy= 420MPa, corrugado. Incluye transporte con descarga, transporte interno, figurado, alambre de amarre, certificados y todos los elementos necesarios para su correcta instalación, según diseño y recomendaciones estructurales.</v>
          </cell>
          <cell r="D18" t="str">
            <v>kg</v>
          </cell>
          <cell r="E18">
            <v>55.58</v>
          </cell>
          <cell r="F18">
            <v>6482</v>
          </cell>
          <cell r="G18">
            <v>360270</v>
          </cell>
          <cell r="H18">
            <v>2521890</v>
          </cell>
        </row>
        <row r="19">
          <cell r="B19" t="str">
            <v>5.</v>
          </cell>
          <cell r="C19" t="str">
            <v>MAMPOSTERIA Y ELEMENTOS NO ESTRUCTURALES</v>
          </cell>
          <cell r="G19" t="str">
            <v/>
          </cell>
          <cell r="I19">
            <v>12795076</v>
          </cell>
        </row>
        <row r="20">
          <cell r="B20" t="str">
            <v>5.1</v>
          </cell>
          <cell r="C20" t="str">
            <v>Suministro, transporte y colocación de concreto fluido para dovelas en mampostería estructural. Incluye grouting de 21 MPA, espaciadas de acuerdo a los diseños, o en su defecto cada 1.20 m y en las intersecciones de muros.</v>
          </cell>
          <cell r="D20" t="str">
            <v>m</v>
          </cell>
          <cell r="E20">
            <v>25.3</v>
          </cell>
          <cell r="F20">
            <v>23500</v>
          </cell>
          <cell r="G20">
            <v>594550</v>
          </cell>
          <cell r="H20">
            <v>4161850</v>
          </cell>
        </row>
        <row r="21">
          <cell r="B21" t="str">
            <v>5.2</v>
          </cell>
          <cell r="C21" t="str">
            <v>Construcción de mampostería en bloque de concreto, perforación vertical, de 10x20x40 cm, resistencia de 10 MPA. Incluye el suministro, transporte y colocación del bloque vertical, el mortero de pega 1:4, espesor max=0.01 m, encorazados y todos los elementos necesarios para su correcta instalación. Todos los cortes serán realizados a máquina.</v>
          </cell>
          <cell r="D21" t="str">
            <v>m2</v>
          </cell>
          <cell r="E21">
            <v>15.55</v>
          </cell>
          <cell r="F21">
            <v>66219</v>
          </cell>
          <cell r="G21">
            <v>1029705</v>
          </cell>
          <cell r="H21">
            <v>7207935</v>
          </cell>
        </row>
        <row r="22">
          <cell r="B22" t="str">
            <v>5.3</v>
          </cell>
          <cell r="C22" t="str">
            <v>Construcción de mampostería en bloque calado de 0,10x0,20x0,20m, según detalle, revitado a dos caras, sin rebabas. Incluye el suministro, transporte y colocación del ladrillo, el mortero de pega, angeo y todos los elementos necesarios para su correcta instalación.</v>
          </cell>
          <cell r="D22" t="str">
            <v>m2</v>
          </cell>
          <cell r="E22">
            <v>0.5</v>
          </cell>
          <cell r="F22">
            <v>91440</v>
          </cell>
          <cell r="G22">
            <v>45720</v>
          </cell>
          <cell r="H22">
            <v>320040</v>
          </cell>
        </row>
        <row r="23">
          <cell r="B23" t="str">
            <v>5.4</v>
          </cell>
          <cell r="C23" t="str">
            <v>Suministro e instalación de revoque en un espesor mínimo de 0,02m. y pulido con llana de madera, relación 1:4; incluye fajas, ranuras, filetes y todos los materiales necesarios para su correcta ejecución.</v>
          </cell>
          <cell r="D23" t="str">
            <v>m2</v>
          </cell>
          <cell r="E23">
            <v>8.0500000000000007</v>
          </cell>
          <cell r="F23">
            <v>19614</v>
          </cell>
          <cell r="G23">
            <v>157893</v>
          </cell>
          <cell r="H23">
            <v>1105251</v>
          </cell>
        </row>
        <row r="24">
          <cell r="B24" t="str">
            <v>6.</v>
          </cell>
          <cell r="C24" t="str">
            <v>INSTALACIONES HIDRÁULICAS E HIDROSANITARIAS</v>
          </cell>
          <cell r="I24">
            <v>9137912</v>
          </cell>
        </row>
        <row r="25">
          <cell r="B25" t="str">
            <v>6.1</v>
          </cell>
          <cell r="C25" t="str">
            <v>Punto hidráulico en PVC-P 1/2" RDE-13.5, incluye tubería presión, accesorios, limpiador, soldadura y todos los elementos necesarios para su correcta instalación.</v>
          </cell>
          <cell r="D25" t="str">
            <v>Un</v>
          </cell>
          <cell r="E25">
            <v>3</v>
          </cell>
          <cell r="F25">
            <v>18597</v>
          </cell>
          <cell r="G25">
            <v>55791</v>
          </cell>
          <cell r="H25">
            <v>390537</v>
          </cell>
        </row>
        <row r="26">
          <cell r="B26" t="str">
            <v>6.2</v>
          </cell>
          <cell r="C26" t="str">
            <v>Suministro, transporte e instalación de tubería PVC-P x 1/2" RDE-13.5, incluye tubería presión, accesorios , limpiador, soldadura y todos los elementos necesarios para su correcta instalación.</v>
          </cell>
          <cell r="D26" t="str">
            <v>m</v>
          </cell>
          <cell r="E26">
            <v>9.9</v>
          </cell>
          <cell r="F26">
            <v>11482</v>
          </cell>
          <cell r="G26">
            <v>113672</v>
          </cell>
          <cell r="H26">
            <v>795704</v>
          </cell>
        </row>
        <row r="27">
          <cell r="B27" t="str">
            <v>6.3</v>
          </cell>
          <cell r="C27" t="str">
            <v>Suministro e instalación válvula de bola en PVC 1/2" extremo soldado. Se entregará debidamente instalada sin presencia de fugas ni fisuras.</v>
          </cell>
          <cell r="D27" t="str">
            <v>Un</v>
          </cell>
          <cell r="E27">
            <v>1</v>
          </cell>
          <cell r="F27">
            <v>15113</v>
          </cell>
          <cell r="G27">
            <v>15113</v>
          </cell>
          <cell r="H27">
            <v>105791</v>
          </cell>
        </row>
        <row r="28">
          <cell r="B28" t="str">
            <v>6.4</v>
          </cell>
          <cell r="C28" t="str">
            <v>Salidas sanitarias de 2" incluye materiales, accesorios y todos los elementos necesarios para su correcta instalación y funcionamiento</v>
          </cell>
          <cell r="D28" t="str">
            <v>Un</v>
          </cell>
          <cell r="E28">
            <v>2</v>
          </cell>
          <cell r="F28">
            <v>27473</v>
          </cell>
          <cell r="G28">
            <v>54946</v>
          </cell>
          <cell r="H28">
            <v>384622</v>
          </cell>
        </row>
        <row r="29">
          <cell r="B29" t="str">
            <v>6.5</v>
          </cell>
          <cell r="C29" t="str">
            <v>Salida sanitaria de 4" incluye materiales, accesorios y todos los elementos necesarios para su correcta instalación y funcionamiento</v>
          </cell>
          <cell r="D29" t="str">
            <v>Un</v>
          </cell>
          <cell r="E29">
            <v>1</v>
          </cell>
          <cell r="F29">
            <v>42651</v>
          </cell>
          <cell r="G29">
            <v>42651</v>
          </cell>
          <cell r="H29">
            <v>298557</v>
          </cell>
        </row>
        <row r="30">
          <cell r="B30" t="str">
            <v>6.6</v>
          </cell>
          <cell r="C30" t="str">
            <v>Red sanitaria de piso para en tubería PVC-S 2", incluye accesorios y todo lo necesario para su correcta instalación.</v>
          </cell>
          <cell r="D30" t="str">
            <v>m</v>
          </cell>
          <cell r="E30">
            <v>7.3</v>
          </cell>
          <cell r="F30">
            <v>24199</v>
          </cell>
          <cell r="G30">
            <v>176653</v>
          </cell>
          <cell r="H30">
            <v>1236571</v>
          </cell>
        </row>
        <row r="31">
          <cell r="B31" t="str">
            <v>6.7</v>
          </cell>
          <cell r="C31" t="str">
            <v>Red sanitaria de piso en tubería PVC-S 4", incluye accesorios y todo lo necesario para su correcta instalación. Sometida al sistema ya presurizado.</v>
          </cell>
          <cell r="D31" t="str">
            <v>m</v>
          </cell>
          <cell r="E31">
            <v>11.3</v>
          </cell>
          <cell r="F31">
            <v>40363</v>
          </cell>
          <cell r="G31">
            <v>456102</v>
          </cell>
          <cell r="H31">
            <v>3192714</v>
          </cell>
        </row>
        <row r="32">
          <cell r="B32" t="str">
            <v>6.8</v>
          </cell>
          <cell r="C32" t="str">
            <v>Construcción de caja de empalme, dimensiones de 0,5 m x 0,5 m, con altura de 0,7 m-espesor de paredes 0,1 m. Incluye: herraje para tapa, cañuela y todos los materiales indicados en el plano, mano de obra, herramientas, formaleta, equipo, concreto de 21 Mpa, todos los demás elementos necesarios para el normal desarrollo de la actividad.</v>
          </cell>
          <cell r="D32" t="str">
            <v>un</v>
          </cell>
          <cell r="E32">
            <v>1</v>
          </cell>
          <cell r="F32">
            <v>390488</v>
          </cell>
          <cell r="G32">
            <v>390488</v>
          </cell>
          <cell r="H32">
            <v>2733416</v>
          </cell>
        </row>
        <row r="33">
          <cell r="B33" t="str">
            <v>7.</v>
          </cell>
          <cell r="C33" t="str">
            <v>INSTALACIONES ELECTRICAS</v>
          </cell>
          <cell r="I33">
            <v>1375738</v>
          </cell>
        </row>
        <row r="34">
          <cell r="B34" t="str">
            <v>7.2</v>
          </cell>
          <cell r="C34" t="str">
            <v>Suministro e instalación de tomas GFCI, blanca, de empotrar. Incluye caja, accesorios, fijaciones y todos los elementos para su correcta instalación. Los materiales deben cumplir con certificación RETIE.</v>
          </cell>
          <cell r="D34" t="str">
            <v>Un</v>
          </cell>
          <cell r="E34">
            <v>2</v>
          </cell>
          <cell r="F34">
            <v>38676</v>
          </cell>
          <cell r="G34">
            <v>77352</v>
          </cell>
          <cell r="H34">
            <v>541464</v>
          </cell>
        </row>
        <row r="35">
          <cell r="B35" t="str">
            <v>7.3</v>
          </cell>
          <cell r="C35" t="str">
            <v xml:space="preserve">Suministro e instalación de interruptor sencillo blanco, de empotrar. Incluye caja, accesorios, fijaciones y todos los elementos para su correcta instalación. Los materiales deben cumplir con certificación RETIE. </v>
          </cell>
          <cell r="D35" t="str">
            <v>Un</v>
          </cell>
          <cell r="E35">
            <v>2</v>
          </cell>
          <cell r="F35">
            <v>9275</v>
          </cell>
          <cell r="G35">
            <v>18550</v>
          </cell>
          <cell r="H35">
            <v>129850</v>
          </cell>
        </row>
        <row r="36">
          <cell r="B36" t="str">
            <v>7.4</v>
          </cell>
          <cell r="C36" t="str">
            <v xml:space="preserve">Suministro e instalación de plafones, salidas para iluminación. En baquelita, blanco, de sobreponer. Incluye caja, accesorios, fijaciones y todos los elementos para su correcta instalación. Los materiales deben cumplir con certificación RETIE. </v>
          </cell>
          <cell r="D36" t="str">
            <v>Un</v>
          </cell>
          <cell r="E36">
            <v>2</v>
          </cell>
          <cell r="F36">
            <v>7416</v>
          </cell>
          <cell r="G36">
            <v>14832</v>
          </cell>
          <cell r="H36">
            <v>103824</v>
          </cell>
        </row>
        <row r="37">
          <cell r="B37" t="str">
            <v>7.5</v>
          </cell>
          <cell r="C37" t="str">
            <v xml:space="preserve">Suministro e instalación de tubería PVC 1/2" tipo Conduit o similar. Incluye accesorios y todos los elementos para su correcta instalación. Los materiales deben cumplir con certificación RETIE. </v>
          </cell>
          <cell r="D37" t="str">
            <v>m</v>
          </cell>
          <cell r="E37">
            <v>5</v>
          </cell>
          <cell r="F37">
            <v>4512</v>
          </cell>
          <cell r="G37">
            <v>22560</v>
          </cell>
          <cell r="H37">
            <v>157920</v>
          </cell>
        </row>
        <row r="38">
          <cell r="B38" t="str">
            <v>7.6</v>
          </cell>
          <cell r="C38" t="str">
            <v>Suministro e instalación de cable de cobre 12AWU-Cu-THHN-THWN 90°C. Los materiales deben cumplir con Certificación RETIE.</v>
          </cell>
          <cell r="D38" t="str">
            <v>m</v>
          </cell>
          <cell r="E38">
            <v>15</v>
          </cell>
          <cell r="F38">
            <v>4216</v>
          </cell>
          <cell r="G38">
            <v>63240</v>
          </cell>
          <cell r="H38">
            <v>442680</v>
          </cell>
        </row>
        <row r="39">
          <cell r="B39" t="str">
            <v>8.</v>
          </cell>
          <cell r="C39" t="str">
            <v>CARPINTERIA METÁLICA</v>
          </cell>
          <cell r="I39">
            <v>2653728</v>
          </cell>
        </row>
        <row r="40">
          <cell r="B40" t="str">
            <v>8.1</v>
          </cell>
          <cell r="C40" t="str">
            <v>Suministro de puerta metálica calibre 20 de 0.80x2.10m. Incluye marco, pintura anticorrosiva color negro, chapa económica, bisagras y demás elementos para su correcto funcionamiento.</v>
          </cell>
          <cell r="D40" t="str">
            <v>Un</v>
          </cell>
          <cell r="E40">
            <v>1</v>
          </cell>
          <cell r="F40">
            <v>379104</v>
          </cell>
          <cell r="G40">
            <v>379104</v>
          </cell>
          <cell r="H40">
            <v>2653728</v>
          </cell>
        </row>
        <row r="41">
          <cell r="B41" t="str">
            <v>9.</v>
          </cell>
          <cell r="C41" t="str">
            <v>ENCHAPES Y ACABADOS</v>
          </cell>
          <cell r="I41">
            <v>6481475</v>
          </cell>
        </row>
        <row r="42">
          <cell r="B42" t="str">
            <v>9.1</v>
          </cell>
          <cell r="C42" t="str">
            <v>Enchape en cerámica antideslizante para piso en baño, color blanco. Formato a definir con la Interventoría. Incluye lechada, pega y todo lo necesario para su correcta instalación.</v>
          </cell>
          <cell r="D42" t="str">
            <v>m2</v>
          </cell>
          <cell r="E42">
            <v>2.94</v>
          </cell>
          <cell r="F42">
            <v>52954</v>
          </cell>
          <cell r="G42">
            <v>155685</v>
          </cell>
          <cell r="H42">
            <v>1089795</v>
          </cell>
        </row>
        <row r="43">
          <cell r="B43" t="str">
            <v>9.2</v>
          </cell>
          <cell r="C43" t="str">
            <v>Enchape cerámico para pared en el área de zona de ropas, cocina y baño según planos arquitectónicos, color blanco. Formato a definir con la Interventoría Incluye material de pega, lechada, limpieza y todo lo necesario para su correcta instalación.</v>
          </cell>
          <cell r="D43" t="str">
            <v>m2</v>
          </cell>
          <cell r="E43">
            <v>8.0500000000000007</v>
          </cell>
          <cell r="F43">
            <v>44794</v>
          </cell>
          <cell r="G43">
            <v>360592</v>
          </cell>
          <cell r="H43">
            <v>2524144</v>
          </cell>
        </row>
        <row r="44">
          <cell r="B44" t="str">
            <v>9.4</v>
          </cell>
          <cell r="C44" t="str">
            <v>Aplicación de pintura vinílica para zonas húmedas, dos manos. Incluye suministro y transporte de los materiales, resanes, adecuación de la superficie y todo lo necesario para su correcta aplicación, en baños color blanco y en cocina color gris basalto.</v>
          </cell>
          <cell r="D44" t="str">
            <v>m2</v>
          </cell>
          <cell r="E44">
            <v>6.29</v>
          </cell>
          <cell r="F44">
            <v>18744</v>
          </cell>
          <cell r="G44">
            <v>117900</v>
          </cell>
          <cell r="H44">
            <v>825300</v>
          </cell>
        </row>
        <row r="45">
          <cell r="B45" t="str">
            <v>9.5</v>
          </cell>
          <cell r="C45" t="str">
            <v>Aplicación de pintura acrílica sobre mampostería en fachada a la altura del zócalo a 0.85m, dos manos, color a definir. Incluye adecuación de la superficie antes de aplicación, limpieza de superficie, resanes de perforaciones menores, aplicación final y todo lo necesario para su correcto acabado.</v>
          </cell>
          <cell r="D45" t="str">
            <v>m2</v>
          </cell>
          <cell r="E45">
            <v>11.24</v>
          </cell>
          <cell r="F45">
            <v>18103</v>
          </cell>
          <cell r="G45">
            <v>203478</v>
          </cell>
          <cell r="H45">
            <v>1424346</v>
          </cell>
        </row>
        <row r="46">
          <cell r="B46" t="str">
            <v>9.6</v>
          </cell>
          <cell r="C46" t="str">
            <v>Aplicación de pintura tipo esmalte sobre puerta metálica, color BLANCO. Incluye anticorrosivo, pintura del marco y del ala, limpieza, ajuste y todo lo necesario para su correcto acabado.</v>
          </cell>
          <cell r="D46" t="str">
            <v>m2</v>
          </cell>
          <cell r="E46">
            <v>3.36</v>
          </cell>
          <cell r="F46">
            <v>23275</v>
          </cell>
          <cell r="G46">
            <v>78204</v>
          </cell>
          <cell r="H46">
            <v>547428</v>
          </cell>
        </row>
        <row r="47">
          <cell r="B47" t="str">
            <v>9.7</v>
          </cell>
          <cell r="C47" t="str">
            <v>Instalación de pirlan de aluminio en zona de ducha.</v>
          </cell>
          <cell r="D47" t="str">
            <v>m</v>
          </cell>
          <cell r="E47">
            <v>1.6</v>
          </cell>
          <cell r="F47">
            <v>6291</v>
          </cell>
          <cell r="G47">
            <v>10066</v>
          </cell>
          <cell r="H47">
            <v>70462</v>
          </cell>
        </row>
        <row r="48">
          <cell r="B48" t="str">
            <v>10.</v>
          </cell>
          <cell r="C48" t="str">
            <v>APARATOS, ACCESORIOS Y MUEBLES ESPECIALES</v>
          </cell>
          <cell r="I48">
            <v>4226614</v>
          </cell>
        </row>
        <row r="49">
          <cell r="B49" t="str">
            <v>10.1</v>
          </cell>
          <cell r="C49" t="str">
            <v xml:space="preserve">Suministro, transporte e instalación de sanitario línea económica, Corona o similar, abastos plásticos para sanitario, válvula de regulación y demás accesorios para su correcto funcionamiento y de acuerdo a los detalles de los planos arquitectónicos. </v>
          </cell>
          <cell r="D49" t="str">
            <v>Un</v>
          </cell>
          <cell r="E49">
            <v>1</v>
          </cell>
          <cell r="F49">
            <v>239359</v>
          </cell>
          <cell r="G49">
            <v>239359</v>
          </cell>
          <cell r="H49">
            <v>1675513</v>
          </cell>
        </row>
        <row r="50">
          <cell r="B50" t="str">
            <v>10.2</v>
          </cell>
          <cell r="C50" t="str">
            <v xml:space="preserve">Suministro, transporte y colocación de lavadero en granito de 1.00x0.60m sobre muretes de apoyo en mampostería de 0.10x0.20x0.40m. Incluye grifería económica y todo lo necesario para su correcta instalación. </v>
          </cell>
          <cell r="D50" t="str">
            <v>Un</v>
          </cell>
          <cell r="E50">
            <v>1</v>
          </cell>
          <cell r="F50">
            <v>297974</v>
          </cell>
          <cell r="G50">
            <v>297974</v>
          </cell>
          <cell r="H50">
            <v>2085818</v>
          </cell>
        </row>
        <row r="51">
          <cell r="B51" t="str">
            <v>10.5</v>
          </cell>
          <cell r="C51" t="str">
            <v>Suministro, transporte y colocación de ducha sencilla resistente a la corrosión, con tecnología de ahorro de agua, chorro tipo lluvia, direccionable. Incluye todos los elementos necesarios para el buen funcionamiento.</v>
          </cell>
          <cell r="D51" t="str">
            <v>Un</v>
          </cell>
          <cell r="E51">
            <v>1</v>
          </cell>
          <cell r="F51">
            <v>57637</v>
          </cell>
          <cell r="G51">
            <v>57637</v>
          </cell>
          <cell r="H51">
            <v>403459</v>
          </cell>
        </row>
        <row r="52">
          <cell r="B52" t="str">
            <v>10.6</v>
          </cell>
          <cell r="C52" t="str">
            <v>Suministro, transporte e instalación de rejilla de piso cuadrada de 2" en PVC, para desagüe de ducha. Incluye los materiales y todos los elementos necesarios para su correcta instalación.</v>
          </cell>
          <cell r="D52" t="str">
            <v>Un</v>
          </cell>
          <cell r="E52">
            <v>1</v>
          </cell>
          <cell r="F52">
            <v>8832</v>
          </cell>
          <cell r="G52">
            <v>8832</v>
          </cell>
          <cell r="H52">
            <v>61824</v>
          </cell>
        </row>
        <row r="53">
          <cell r="B53" t="str">
            <v>11.</v>
          </cell>
          <cell r="C53" t="str">
            <v>CUBIERTA</v>
          </cell>
          <cell r="I53">
            <v>11121257</v>
          </cell>
        </row>
        <row r="54">
          <cell r="B54" t="str">
            <v>11.1</v>
          </cell>
          <cell r="C54" t="str">
            <v>Suministro, transporte e instalación de cubierta en teja termoacústica UPVC 2.0 mm tipo ECOROOF o similar. Incluye sistemas fijación a elementos estructurales. La medida será tomada en pendiente de cubierta. Color VERDE.</v>
          </cell>
          <cell r="D54" t="str">
            <v>m2</v>
          </cell>
          <cell r="E54">
            <v>10.14</v>
          </cell>
          <cell r="F54">
            <v>67585</v>
          </cell>
          <cell r="G54">
            <v>685312</v>
          </cell>
          <cell r="H54">
            <v>4797184</v>
          </cell>
        </row>
        <row r="55">
          <cell r="B55" t="str">
            <v>11.2</v>
          </cell>
          <cell r="C55" t="str">
            <v>Suministro, transporte e instalación de correa en madera pino pátula inmunizada (ES6) de sección 3"x4". Incluye anclajes y todo lo necesario para su correcto funcionamiento.</v>
          </cell>
          <cell r="D55" t="str">
            <v>m</v>
          </cell>
          <cell r="E55">
            <v>7.8</v>
          </cell>
          <cell r="F55">
            <v>26291</v>
          </cell>
          <cell r="G55">
            <v>205070</v>
          </cell>
          <cell r="H55">
            <v>1435490</v>
          </cell>
        </row>
        <row r="56">
          <cell r="B56" t="str">
            <v>11.3</v>
          </cell>
          <cell r="C56" t="str">
            <v>Suministro, transporte e instalación de correa en madera pino pátula inmunizada (ES6) de sección 3"x2". Incluye anclajes y todo lo necesario para su correcto funcionamiento.</v>
          </cell>
          <cell r="D56" t="str">
            <v>m</v>
          </cell>
          <cell r="E56">
            <v>11.7</v>
          </cell>
          <cell r="F56">
            <v>22058</v>
          </cell>
          <cell r="G56">
            <v>258079</v>
          </cell>
          <cell r="H56">
            <v>1806553</v>
          </cell>
        </row>
        <row r="57">
          <cell r="B57" t="str">
            <v>11.4</v>
          </cell>
          <cell r="C57" t="str">
            <v>Suministro, transporte e instalación de correa en madera pino pátula inmunizada (ES6) de sección 4"x4". Incluye anclajes y todo lo necesario para su correcto funcionamiento.</v>
          </cell>
          <cell r="D57" t="str">
            <v>m</v>
          </cell>
          <cell r="E57">
            <v>7.17</v>
          </cell>
          <cell r="F57">
            <v>29279</v>
          </cell>
          <cell r="G57">
            <v>209930</v>
          </cell>
          <cell r="H57">
            <v>1469510</v>
          </cell>
        </row>
        <row r="58">
          <cell r="B58" t="str">
            <v>11.5</v>
          </cell>
          <cell r="C58"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58" t="str">
            <v>m</v>
          </cell>
          <cell r="E58">
            <v>3.9</v>
          </cell>
          <cell r="F58">
            <v>46100</v>
          </cell>
          <cell r="G58">
            <v>179790</v>
          </cell>
          <cell r="H58">
            <v>1258530</v>
          </cell>
        </row>
        <row r="59">
          <cell r="B59" t="str">
            <v>11.6</v>
          </cell>
          <cell r="C59" t="str">
            <v>Suministro, transporte e instalación de bajante de aguas lluvias PVC-ALL 2". Incluye todo lo requerido para su correcta instalación como codos, soportes y demás elementos necesarios.</v>
          </cell>
          <cell r="D59" t="str">
            <v>m</v>
          </cell>
          <cell r="E59">
            <v>2.5</v>
          </cell>
          <cell r="F59">
            <v>20228</v>
          </cell>
          <cell r="G59">
            <v>50570</v>
          </cell>
          <cell r="H59">
            <v>353990</v>
          </cell>
        </row>
        <row r="60">
          <cell r="B60" t="str">
            <v>12.</v>
          </cell>
          <cell r="C60" t="str">
            <v>SISTEMA SÉPTICO</v>
          </cell>
          <cell r="I60">
            <v>18498172</v>
          </cell>
        </row>
        <row r="61">
          <cell r="B61" t="str">
            <v>12.2</v>
          </cell>
          <cell r="C61" t="str">
            <v xml:space="preserve">Sistema séptico en polietileno compuesto por trampa de grasas 250l, tanque séptico de 1000l y tanque para filtro Anaerobio de flujo ascendente – FAFA de 1000l. Incluye accesorios y todos los elementos necesarios para su correcta instalación. Sistema diseñado conforme al RAS – Resolución 0330 de 2017 y prefabricado conforme a la NTC 4384. </v>
          </cell>
          <cell r="D61" t="str">
            <v>Un</v>
          </cell>
          <cell r="E61">
            <v>1</v>
          </cell>
          <cell r="F61">
            <v>1858607</v>
          </cell>
          <cell r="G61">
            <v>1858607</v>
          </cell>
          <cell r="H61">
            <v>13010249</v>
          </cell>
        </row>
        <row r="62">
          <cell r="B62" t="str">
            <v>12.3</v>
          </cell>
          <cell r="C62" t="str">
            <v>Construcción en sitio de pozo de absorción de 1.50m de diámetro y profundidad de referencia de 2.0 m en mampostería, para manejo de clarificante y disposición final. Incluye excavación, accesorios en PVC, concreto, formaletas y tapa.</v>
          </cell>
          <cell r="D62" t="str">
            <v>Un</v>
          </cell>
          <cell r="E62">
            <v>1</v>
          </cell>
          <cell r="F62">
            <v>783989</v>
          </cell>
          <cell r="G62">
            <v>783989</v>
          </cell>
          <cell r="H62">
            <v>5487923</v>
          </cell>
        </row>
        <row r="63">
          <cell r="C63" t="str">
            <v>TOTAL COSTO DIRECTO</v>
          </cell>
          <cell r="G63">
            <v>12279360</v>
          </cell>
          <cell r="H63">
            <v>85955520</v>
          </cell>
          <cell r="I63">
            <v>85955520</v>
          </cell>
        </row>
      </sheetData>
      <sheetData sheetId="9" refreshError="1"/>
      <sheetData sheetId="10" refreshError="1"/>
      <sheetData sheetId="11" refreshError="1"/>
      <sheetData sheetId="12" refreshError="1"/>
      <sheetData sheetId="13"/>
      <sheetData sheetId="14">
        <row r="5">
          <cell r="C5" t="str">
            <v>ITEM</v>
          </cell>
          <cell r="D5" t="str">
            <v>DESCRIPCION</v>
          </cell>
          <cell r="E5" t="str">
            <v>UN</v>
          </cell>
          <cell r="F5" t="str">
            <v>CANTIDAD</v>
          </cell>
          <cell r="G5" t="str">
            <v>%</v>
          </cell>
          <cell r="H5" t="str">
            <v>VR. UNIT.</v>
          </cell>
          <cell r="I5" t="str">
            <v>VR. TOTAL</v>
          </cell>
        </row>
        <row r="6">
          <cell r="C6" t="str">
            <v>1.</v>
          </cell>
          <cell r="D6" t="str">
            <v>PRELIMINARES</v>
          </cell>
          <cell r="E6" t="str">
            <v/>
          </cell>
          <cell r="H6" t="str">
            <v/>
          </cell>
          <cell r="I6" t="str">
            <v/>
          </cell>
        </row>
        <row r="7">
          <cell r="C7" t="str">
            <v>1.1</v>
          </cell>
          <cell r="D7" t="str">
            <v>Localización, trazado y replanteo. Incluye demarcación, línea de trazado y todo lo necesario para su correcta ejecución.</v>
          </cell>
          <cell r="E7" t="str">
            <v>m2</v>
          </cell>
          <cell r="F7">
            <v>22.9</v>
          </cell>
          <cell r="H7" t="str">
            <v/>
          </cell>
          <cell r="I7">
            <v>2826</v>
          </cell>
        </row>
        <row r="8">
          <cell r="C8" t="str">
            <v>I. EQUIPO Y HERRAMIENTA</v>
          </cell>
          <cell r="I8">
            <v>78.425000000000011</v>
          </cell>
        </row>
        <row r="9">
          <cell r="C9" t="str">
            <v>HTAMNR</v>
          </cell>
          <cell r="D9" t="str">
            <v>Herramienta y equipo menor</v>
          </cell>
          <cell r="E9" t="str">
            <v>%</v>
          </cell>
          <cell r="G9">
            <v>0.05</v>
          </cell>
          <cell r="H9">
            <v>1568.5</v>
          </cell>
          <cell r="I9">
            <v>78.425000000000011</v>
          </cell>
        </row>
        <row r="10">
          <cell r="C10" t="str">
            <v>II. MATERIALES</v>
          </cell>
          <cell r="I10">
            <v>1140</v>
          </cell>
        </row>
        <row r="11">
          <cell r="C11" t="str">
            <v>MAT1170</v>
          </cell>
          <cell r="D11" t="str">
            <v>Liston 2" x 2" x 3 m</v>
          </cell>
          <cell r="E11" t="str">
            <v>un</v>
          </cell>
          <cell r="F11">
            <v>0.1</v>
          </cell>
          <cell r="H11">
            <v>9500</v>
          </cell>
          <cell r="I11">
            <v>950</v>
          </cell>
        </row>
        <row r="12">
          <cell r="C12" t="str">
            <v>MAT1095</v>
          </cell>
          <cell r="D12" t="str">
            <v>Clavo común 37.5 a 100 mm</v>
          </cell>
          <cell r="E12" t="str">
            <v>lb</v>
          </cell>
          <cell r="F12">
            <v>0.05</v>
          </cell>
          <cell r="H12">
            <v>3800</v>
          </cell>
          <cell r="I12">
            <v>190</v>
          </cell>
        </row>
        <row r="13">
          <cell r="C13" t="str">
            <v>III. TRANSPORTES</v>
          </cell>
          <cell r="F13" t="str">
            <v>Km</v>
          </cell>
          <cell r="G13" t="str">
            <v>PESO</v>
          </cell>
          <cell r="H13" t="str">
            <v>T/KM</v>
          </cell>
          <cell r="I13">
            <v>39.224250000000005</v>
          </cell>
        </row>
        <row r="14">
          <cell r="C14" t="str">
            <v>TR1070</v>
          </cell>
          <cell r="D14" t="str">
            <v xml:space="preserve">Transporte de materiales varios </v>
          </cell>
          <cell r="E14" t="str">
            <v>T/km</v>
          </cell>
          <cell r="F14">
            <v>130</v>
          </cell>
          <cell r="G14">
            <v>4.4700000000000008E-4</v>
          </cell>
          <cell r="H14">
            <v>675</v>
          </cell>
          <cell r="I14">
            <v>39.224250000000005</v>
          </cell>
        </row>
        <row r="15">
          <cell r="C15" t="str">
            <v>IV. MANO DE OBRA</v>
          </cell>
          <cell r="I15">
            <v>1568.5</v>
          </cell>
        </row>
        <row r="16">
          <cell r="C16" t="str">
            <v>MOCAD1</v>
          </cell>
          <cell r="D16" t="str">
            <v>Mo cadenero 1</v>
          </cell>
          <cell r="E16" t="str">
            <v>día</v>
          </cell>
          <cell r="F16">
            <v>0.02</v>
          </cell>
          <cell r="H16">
            <v>78425</v>
          </cell>
          <cell r="I16">
            <v>1568.5</v>
          </cell>
        </row>
        <row r="17">
          <cell r="C17" t="str">
            <v>2.</v>
          </cell>
          <cell r="D17" t="str">
            <v>EXCAVACIONES</v>
          </cell>
          <cell r="E17" t="str">
            <v/>
          </cell>
          <cell r="H17" t="str">
            <v/>
          </cell>
          <cell r="I17" t="str">
            <v/>
          </cell>
        </row>
        <row r="18">
          <cell r="C18" t="str">
            <v>2.1</v>
          </cell>
          <cell r="D18"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E18" t="str">
            <v>m3</v>
          </cell>
          <cell r="F18">
            <v>16.119999999999997</v>
          </cell>
          <cell r="H18" t="str">
            <v/>
          </cell>
          <cell r="I18">
            <v>26437</v>
          </cell>
        </row>
        <row r="19">
          <cell r="C19" t="str">
            <v>I. EQUIPO Y HERRAMIENTA</v>
          </cell>
          <cell r="I19">
            <v>980.32500000000005</v>
          </cell>
        </row>
        <row r="20">
          <cell r="C20" t="str">
            <v>HTAMNR</v>
          </cell>
          <cell r="D20" t="str">
            <v>Herramienta y equipo menor</v>
          </cell>
          <cell r="E20" t="str">
            <v>%</v>
          </cell>
          <cell r="G20">
            <v>0.05</v>
          </cell>
          <cell r="H20">
            <v>19606.5</v>
          </cell>
          <cell r="I20">
            <v>980.32500000000005</v>
          </cell>
        </row>
        <row r="21">
          <cell r="C21" t="str">
            <v>II. MATERIALES</v>
          </cell>
          <cell r="I21">
            <v>0</v>
          </cell>
        </row>
        <row r="23">
          <cell r="C23" t="str">
            <v>III. TRANSPORTES</v>
          </cell>
          <cell r="I23">
            <v>5850</v>
          </cell>
        </row>
        <row r="24">
          <cell r="C24" t="str">
            <v>TR1080</v>
          </cell>
          <cell r="D24" t="str">
            <v>Transporte interno materiales</v>
          </cell>
          <cell r="E24" t="str">
            <v>viaje</v>
          </cell>
          <cell r="F24">
            <v>1.3</v>
          </cell>
          <cell r="H24">
            <v>4500</v>
          </cell>
          <cell r="I24">
            <v>5850</v>
          </cell>
        </row>
        <row r="25">
          <cell r="C25" t="str">
            <v>IV. MANO DE OBRA</v>
          </cell>
          <cell r="I25">
            <v>19606.5</v>
          </cell>
        </row>
        <row r="26">
          <cell r="C26" t="str">
            <v>MOAYUDR</v>
          </cell>
          <cell r="D26" t="str">
            <v>Mo ayudante raso</v>
          </cell>
          <cell r="E26" t="str">
            <v>día</v>
          </cell>
          <cell r="F26">
            <v>0.15</v>
          </cell>
          <cell r="H26">
            <v>65355</v>
          </cell>
          <cell r="I26">
            <v>9803.25</v>
          </cell>
        </row>
        <row r="27">
          <cell r="C27" t="str">
            <v>MOAYUDR</v>
          </cell>
          <cell r="D27" t="str">
            <v>Mo ayudante raso</v>
          </cell>
          <cell r="E27" t="str">
            <v>día</v>
          </cell>
          <cell r="F27">
            <v>0.15</v>
          </cell>
          <cell r="H27">
            <v>65355</v>
          </cell>
          <cell r="I27">
            <v>9803.25</v>
          </cell>
        </row>
        <row r="28">
          <cell r="C28" t="str">
            <v>2.2</v>
          </cell>
          <cell r="D28" t="str">
            <v>Botada de materiales resultantes de excavaciones, demoliciones, retiro y demas actividades que asi lo requieran, este será llevado en volqueta u otro medio de transporte al sitio destinado.</v>
          </cell>
          <cell r="E28" t="str">
            <v>m3</v>
          </cell>
          <cell r="F28">
            <v>20.910000000000004</v>
          </cell>
          <cell r="H28" t="str">
            <v/>
          </cell>
          <cell r="I28">
            <v>55862</v>
          </cell>
        </row>
        <row r="29">
          <cell r="C29" t="str">
            <v>I. EQUIPO Y HERRAMIENTA</v>
          </cell>
          <cell r="I29">
            <v>326.77500000000003</v>
          </cell>
        </row>
        <row r="30">
          <cell r="C30" t="str">
            <v>HTAMNR</v>
          </cell>
          <cell r="D30" t="str">
            <v>Herramienta y equipo menor</v>
          </cell>
          <cell r="E30" t="str">
            <v>%</v>
          </cell>
          <cell r="G30">
            <v>0.05</v>
          </cell>
          <cell r="H30">
            <v>6535.5</v>
          </cell>
          <cell r="I30">
            <v>326.77500000000003</v>
          </cell>
        </row>
        <row r="31">
          <cell r="C31" t="str">
            <v>II. MATERIALES</v>
          </cell>
          <cell r="I31">
            <v>19000</v>
          </cell>
        </row>
        <row r="32">
          <cell r="C32" t="str">
            <v>MAT1280</v>
          </cell>
          <cell r="D32" t="str">
            <v>Saco de fibra</v>
          </cell>
          <cell r="E32" t="str">
            <v>un</v>
          </cell>
          <cell r="F32">
            <v>20</v>
          </cell>
          <cell r="H32">
            <v>950</v>
          </cell>
          <cell r="I32">
            <v>19000</v>
          </cell>
        </row>
        <row r="33">
          <cell r="C33" t="str">
            <v>III. TRANSPORTES</v>
          </cell>
          <cell r="F33" t="str">
            <v>Km</v>
          </cell>
          <cell r="G33" t="str">
            <v>PESO</v>
          </cell>
          <cell r="H33" t="str">
            <v>T/KM</v>
          </cell>
          <cell r="I33">
            <v>30000</v>
          </cell>
        </row>
        <row r="34">
          <cell r="C34" t="str">
            <v>TR1050</v>
          </cell>
          <cell r="D34" t="str">
            <v>Transporte de materiales en motocarguero</v>
          </cell>
          <cell r="E34" t="str">
            <v>viaje</v>
          </cell>
          <cell r="F34">
            <v>0.5</v>
          </cell>
          <cell r="H34">
            <v>60000</v>
          </cell>
          <cell r="I34">
            <v>30000</v>
          </cell>
        </row>
        <row r="35">
          <cell r="C35" t="str">
            <v>IV. MANO DE OBRA</v>
          </cell>
          <cell r="I35">
            <v>6535.5</v>
          </cell>
        </row>
        <row r="36">
          <cell r="C36" t="str">
            <v>MOAYUDR</v>
          </cell>
          <cell r="D36" t="str">
            <v>Mo ayudante raso</v>
          </cell>
          <cell r="E36" t="str">
            <v>día</v>
          </cell>
          <cell r="F36">
            <v>0.1</v>
          </cell>
          <cell r="H36">
            <v>65355</v>
          </cell>
          <cell r="I36">
            <v>6535.5</v>
          </cell>
        </row>
        <row r="37">
          <cell r="C37" t="str">
            <v>3.</v>
          </cell>
          <cell r="D37" t="str">
            <v>ELEMENTOS ESTRUCTURALES</v>
          </cell>
          <cell r="E37" t="str">
            <v/>
          </cell>
          <cell r="H37" t="str">
            <v/>
          </cell>
          <cell r="I37" t="str">
            <v/>
          </cell>
        </row>
        <row r="38">
          <cell r="C38" t="str">
            <v>3.1</v>
          </cell>
          <cell r="D38" t="str">
            <v>Vaciado de viga de fundación en concreto de 21MPa a nivel de cimentación, de sección 0.25x0.20m. Incluye formaleta, equipo y todo lo necesario para su correcta colocación y funcionamiento.</v>
          </cell>
          <cell r="E38" t="str">
            <v>m</v>
          </cell>
          <cell r="F38">
            <v>20.399999999999999</v>
          </cell>
          <cell r="H38" t="str">
            <v/>
          </cell>
          <cell r="I38">
            <v>49310</v>
          </cell>
        </row>
        <row r="39">
          <cell r="C39" t="str">
            <v>I. EQUIPO Y HERRAMIENTA</v>
          </cell>
          <cell r="I39">
            <v>836.0095</v>
          </cell>
        </row>
        <row r="40">
          <cell r="C40" t="str">
            <v>HTAMNR</v>
          </cell>
          <cell r="D40" t="str">
            <v>Herramienta y equipo menor</v>
          </cell>
          <cell r="E40" t="str">
            <v>%</v>
          </cell>
          <cell r="G40">
            <v>0.05</v>
          </cell>
          <cell r="H40">
            <v>12120.19</v>
          </cell>
          <cell r="I40">
            <v>606.0095</v>
          </cell>
        </row>
        <row r="41">
          <cell r="C41" t="str">
            <v>EQ1220</v>
          </cell>
          <cell r="D41" t="str">
            <v>Vibrador a gasolina</v>
          </cell>
          <cell r="E41" t="str">
            <v>día</v>
          </cell>
          <cell r="F41">
            <v>0.01</v>
          </cell>
          <cell r="H41">
            <v>23000</v>
          </cell>
          <cell r="I41">
            <v>230</v>
          </cell>
        </row>
        <row r="42">
          <cell r="C42" t="str">
            <v>II. MATERIALES</v>
          </cell>
          <cell r="I42">
            <v>25823.595000000001</v>
          </cell>
        </row>
        <row r="43">
          <cell r="C43" t="str">
            <v>CT210KG</v>
          </cell>
          <cell r="D43" t="str">
            <v>Concreto 210kg/cm² 1:2:3</v>
          </cell>
          <cell r="E43" t="str">
            <v>m3</v>
          </cell>
          <cell r="F43">
            <v>0.05</v>
          </cell>
          <cell r="G43">
            <v>0.05</v>
          </cell>
          <cell r="H43">
            <v>491878</v>
          </cell>
          <cell r="I43">
            <v>25823.595000000001</v>
          </cell>
        </row>
        <row r="44">
          <cell r="C44" t="str">
            <v>III. TRANSPORTES</v>
          </cell>
          <cell r="F44" t="str">
            <v>Km</v>
          </cell>
          <cell r="G44" t="str">
            <v>PESO</v>
          </cell>
          <cell r="H44" t="str">
            <v>T/KM</v>
          </cell>
          <cell r="I44">
            <v>10530</v>
          </cell>
        </row>
        <row r="45">
          <cell r="C45" t="str">
            <v>TR1070</v>
          </cell>
          <cell r="D45" t="str">
            <v xml:space="preserve">Transporte de materiales varios </v>
          </cell>
          <cell r="E45" t="str">
            <v>T/km</v>
          </cell>
          <cell r="F45">
            <v>130</v>
          </cell>
          <cell r="G45">
            <v>0.12000000000000001</v>
          </cell>
          <cell r="H45">
            <v>675</v>
          </cell>
          <cell r="I45">
            <v>10530</v>
          </cell>
        </row>
        <row r="46">
          <cell r="C46" t="str">
            <v>IV. MANO DE OBRA</v>
          </cell>
          <cell r="I46">
            <v>12120.19</v>
          </cell>
        </row>
        <row r="47">
          <cell r="C47" t="str">
            <v>MOFICIAL</v>
          </cell>
          <cell r="D47" t="str">
            <v>Mo oficial</v>
          </cell>
          <cell r="E47" t="str">
            <v>día</v>
          </cell>
          <cell r="F47">
            <v>7.0000000000000007E-2</v>
          </cell>
          <cell r="H47">
            <v>117127</v>
          </cell>
          <cell r="I47">
            <v>8198.8900000000012</v>
          </cell>
        </row>
        <row r="48">
          <cell r="C48" t="str">
            <v>MOAYUDR</v>
          </cell>
          <cell r="D48" t="str">
            <v>Mo ayudante raso</v>
          </cell>
          <cell r="E48" t="str">
            <v>día</v>
          </cell>
          <cell r="F48">
            <v>0.06</v>
          </cell>
          <cell r="H48">
            <v>65355</v>
          </cell>
          <cell r="I48">
            <v>3921.2999999999997</v>
          </cell>
        </row>
        <row r="49">
          <cell r="C49" t="str">
            <v>3.2</v>
          </cell>
          <cell r="D49" t="str">
            <v>Vaciado de viga de amarre superior en concreto a la vista de 21MPa sobre mampostería de sección 0.10x0.20m. Incluye formaleta, equipo y todo lo necesario para su correcta colocación y funcionamiento.</v>
          </cell>
          <cell r="E49" t="str">
            <v>m</v>
          </cell>
          <cell r="F49">
            <v>28.880000000000003</v>
          </cell>
          <cell r="H49" t="str">
            <v/>
          </cell>
          <cell r="I49">
            <v>37577</v>
          </cell>
        </row>
        <row r="50">
          <cell r="C50" t="str">
            <v>I. EQUIPO Y HERRAMIENTA</v>
          </cell>
          <cell r="I50">
            <v>1587.2505000000001</v>
          </cell>
        </row>
        <row r="51">
          <cell r="C51" t="str">
            <v>HTAMNR</v>
          </cell>
          <cell r="D51" t="str">
            <v>Herramienta y equipo menor</v>
          </cell>
          <cell r="E51" t="str">
            <v>%</v>
          </cell>
          <cell r="G51">
            <v>0.05</v>
          </cell>
          <cell r="H51">
            <v>13945.01</v>
          </cell>
          <cell r="I51">
            <v>697.2505000000001</v>
          </cell>
        </row>
        <row r="52">
          <cell r="C52" t="str">
            <v>EQ1220</v>
          </cell>
          <cell r="D52" t="str">
            <v>Vibrador a gasolina</v>
          </cell>
          <cell r="E52" t="str">
            <v>día</v>
          </cell>
          <cell r="F52">
            <v>0.01</v>
          </cell>
          <cell r="H52">
            <v>23000</v>
          </cell>
          <cell r="I52">
            <v>230</v>
          </cell>
        </row>
        <row r="53">
          <cell r="C53" t="str">
            <v>MAT1290</v>
          </cell>
          <cell r="D53" t="str">
            <v>Sección completa andamio 1.20x1.50m</v>
          </cell>
          <cell r="E53" t="str">
            <v>día</v>
          </cell>
          <cell r="F53">
            <v>0.6</v>
          </cell>
          <cell r="H53">
            <v>1100</v>
          </cell>
          <cell r="I53">
            <v>660</v>
          </cell>
        </row>
        <row r="54">
          <cell r="C54" t="str">
            <v>II. MATERIALES</v>
          </cell>
          <cell r="I54">
            <v>17676.438000000002</v>
          </cell>
        </row>
        <row r="55">
          <cell r="C55" t="str">
            <v>CT210KG</v>
          </cell>
          <cell r="D55" t="str">
            <v>Concreto 210kg/cm² 1:2:3</v>
          </cell>
          <cell r="E55" t="str">
            <v>m3</v>
          </cell>
          <cell r="F55">
            <v>0.02</v>
          </cell>
          <cell r="G55">
            <v>0.05</v>
          </cell>
          <cell r="H55">
            <v>491878</v>
          </cell>
          <cell r="I55">
            <v>10329.438</v>
          </cell>
        </row>
        <row r="56">
          <cell r="C56" t="str">
            <v>MAT1170</v>
          </cell>
          <cell r="D56" t="str">
            <v>Liston 2" x 2" x 3 m</v>
          </cell>
          <cell r="E56" t="str">
            <v>un</v>
          </cell>
          <cell r="F56">
            <v>0.25</v>
          </cell>
          <cell r="H56">
            <v>9500</v>
          </cell>
          <cell r="I56">
            <v>2375</v>
          </cell>
        </row>
        <row r="57">
          <cell r="C57" t="str">
            <v>MAT1095</v>
          </cell>
          <cell r="D57" t="str">
            <v>Clavo común 37.5 a 100 mm</v>
          </cell>
          <cell r="E57" t="str">
            <v>lb</v>
          </cell>
          <cell r="F57">
            <v>0.05</v>
          </cell>
          <cell r="H57">
            <v>3800</v>
          </cell>
          <cell r="I57">
            <v>190</v>
          </cell>
        </row>
        <row r="58">
          <cell r="C58" t="str">
            <v>MAT1300</v>
          </cell>
          <cell r="D58" t="str">
            <v>Formaleta Supert 15mm 183X244.</v>
          </cell>
          <cell r="E58" t="str">
            <v>m2</v>
          </cell>
          <cell r="F58">
            <v>0.1</v>
          </cell>
          <cell r="H58">
            <v>45720</v>
          </cell>
          <cell r="I58">
            <v>4572</v>
          </cell>
        </row>
        <row r="59">
          <cell r="C59" t="str">
            <v>AD1220</v>
          </cell>
          <cell r="D59" t="str">
            <v>Separol - N (20K) o similar</v>
          </cell>
          <cell r="E59" t="str">
            <v>kg</v>
          </cell>
          <cell r="F59">
            <v>1.2E-2</v>
          </cell>
          <cell r="H59">
            <v>17500</v>
          </cell>
          <cell r="I59">
            <v>210</v>
          </cell>
        </row>
        <row r="60">
          <cell r="C60" t="str">
            <v>III. TRANSPORTES</v>
          </cell>
          <cell r="F60" t="str">
            <v>Km</v>
          </cell>
          <cell r="G60" t="str">
            <v>PESO</v>
          </cell>
          <cell r="H60" t="str">
            <v>T/KM</v>
          </cell>
          <cell r="I60">
            <v>4368.7157065976889</v>
          </cell>
        </row>
        <row r="61">
          <cell r="C61" t="str">
            <v>TR1070</v>
          </cell>
          <cell r="D61" t="str">
            <v xml:space="preserve">Transporte de materiales varios </v>
          </cell>
          <cell r="E61" t="str">
            <v>T/km</v>
          </cell>
          <cell r="F61">
            <v>130</v>
          </cell>
          <cell r="G61">
            <v>4.9785933978321241E-2</v>
          </cell>
          <cell r="H61">
            <v>675</v>
          </cell>
          <cell r="I61">
            <v>4368.7157065976889</v>
          </cell>
        </row>
        <row r="62">
          <cell r="C62" t="str">
            <v>IV. MANO DE OBRA</v>
          </cell>
          <cell r="I62">
            <v>13945.01</v>
          </cell>
        </row>
        <row r="63">
          <cell r="C63" t="str">
            <v>MOFICIAL</v>
          </cell>
          <cell r="D63" t="str">
            <v>Mo oficial</v>
          </cell>
          <cell r="E63" t="str">
            <v>día</v>
          </cell>
          <cell r="F63">
            <v>0.08</v>
          </cell>
          <cell r="H63">
            <v>117127</v>
          </cell>
          <cell r="I63">
            <v>9370.16</v>
          </cell>
        </row>
        <row r="64">
          <cell r="C64" t="str">
            <v>MOAYUDR</v>
          </cell>
          <cell r="D64" t="str">
            <v>Mo ayudante raso</v>
          </cell>
          <cell r="E64" t="str">
            <v>día</v>
          </cell>
          <cell r="F64">
            <v>7.0000000000000007E-2</v>
          </cell>
          <cell r="H64">
            <v>65355</v>
          </cell>
          <cell r="I64">
            <v>4574.8500000000004</v>
          </cell>
        </row>
        <row r="65">
          <cell r="C65" t="str">
            <v>3.3</v>
          </cell>
          <cell r="D65" t="str">
            <v>Vaciado de viga cinta en concreto a la vista de 21MPa sobre mampostería de sección 0.10x0.10m. Incluye formaleta, equipo y todo lo necesario para su correcta colocación y funcionamiento.</v>
          </cell>
          <cell r="E65" t="str">
            <v>m</v>
          </cell>
          <cell r="F65">
            <v>22.3</v>
          </cell>
          <cell r="H65" t="str">
            <v/>
          </cell>
          <cell r="I65">
            <v>28188</v>
          </cell>
        </row>
        <row r="66">
          <cell r="C66" t="str">
            <v>I. EQUIPO Y HERRAMIENTA</v>
          </cell>
          <cell r="I66">
            <v>1528.6870000000001</v>
          </cell>
        </row>
        <row r="67">
          <cell r="C67" t="str">
            <v>HTAMNR</v>
          </cell>
          <cell r="D67" t="str">
            <v>Herramienta y equipo menor</v>
          </cell>
          <cell r="E67" t="str">
            <v>%</v>
          </cell>
          <cell r="G67">
            <v>0.05</v>
          </cell>
          <cell r="H67">
            <v>12773.740000000002</v>
          </cell>
          <cell r="I67">
            <v>638.68700000000013</v>
          </cell>
        </row>
        <row r="68">
          <cell r="C68" t="str">
            <v>EQ1220</v>
          </cell>
          <cell r="D68" t="str">
            <v>Vibrador a gasolina</v>
          </cell>
          <cell r="E68" t="str">
            <v>día</v>
          </cell>
          <cell r="F68">
            <v>0.01</v>
          </cell>
          <cell r="H68">
            <v>23000</v>
          </cell>
          <cell r="I68">
            <v>230</v>
          </cell>
        </row>
        <row r="69">
          <cell r="C69" t="str">
            <v>MAT1290</v>
          </cell>
          <cell r="D69" t="str">
            <v>Sección completa andamio 1.20x1.50m</v>
          </cell>
          <cell r="E69" t="str">
            <v>día</v>
          </cell>
          <cell r="F69">
            <v>0.6</v>
          </cell>
          <cell r="H69">
            <v>1100</v>
          </cell>
          <cell r="I69">
            <v>660</v>
          </cell>
        </row>
        <row r="70">
          <cell r="C70" t="str">
            <v>II. MATERIALES</v>
          </cell>
          <cell r="I70">
            <v>11258.6628</v>
          </cell>
        </row>
        <row r="71">
          <cell r="C71" t="str">
            <v>CT210KG</v>
          </cell>
          <cell r="D71" t="str">
            <v>Concreto 210kg/cm² 1:2:3</v>
          </cell>
          <cell r="E71" t="str">
            <v>m3</v>
          </cell>
          <cell r="F71">
            <v>1.2E-2</v>
          </cell>
          <cell r="G71">
            <v>0.05</v>
          </cell>
          <cell r="H71">
            <v>491878</v>
          </cell>
          <cell r="I71">
            <v>6197.6628000000001</v>
          </cell>
        </row>
        <row r="72">
          <cell r="C72" t="str">
            <v>MAT1170</v>
          </cell>
          <cell r="D72" t="str">
            <v>Liston 2" x 2" x 3 m</v>
          </cell>
          <cell r="E72" t="str">
            <v>un</v>
          </cell>
          <cell r="F72">
            <v>0.25</v>
          </cell>
          <cell r="H72">
            <v>9500</v>
          </cell>
          <cell r="I72">
            <v>2375</v>
          </cell>
        </row>
        <row r="73">
          <cell r="C73" t="str">
            <v>MAT1095</v>
          </cell>
          <cell r="D73" t="str">
            <v>Clavo común 37.5 a 100 mm</v>
          </cell>
          <cell r="E73" t="str">
            <v>lb</v>
          </cell>
          <cell r="F73">
            <v>0.05</v>
          </cell>
          <cell r="H73">
            <v>3800</v>
          </cell>
          <cell r="I73">
            <v>190</v>
          </cell>
        </row>
        <row r="74">
          <cell r="C74" t="str">
            <v>MAT1300</v>
          </cell>
          <cell r="D74" t="str">
            <v>Formaleta Supert 15mm 183X244.</v>
          </cell>
          <cell r="E74" t="str">
            <v>m2</v>
          </cell>
          <cell r="F74">
            <v>0.05</v>
          </cell>
          <cell r="H74">
            <v>45720</v>
          </cell>
          <cell r="I74">
            <v>2286</v>
          </cell>
        </row>
        <row r="75">
          <cell r="C75" t="str">
            <v>AD1220</v>
          </cell>
          <cell r="D75" t="str">
            <v>Separol - N (20K) o similar</v>
          </cell>
          <cell r="E75" t="str">
            <v>kg</v>
          </cell>
          <cell r="F75">
            <v>1.2E-2</v>
          </cell>
          <cell r="H75">
            <v>17500</v>
          </cell>
          <cell r="I75">
            <v>210</v>
          </cell>
        </row>
        <row r="76">
          <cell r="C76" t="str">
            <v>III. TRANSPORTES</v>
          </cell>
          <cell r="F76" t="str">
            <v>Km</v>
          </cell>
          <cell r="G76" t="str">
            <v>PESO</v>
          </cell>
          <cell r="H76" t="str">
            <v>T/KM</v>
          </cell>
          <cell r="I76">
            <v>2626.9249782988445</v>
          </cell>
        </row>
        <row r="77">
          <cell r="C77" t="str">
            <v>TR1070</v>
          </cell>
          <cell r="D77" t="str">
            <v xml:space="preserve">Transporte de materiales varios </v>
          </cell>
          <cell r="E77" t="str">
            <v>T/km</v>
          </cell>
          <cell r="F77">
            <v>130</v>
          </cell>
          <cell r="G77">
            <v>2.993646698916062E-2</v>
          </cell>
          <cell r="H77">
            <v>675</v>
          </cell>
          <cell r="I77">
            <v>2626.9249782988445</v>
          </cell>
        </row>
        <row r="78">
          <cell r="C78" t="str">
            <v>IV. MANO DE OBRA</v>
          </cell>
          <cell r="I78">
            <v>12773.740000000002</v>
          </cell>
        </row>
        <row r="79">
          <cell r="C79" t="str">
            <v>MOFICIAL</v>
          </cell>
          <cell r="D79" t="str">
            <v>Mo oficial</v>
          </cell>
          <cell r="E79" t="str">
            <v>día</v>
          </cell>
          <cell r="F79">
            <v>7.0000000000000007E-2</v>
          </cell>
          <cell r="H79">
            <v>117127</v>
          </cell>
          <cell r="I79">
            <v>8198.8900000000012</v>
          </cell>
        </row>
        <row r="80">
          <cell r="C80" t="str">
            <v>MOAYUDR</v>
          </cell>
          <cell r="D80" t="str">
            <v>Mo ayudante raso</v>
          </cell>
          <cell r="E80" t="str">
            <v>día</v>
          </cell>
          <cell r="F80">
            <v>7.0000000000000007E-2</v>
          </cell>
          <cell r="H80">
            <v>65355</v>
          </cell>
          <cell r="I80">
            <v>4574.8500000000004</v>
          </cell>
        </row>
        <row r="81">
          <cell r="C81" t="str">
            <v>3.3</v>
          </cell>
          <cell r="D81" t="str">
            <v>Vaciado de viga cinta en concreto a la vista de 21MPa sobre mampostería de sección 0.10x0.10m. Incluye formaleta, equipo y todo lo necesario para su correcta colocación y funcionamiento.</v>
          </cell>
          <cell r="E81" t="str">
            <v>m</v>
          </cell>
          <cell r="F81">
            <v>22.3</v>
          </cell>
          <cell r="H81" t="str">
            <v/>
          </cell>
          <cell r="I81">
            <v>39256</v>
          </cell>
        </row>
        <row r="82">
          <cell r="C82" t="str">
            <v>I. EQUIPO Y HERRAMIENTA</v>
          </cell>
          <cell r="I82">
            <v>1528.6870000000001</v>
          </cell>
        </row>
        <row r="83">
          <cell r="C83" t="str">
            <v>HTAMNR</v>
          </cell>
          <cell r="D83" t="str">
            <v>Herramienta y equipo menor</v>
          </cell>
          <cell r="E83" t="str">
            <v>%</v>
          </cell>
          <cell r="G83">
            <v>0.05</v>
          </cell>
          <cell r="H83">
            <v>12773.740000000002</v>
          </cell>
          <cell r="I83">
            <v>638.68700000000013</v>
          </cell>
        </row>
        <row r="84">
          <cell r="C84" t="str">
            <v>EQ1220</v>
          </cell>
          <cell r="D84" t="str">
            <v>Vibrador a gasolina</v>
          </cell>
          <cell r="E84" t="str">
            <v>día</v>
          </cell>
          <cell r="F84">
            <v>0.01</v>
          </cell>
          <cell r="H84">
            <v>23000</v>
          </cell>
          <cell r="I84">
            <v>230</v>
          </cell>
        </row>
        <row r="85">
          <cell r="C85" t="str">
            <v>MAT1290</v>
          </cell>
          <cell r="D85" t="str">
            <v>Sección completa andamio 1.20x1.50m</v>
          </cell>
          <cell r="E85" t="str">
            <v>día</v>
          </cell>
          <cell r="F85">
            <v>0.6</v>
          </cell>
          <cell r="H85">
            <v>1100</v>
          </cell>
          <cell r="I85">
            <v>660</v>
          </cell>
        </row>
        <row r="86">
          <cell r="C86" t="str">
            <v>II. MATERIALES</v>
          </cell>
          <cell r="I86">
            <v>19742.3256</v>
          </cell>
        </row>
        <row r="87">
          <cell r="C87" t="str">
            <v>CT210KG</v>
          </cell>
          <cell r="D87" t="str">
            <v>Concreto 210kg/cm² 1:2:3</v>
          </cell>
          <cell r="E87" t="str">
            <v>m3</v>
          </cell>
          <cell r="F87">
            <v>2.4E-2</v>
          </cell>
          <cell r="G87">
            <v>0.05</v>
          </cell>
          <cell r="H87">
            <v>491878</v>
          </cell>
          <cell r="I87">
            <v>12395.3256</v>
          </cell>
        </row>
        <row r="88">
          <cell r="C88" t="str">
            <v>MAT1170</v>
          </cell>
          <cell r="D88" t="str">
            <v>Liston 2" x 2" x 3 m</v>
          </cell>
          <cell r="E88" t="str">
            <v>un</v>
          </cell>
          <cell r="F88">
            <v>0.25</v>
          </cell>
          <cell r="H88">
            <v>9500</v>
          </cell>
          <cell r="I88">
            <v>2375</v>
          </cell>
        </row>
        <row r="89">
          <cell r="C89" t="str">
            <v>MAT1095</v>
          </cell>
          <cell r="D89" t="str">
            <v>Clavo común 37.5 a 100 mm</v>
          </cell>
          <cell r="E89" t="str">
            <v>lb</v>
          </cell>
          <cell r="F89">
            <v>0.05</v>
          </cell>
          <cell r="H89">
            <v>3800</v>
          </cell>
          <cell r="I89">
            <v>190</v>
          </cell>
        </row>
        <row r="90">
          <cell r="C90" t="str">
            <v>MAT1300</v>
          </cell>
          <cell r="D90" t="str">
            <v>Formaleta Supert 15mm 183X244.</v>
          </cell>
          <cell r="E90" t="str">
            <v>m2</v>
          </cell>
          <cell r="F90">
            <v>0.1</v>
          </cell>
          <cell r="H90">
            <v>45720</v>
          </cell>
          <cell r="I90">
            <v>4572</v>
          </cell>
        </row>
        <row r="91">
          <cell r="C91" t="str">
            <v>AD1220</v>
          </cell>
          <cell r="D91" t="str">
            <v>Separol - N (20K) o similar</v>
          </cell>
          <cell r="E91" t="str">
            <v>kg</v>
          </cell>
          <cell r="F91">
            <v>1.2E-2</v>
          </cell>
          <cell r="H91">
            <v>17500</v>
          </cell>
          <cell r="I91">
            <v>210</v>
          </cell>
        </row>
        <row r="92">
          <cell r="C92" t="str">
            <v>III. TRANSPORTES</v>
          </cell>
          <cell r="F92" t="str">
            <v>Km</v>
          </cell>
          <cell r="G92" t="str">
            <v>PESO</v>
          </cell>
          <cell r="H92" t="str">
            <v>T/KM</v>
          </cell>
          <cell r="I92">
            <v>5211.1157065976877</v>
          </cell>
        </row>
        <row r="93">
          <cell r="C93" t="str">
            <v>TR1070</v>
          </cell>
          <cell r="D93" t="str">
            <v xml:space="preserve">Transporte de materiales varios </v>
          </cell>
          <cell r="E93" t="str">
            <v>T/km</v>
          </cell>
          <cell r="F93">
            <v>130</v>
          </cell>
          <cell r="G93">
            <v>5.9385933978321231E-2</v>
          </cell>
          <cell r="H93">
            <v>675</v>
          </cell>
          <cell r="I93">
            <v>5211.1157065976877</v>
          </cell>
        </row>
        <row r="94">
          <cell r="C94" t="str">
            <v>IV. MANO DE OBRA</v>
          </cell>
          <cell r="I94">
            <v>12773.740000000002</v>
          </cell>
        </row>
        <row r="95">
          <cell r="C95" t="str">
            <v>MOFICIAL</v>
          </cell>
          <cell r="D95" t="str">
            <v>Mo oficial</v>
          </cell>
          <cell r="E95" t="str">
            <v>día</v>
          </cell>
          <cell r="F95">
            <v>7.0000000000000007E-2</v>
          </cell>
          <cell r="H95">
            <v>117127</v>
          </cell>
          <cell r="I95">
            <v>8198.8900000000012</v>
          </cell>
        </row>
        <row r="96">
          <cell r="C96" t="str">
            <v>MOAYUDR</v>
          </cell>
          <cell r="D96" t="str">
            <v>Mo ayudante raso</v>
          </cell>
          <cell r="E96" t="str">
            <v>día</v>
          </cell>
          <cell r="F96">
            <v>7.0000000000000007E-2</v>
          </cell>
          <cell r="H96">
            <v>65355</v>
          </cell>
          <cell r="I96">
            <v>4574.8500000000004</v>
          </cell>
        </row>
        <row r="97">
          <cell r="C97" t="str">
            <v>3.4</v>
          </cell>
          <cell r="D97" t="str">
            <v>Dado en concreto de 21mpa 0.10x0.10x0.20m. para anclaje de columna de madera. Incluye formaleta, equipo y todo lo necesario para su correcta colocación y funcionamiento</v>
          </cell>
          <cell r="E97" t="str">
            <v>Un</v>
          </cell>
          <cell r="F97">
            <v>2</v>
          </cell>
          <cell r="H97" t="str">
            <v/>
          </cell>
          <cell r="I97">
            <v>14721</v>
          </cell>
        </row>
        <row r="98">
          <cell r="C98" t="str">
            <v>I. EQUIPO Y HERRAMIENTA</v>
          </cell>
          <cell r="I98">
            <v>777.44600000000003</v>
          </cell>
        </row>
        <row r="99">
          <cell r="C99" t="str">
            <v>HTAMNR</v>
          </cell>
          <cell r="D99" t="str">
            <v>Herramienta y equipo menor</v>
          </cell>
          <cell r="E99" t="str">
            <v>%</v>
          </cell>
          <cell r="G99">
            <v>0.05</v>
          </cell>
          <cell r="H99">
            <v>10948.92</v>
          </cell>
          <cell r="I99">
            <v>547.44600000000003</v>
          </cell>
        </row>
        <row r="100">
          <cell r="C100" t="str">
            <v>EQ1220</v>
          </cell>
          <cell r="D100" t="str">
            <v>Vibrador a gasolina</v>
          </cell>
          <cell r="E100" t="str">
            <v>día</v>
          </cell>
          <cell r="F100">
            <v>0.01</v>
          </cell>
          <cell r="H100">
            <v>23000</v>
          </cell>
          <cell r="I100">
            <v>230</v>
          </cell>
        </row>
        <row r="101">
          <cell r="C101" t="str">
            <v>II. MATERIALES</v>
          </cell>
          <cell r="I101">
            <v>2525.9438000000005</v>
          </cell>
        </row>
        <row r="102">
          <cell r="C102" t="str">
            <v>CT210KG</v>
          </cell>
          <cell r="D102" t="str">
            <v>Concreto 210kg/cm² 1:2:3</v>
          </cell>
          <cell r="E102" t="str">
            <v>m3</v>
          </cell>
          <cell r="F102">
            <v>2.0000000000000005E-3</v>
          </cell>
          <cell r="G102">
            <v>0.05</v>
          </cell>
          <cell r="H102">
            <v>491878</v>
          </cell>
          <cell r="I102">
            <v>1032.9438000000005</v>
          </cell>
        </row>
        <row r="103">
          <cell r="C103" t="str">
            <v>MAT1095</v>
          </cell>
          <cell r="D103" t="str">
            <v>Clavo común 37.5 a 100 mm</v>
          </cell>
          <cell r="E103" t="str">
            <v>lb</v>
          </cell>
          <cell r="F103">
            <v>0.01</v>
          </cell>
          <cell r="H103">
            <v>3800</v>
          </cell>
          <cell r="I103">
            <v>38</v>
          </cell>
        </row>
        <row r="104">
          <cell r="C104" t="str">
            <v>MAT1295</v>
          </cell>
          <cell r="D104" t="str">
            <v>Tabla madera común 1x8" 3m</v>
          </cell>
          <cell r="E104" t="str">
            <v>un</v>
          </cell>
          <cell r="F104">
            <v>0.1</v>
          </cell>
          <cell r="H104">
            <v>9800</v>
          </cell>
          <cell r="I104">
            <v>980</v>
          </cell>
        </row>
        <row r="105">
          <cell r="C105" t="str">
            <v>MAT1170</v>
          </cell>
          <cell r="D105" t="str">
            <v>Liston 2" x 2" x 3 m</v>
          </cell>
          <cell r="E105" t="str">
            <v>un</v>
          </cell>
          <cell r="F105">
            <v>0.05</v>
          </cell>
          <cell r="H105">
            <v>9500</v>
          </cell>
          <cell r="I105">
            <v>475</v>
          </cell>
        </row>
        <row r="106">
          <cell r="C106" t="str">
            <v>III. TRANSPORTES</v>
          </cell>
          <cell r="F106" t="str">
            <v>Km</v>
          </cell>
          <cell r="G106" t="str">
            <v>PESO</v>
          </cell>
          <cell r="H106" t="str">
            <v>T/KM</v>
          </cell>
          <cell r="I106">
            <v>469.02375000000006</v>
          </cell>
        </row>
        <row r="107">
          <cell r="C107" t="str">
            <v>TR1070</v>
          </cell>
          <cell r="D107" t="str">
            <v xml:space="preserve">Transporte de materiales varios </v>
          </cell>
          <cell r="E107" t="str">
            <v>T/km</v>
          </cell>
          <cell r="F107">
            <v>130</v>
          </cell>
          <cell r="G107">
            <v>5.3450000000000008E-3</v>
          </cell>
          <cell r="H107">
            <v>675</v>
          </cell>
          <cell r="I107">
            <v>469.02375000000006</v>
          </cell>
        </row>
        <row r="108">
          <cell r="C108" t="str">
            <v>IV. MANO DE OBRA</v>
          </cell>
          <cell r="I108">
            <v>10948.92</v>
          </cell>
        </row>
        <row r="109">
          <cell r="C109" t="str">
            <v>MOFICIAL</v>
          </cell>
          <cell r="D109" t="str">
            <v>Mo oficial</v>
          </cell>
          <cell r="E109" t="str">
            <v>día</v>
          </cell>
          <cell r="F109">
            <v>0.06</v>
          </cell>
          <cell r="H109">
            <v>117127</v>
          </cell>
          <cell r="I109">
            <v>7027.62</v>
          </cell>
        </row>
        <row r="110">
          <cell r="C110" t="str">
            <v>MOAYUDR</v>
          </cell>
          <cell r="D110" t="str">
            <v>Mo ayudante raso</v>
          </cell>
          <cell r="E110" t="str">
            <v>día</v>
          </cell>
          <cell r="F110">
            <v>0.06</v>
          </cell>
          <cell r="H110">
            <v>65355</v>
          </cell>
          <cell r="I110">
            <v>3921.2999999999997</v>
          </cell>
        </row>
        <row r="111">
          <cell r="C111" t="str">
            <v>3.4</v>
          </cell>
          <cell r="D111" t="str">
            <v>Dado en concreto de 21mpa 0.10x0.10x0.20m. para anclaje de columna de madera. Incluye formaleta, equipo y todo lo necesario para su correcta colocación y funcionamiento</v>
          </cell>
          <cell r="E111" t="str">
            <v>Un</v>
          </cell>
          <cell r="F111">
            <v>2</v>
          </cell>
          <cell r="H111" t="str">
            <v/>
          </cell>
          <cell r="I111">
            <v>120567</v>
          </cell>
        </row>
        <row r="112">
          <cell r="C112" t="str">
            <v>I. EQUIPO Y HERRAMIENTA</v>
          </cell>
          <cell r="I112">
            <v>1529.537</v>
          </cell>
        </row>
        <row r="113">
          <cell r="C113" t="str">
            <v>HTAMNR</v>
          </cell>
          <cell r="D113" t="str">
            <v>Herramienta y equipo menor</v>
          </cell>
          <cell r="E113" t="str">
            <v>%</v>
          </cell>
          <cell r="G113">
            <v>0.05</v>
          </cell>
          <cell r="H113">
            <v>20590.739999999998</v>
          </cell>
          <cell r="I113">
            <v>1029.537</v>
          </cell>
        </row>
        <row r="114">
          <cell r="C114" t="str">
            <v>EQ1010</v>
          </cell>
          <cell r="D114" t="str">
            <v>Vibrocompactador tipo rana</v>
          </cell>
          <cell r="E114" t="str">
            <v>día</v>
          </cell>
          <cell r="F114">
            <v>0.01</v>
          </cell>
          <cell r="H114">
            <v>27000</v>
          </cell>
          <cell r="I114">
            <v>270</v>
          </cell>
        </row>
        <row r="115">
          <cell r="C115" t="str">
            <v>EQ1220</v>
          </cell>
          <cell r="D115" t="str">
            <v>Vibrador a gasolina</v>
          </cell>
          <cell r="E115" t="str">
            <v>día</v>
          </cell>
          <cell r="F115">
            <v>0.01</v>
          </cell>
          <cell r="H115">
            <v>23000</v>
          </cell>
          <cell r="I115">
            <v>230</v>
          </cell>
        </row>
        <row r="116">
          <cell r="C116" t="str">
            <v>II. MATERIALES</v>
          </cell>
          <cell r="I116">
            <v>62079.670000000006</v>
          </cell>
        </row>
        <row r="117">
          <cell r="C117" t="str">
            <v>CT210KG</v>
          </cell>
          <cell r="D117" t="str">
            <v>Concreto 210kg/cm² 1:2:3</v>
          </cell>
          <cell r="E117" t="str">
            <v>m3</v>
          </cell>
          <cell r="F117">
            <v>0.1</v>
          </cell>
          <cell r="G117">
            <v>0.05</v>
          </cell>
          <cell r="H117">
            <v>491878</v>
          </cell>
          <cell r="I117">
            <v>51647.19</v>
          </cell>
        </row>
        <row r="118">
          <cell r="C118" t="str">
            <v>MAT1295</v>
          </cell>
          <cell r="D118" t="str">
            <v>Tabla madera común 1x8" 3m</v>
          </cell>
          <cell r="E118" t="str">
            <v>un</v>
          </cell>
          <cell r="F118">
            <v>2.5000000000000001E-2</v>
          </cell>
          <cell r="H118">
            <v>9800</v>
          </cell>
          <cell r="I118">
            <v>245</v>
          </cell>
        </row>
        <row r="119">
          <cell r="C119" t="str">
            <v>EL1140</v>
          </cell>
          <cell r="D119" t="str">
            <v>Polietileno negro</v>
          </cell>
          <cell r="E119" t="str">
            <v>m2</v>
          </cell>
          <cell r="F119">
            <v>1</v>
          </cell>
          <cell r="H119">
            <v>2050</v>
          </cell>
          <cell r="I119">
            <v>2050</v>
          </cell>
        </row>
        <row r="120">
          <cell r="C120" t="str">
            <v>MAT1095</v>
          </cell>
          <cell r="D120" t="str">
            <v>Clavo común 37.5 a 100 mm</v>
          </cell>
          <cell r="E120" t="str">
            <v>lb</v>
          </cell>
          <cell r="F120">
            <v>0.05</v>
          </cell>
          <cell r="H120">
            <v>3800</v>
          </cell>
          <cell r="I120">
            <v>190</v>
          </cell>
        </row>
        <row r="121">
          <cell r="C121" t="str">
            <v>MAT1270</v>
          </cell>
          <cell r="D121" t="str">
            <v>Recebo B-200</v>
          </cell>
          <cell r="E121" t="str">
            <v>m3</v>
          </cell>
          <cell r="F121">
            <v>0.12000000000000001</v>
          </cell>
          <cell r="G121">
            <v>0.03</v>
          </cell>
          <cell r="H121">
            <v>64300</v>
          </cell>
          <cell r="I121">
            <v>7947.4800000000014</v>
          </cell>
        </row>
        <row r="122">
          <cell r="C122" t="str">
            <v>III. TRANSPORTES</v>
          </cell>
          <cell r="F122" t="str">
            <v>Km</v>
          </cell>
          <cell r="G122" t="str">
            <v>PESO</v>
          </cell>
          <cell r="H122" t="str">
            <v>T/KM</v>
          </cell>
          <cell r="I122">
            <v>36366.890625</v>
          </cell>
        </row>
        <row r="123">
          <cell r="C123" t="str">
            <v>TR1070</v>
          </cell>
          <cell r="D123" t="str">
            <v xml:space="preserve">Transporte de materiales varios </v>
          </cell>
          <cell r="E123" t="str">
            <v>T/km</v>
          </cell>
          <cell r="F123">
            <v>130</v>
          </cell>
          <cell r="G123">
            <v>0.41443750000000001</v>
          </cell>
          <cell r="H123">
            <v>675</v>
          </cell>
          <cell r="I123">
            <v>36366.890625</v>
          </cell>
        </row>
        <row r="124">
          <cell r="C124" t="str">
            <v>IV. MANO DE OBRA</v>
          </cell>
          <cell r="I124">
            <v>20590.739999999998</v>
          </cell>
        </row>
        <row r="125">
          <cell r="C125" t="str">
            <v>MOFICIAL</v>
          </cell>
          <cell r="D125" t="str">
            <v>Mo oficial</v>
          </cell>
          <cell r="E125" t="str">
            <v>día</v>
          </cell>
          <cell r="F125">
            <v>0.12</v>
          </cell>
          <cell r="H125">
            <v>117127</v>
          </cell>
          <cell r="I125">
            <v>14055.24</v>
          </cell>
        </row>
        <row r="126">
          <cell r="C126" t="str">
            <v>MOAYUDR</v>
          </cell>
          <cell r="D126" t="str">
            <v>Mo ayudante raso</v>
          </cell>
          <cell r="E126" t="str">
            <v>día</v>
          </cell>
          <cell r="F126">
            <v>0.1</v>
          </cell>
          <cell r="H126">
            <v>65355</v>
          </cell>
          <cell r="I126">
            <v>6535.5</v>
          </cell>
        </row>
        <row r="127">
          <cell r="C127" t="str">
            <v>3.5</v>
          </cell>
          <cell r="D127" t="str">
            <v>Construcción de piso en concreto de 21 MPA, acabado escobillado, e=10 cm, reforzado con malla electrosoldada D188. Incluye el concreto, la malla, formaletería, material de recebo b-200 e=10 cm, polietileno y todo lo necesario para su correcta instalación.</v>
          </cell>
          <cell r="E127" t="str">
            <v>m2</v>
          </cell>
          <cell r="F127">
            <v>17.759999999999998</v>
          </cell>
          <cell r="H127" t="str">
            <v/>
          </cell>
          <cell r="I127">
            <v>136511</v>
          </cell>
        </row>
        <row r="128">
          <cell r="C128" t="str">
            <v>I. EQUIPO Y HERRAMIENTA</v>
          </cell>
          <cell r="I128">
            <v>1529.537</v>
          </cell>
        </row>
        <row r="129">
          <cell r="C129" t="str">
            <v>HTAMNR</v>
          </cell>
          <cell r="D129" t="str">
            <v>Herramienta y equipo menor</v>
          </cell>
          <cell r="E129" t="str">
            <v>%</v>
          </cell>
          <cell r="G129">
            <v>0.05</v>
          </cell>
          <cell r="H129">
            <v>20590.739999999998</v>
          </cell>
          <cell r="I129">
            <v>1029.537</v>
          </cell>
        </row>
        <row r="130">
          <cell r="C130" t="str">
            <v>EQ1010</v>
          </cell>
          <cell r="D130" t="str">
            <v>Vibrocompactador tipo rana</v>
          </cell>
          <cell r="E130" t="str">
            <v>día</v>
          </cell>
          <cell r="F130">
            <v>0.01</v>
          </cell>
          <cell r="H130">
            <v>27000</v>
          </cell>
          <cell r="I130">
            <v>270</v>
          </cell>
        </row>
        <row r="131">
          <cell r="C131" t="str">
            <v>EQ1220</v>
          </cell>
          <cell r="D131" t="str">
            <v>Vibrador a gasolina</v>
          </cell>
          <cell r="E131" t="str">
            <v>día</v>
          </cell>
          <cell r="F131">
            <v>0.01</v>
          </cell>
          <cell r="H131">
            <v>23000</v>
          </cell>
          <cell r="I131">
            <v>230</v>
          </cell>
        </row>
        <row r="132">
          <cell r="C132" t="str">
            <v>II. MATERIALES</v>
          </cell>
          <cell r="I132">
            <v>77802.62</v>
          </cell>
        </row>
        <row r="133">
          <cell r="C133" t="str">
            <v>CT210KG</v>
          </cell>
          <cell r="D133" t="str">
            <v>Concreto 210kg/cm² 1:2:3</v>
          </cell>
          <cell r="E133" t="str">
            <v>m3</v>
          </cell>
          <cell r="F133">
            <v>0.1</v>
          </cell>
          <cell r="G133">
            <v>0.05</v>
          </cell>
          <cell r="H133">
            <v>491878</v>
          </cell>
          <cell r="I133">
            <v>51647.19</v>
          </cell>
        </row>
        <row r="134">
          <cell r="C134" t="str">
            <v>RF1130</v>
          </cell>
          <cell r="D134" t="str">
            <v>Malla electrosoldada D-188 (2,35m x 6m)</v>
          </cell>
          <cell r="E134" t="str">
            <v>un</v>
          </cell>
          <cell r="F134">
            <v>7.0999999999999994E-2</v>
          </cell>
          <cell r="G134">
            <v>0.03</v>
          </cell>
          <cell r="H134">
            <v>215000</v>
          </cell>
          <cell r="I134">
            <v>15722.95</v>
          </cell>
        </row>
        <row r="135">
          <cell r="C135" t="str">
            <v>EL1140</v>
          </cell>
          <cell r="D135" t="str">
            <v>Polietileno negro</v>
          </cell>
          <cell r="E135" t="str">
            <v>m2</v>
          </cell>
          <cell r="F135">
            <v>1</v>
          </cell>
          <cell r="H135">
            <v>2050</v>
          </cell>
          <cell r="I135">
            <v>2050</v>
          </cell>
        </row>
        <row r="136">
          <cell r="C136" t="str">
            <v>MAT1270</v>
          </cell>
          <cell r="D136" t="str">
            <v>Recebo B-200</v>
          </cell>
          <cell r="E136" t="str">
            <v>m3</v>
          </cell>
          <cell r="F136">
            <v>0.12</v>
          </cell>
          <cell r="G136">
            <v>0.03</v>
          </cell>
          <cell r="H136">
            <v>64300</v>
          </cell>
          <cell r="I136">
            <v>7947.4800000000005</v>
          </cell>
        </row>
        <row r="137">
          <cell r="C137" t="str">
            <v>MAT1295</v>
          </cell>
          <cell r="D137" t="str">
            <v>Tabla madera común 1x8" 3m</v>
          </cell>
          <cell r="E137" t="str">
            <v>un</v>
          </cell>
          <cell r="F137">
            <v>2.5000000000000001E-2</v>
          </cell>
          <cell r="H137">
            <v>9800</v>
          </cell>
          <cell r="I137">
            <v>245</v>
          </cell>
        </row>
        <row r="138">
          <cell r="C138" t="str">
            <v>MAT1095</v>
          </cell>
          <cell r="D138" t="str">
            <v>Clavo común 37.5 a 100 mm</v>
          </cell>
          <cell r="E138" t="str">
            <v>lb</v>
          </cell>
          <cell r="F138">
            <v>0.05</v>
          </cell>
          <cell r="H138">
            <v>3800</v>
          </cell>
          <cell r="I138">
            <v>190</v>
          </cell>
        </row>
        <row r="139">
          <cell r="C139" t="str">
            <v>III. TRANSPORTES</v>
          </cell>
          <cell r="F139" t="str">
            <v>Km</v>
          </cell>
          <cell r="G139" t="str">
            <v>PESO</v>
          </cell>
          <cell r="H139" t="str">
            <v>T/KM</v>
          </cell>
          <cell r="I139">
            <v>36588.064500000008</v>
          </cell>
        </row>
        <row r="140">
          <cell r="C140" t="str">
            <v>TR1070</v>
          </cell>
          <cell r="D140" t="str">
            <v xml:space="preserve">Transporte de materiales varios </v>
          </cell>
          <cell r="E140" t="str">
            <v>T/km</v>
          </cell>
          <cell r="F140">
            <v>130</v>
          </cell>
          <cell r="G140">
            <v>0.41695800000000005</v>
          </cell>
          <cell r="H140">
            <v>675</v>
          </cell>
          <cell r="I140">
            <v>36588.064500000008</v>
          </cell>
        </row>
        <row r="141">
          <cell r="C141" t="str">
            <v>IV. MANO DE OBRA</v>
          </cell>
          <cell r="I141">
            <v>20590.739999999998</v>
          </cell>
        </row>
        <row r="142">
          <cell r="C142" t="str">
            <v>MOFICIAL</v>
          </cell>
          <cell r="D142" t="str">
            <v>Mo oficial</v>
          </cell>
          <cell r="E142" t="str">
            <v>día</v>
          </cell>
          <cell r="F142">
            <v>0.12</v>
          </cell>
          <cell r="H142">
            <v>117127</v>
          </cell>
          <cell r="I142">
            <v>14055.24</v>
          </cell>
        </row>
        <row r="143">
          <cell r="C143" t="str">
            <v>MOAYUDR</v>
          </cell>
          <cell r="D143" t="str">
            <v>Mo ayudante raso</v>
          </cell>
          <cell r="E143" t="str">
            <v>día</v>
          </cell>
          <cell r="F143">
            <v>0.1</v>
          </cell>
          <cell r="H143">
            <v>65355</v>
          </cell>
          <cell r="I143">
            <v>6535.5</v>
          </cell>
        </row>
        <row r="144">
          <cell r="C144" t="str">
            <v>4.</v>
          </cell>
          <cell r="D144" t="str">
            <v>ACERO DE REFUERZO</v>
          </cell>
          <cell r="E144" t="str">
            <v/>
          </cell>
          <cell r="H144" t="str">
            <v/>
          </cell>
          <cell r="I144" t="str">
            <v/>
          </cell>
        </row>
        <row r="145">
          <cell r="C145" t="str">
            <v>4.1</v>
          </cell>
          <cell r="D145" t="str">
            <v>Suministro e instalación de acero de refuerzo Fy= 420MPa, corrugado. Incluye transporte con descarga, transporte interno, figurado, alambre de amarre, certificados y todos los elementos necesarios para su correcta instalación, según diseño y recomendaciones estructurales.</v>
          </cell>
          <cell r="E145" t="str">
            <v>kg</v>
          </cell>
          <cell r="F145">
            <v>305.17</v>
          </cell>
          <cell r="H145" t="str">
            <v/>
          </cell>
          <cell r="I145">
            <v>6482</v>
          </cell>
        </row>
        <row r="146">
          <cell r="C146" t="str">
            <v>I. EQUIPO Y HERRAMIENTA</v>
          </cell>
          <cell r="I146">
            <v>17.569050000000001</v>
          </cell>
        </row>
        <row r="147">
          <cell r="C147" t="str">
            <v>HTAMNR</v>
          </cell>
          <cell r="D147" t="str">
            <v>Herramienta y equipo menor</v>
          </cell>
          <cell r="E147" t="str">
            <v>%</v>
          </cell>
          <cell r="G147">
            <v>0.05</v>
          </cell>
          <cell r="H147">
            <v>351.38100000000003</v>
          </cell>
          <cell r="I147">
            <v>17.569050000000001</v>
          </cell>
        </row>
        <row r="148">
          <cell r="C148" t="str">
            <v>II. MATERIALES</v>
          </cell>
          <cell r="I148">
            <v>6022.51</v>
          </cell>
        </row>
        <row r="149">
          <cell r="C149" t="str">
            <v>RF1005</v>
          </cell>
          <cell r="D149" t="str">
            <v>Acero G-60 Figurado</v>
          </cell>
          <cell r="E149" t="str">
            <v>Kg</v>
          </cell>
          <cell r="F149">
            <v>1</v>
          </cell>
          <cell r="G149">
            <v>0.03</v>
          </cell>
          <cell r="H149">
            <v>5650</v>
          </cell>
          <cell r="I149">
            <v>5819.5</v>
          </cell>
        </row>
        <row r="150">
          <cell r="C150" t="str">
            <v>RF1000</v>
          </cell>
          <cell r="D150" t="str">
            <v>Alambre negro recocido</v>
          </cell>
          <cell r="E150" t="str">
            <v>kg</v>
          </cell>
          <cell r="F150">
            <v>0.03</v>
          </cell>
          <cell r="G150">
            <v>0.01</v>
          </cell>
          <cell r="H150">
            <v>6700</v>
          </cell>
          <cell r="I150">
            <v>203.01</v>
          </cell>
        </row>
        <row r="151">
          <cell r="C151" t="str">
            <v>III. TRANSPORTES</v>
          </cell>
          <cell r="F151" t="str">
            <v>Km</v>
          </cell>
          <cell r="G151" t="str">
            <v>PESO</v>
          </cell>
          <cell r="H151" t="str">
            <v>T/KM</v>
          </cell>
          <cell r="I151">
            <v>90.382500000000007</v>
          </cell>
        </row>
        <row r="152">
          <cell r="C152" t="str">
            <v>TR1070</v>
          </cell>
          <cell r="D152" t="str">
            <v xml:space="preserve">Transporte de materiales varios </v>
          </cell>
          <cell r="E152" t="str">
            <v>T/km</v>
          </cell>
          <cell r="F152">
            <v>130</v>
          </cell>
          <cell r="G152">
            <v>1.0300000000000001E-3</v>
          </cell>
          <cell r="H152">
            <v>675</v>
          </cell>
          <cell r="I152">
            <v>90.382500000000007</v>
          </cell>
        </row>
        <row r="153">
          <cell r="C153" t="str">
            <v>IV. MANO DE OBRA</v>
          </cell>
          <cell r="I153">
            <v>351.38100000000003</v>
          </cell>
        </row>
        <row r="154">
          <cell r="C154" t="str">
            <v>MOFICIAL</v>
          </cell>
          <cell r="D154" t="str">
            <v>Mo oficial</v>
          </cell>
          <cell r="E154" t="str">
            <v>día</v>
          </cell>
          <cell r="F154">
            <v>3.0000000000000001E-3</v>
          </cell>
          <cell r="H154">
            <v>117127</v>
          </cell>
          <cell r="I154">
            <v>351.38100000000003</v>
          </cell>
        </row>
        <row r="155">
          <cell r="C155" t="str">
            <v>5.</v>
          </cell>
          <cell r="D155" t="str">
            <v>MAMPOSTERIA Y ELEMENTOS NO ESTRUCTURALES</v>
          </cell>
          <cell r="E155" t="str">
            <v/>
          </cell>
          <cell r="H155" t="str">
            <v/>
          </cell>
        </row>
        <row r="156">
          <cell r="C156" t="str">
            <v>5.1</v>
          </cell>
          <cell r="D156" t="str">
            <v>Suministro, transporte y colocación de concreto fluido para dovelas en mampostería estructural. Incluye grouting de 21 MPA, espaciadas de acuerdo a los diseños, o en su defecto cada 1.20 m y en las intersecciones de muros.</v>
          </cell>
          <cell r="E156" t="str">
            <v>m</v>
          </cell>
          <cell r="F156">
            <v>76.89</v>
          </cell>
          <cell r="H156" t="str">
            <v/>
          </cell>
          <cell r="I156">
            <v>23500</v>
          </cell>
        </row>
        <row r="157">
          <cell r="C157" t="str">
            <v>I. EQUIPO Y HERRAMIENTA</v>
          </cell>
          <cell r="I157">
            <v>844.76850000000002</v>
          </cell>
        </row>
        <row r="158">
          <cell r="C158" t="str">
            <v>HTAMNR</v>
          </cell>
          <cell r="D158" t="str">
            <v>Herramienta y equipo menor</v>
          </cell>
          <cell r="E158" t="str">
            <v>%</v>
          </cell>
          <cell r="G158">
            <v>0.05</v>
          </cell>
          <cell r="H158">
            <v>10295.369999999999</v>
          </cell>
          <cell r="I158">
            <v>514.76850000000002</v>
          </cell>
        </row>
        <row r="159">
          <cell r="C159" t="str">
            <v>MAT1290</v>
          </cell>
          <cell r="D159" t="str">
            <v>Sección completa andamio 1.20x1.50m</v>
          </cell>
          <cell r="E159" t="str">
            <v>día</v>
          </cell>
          <cell r="F159">
            <v>0.3</v>
          </cell>
          <cell r="H159">
            <v>1100</v>
          </cell>
          <cell r="I159">
            <v>330</v>
          </cell>
        </row>
        <row r="160">
          <cell r="C160" t="str">
            <v>II. MATERIALES</v>
          </cell>
          <cell r="I160">
            <v>8780.0223000000005</v>
          </cell>
        </row>
        <row r="161">
          <cell r="C161" t="str">
            <v>CT210KG</v>
          </cell>
          <cell r="D161" t="str">
            <v>Concreto 210kg/cm² 1:2:3</v>
          </cell>
          <cell r="E161" t="str">
            <v>m3</v>
          </cell>
          <cell r="F161">
            <v>1.7000000000000001E-2</v>
          </cell>
          <cell r="G161">
            <v>0.05</v>
          </cell>
          <cell r="H161">
            <v>491878</v>
          </cell>
          <cell r="I161">
            <v>8780.0223000000005</v>
          </cell>
        </row>
        <row r="162">
          <cell r="C162" t="str">
            <v>III. TRANSPORTES</v>
          </cell>
          <cell r="F162" t="str">
            <v>Km</v>
          </cell>
          <cell r="G162" t="str">
            <v>PESO</v>
          </cell>
          <cell r="H162" t="str">
            <v>T/KM</v>
          </cell>
          <cell r="I162">
            <v>3580.2000000000003</v>
          </cell>
        </row>
        <row r="163">
          <cell r="C163" t="str">
            <v>TR1070</v>
          </cell>
          <cell r="D163" t="str">
            <v xml:space="preserve">Transporte de materiales varios </v>
          </cell>
          <cell r="E163" t="str">
            <v>T/km</v>
          </cell>
          <cell r="F163">
            <v>130</v>
          </cell>
          <cell r="G163">
            <v>4.0800000000000003E-2</v>
          </cell>
          <cell r="H163">
            <v>675</v>
          </cell>
          <cell r="I163">
            <v>3580.2000000000003</v>
          </cell>
        </row>
        <row r="164">
          <cell r="C164" t="str">
            <v>IV. MANO DE OBRA</v>
          </cell>
          <cell r="I164">
            <v>10295.369999999999</v>
          </cell>
        </row>
        <row r="165">
          <cell r="C165" t="str">
            <v>MOFICIAL</v>
          </cell>
          <cell r="D165" t="str">
            <v>Mo oficial</v>
          </cell>
          <cell r="E165" t="str">
            <v>día</v>
          </cell>
          <cell r="F165">
            <v>0.06</v>
          </cell>
          <cell r="H165">
            <v>117127</v>
          </cell>
          <cell r="I165">
            <v>7027.62</v>
          </cell>
        </row>
        <row r="166">
          <cell r="C166" t="str">
            <v>MOAYUDR</v>
          </cell>
          <cell r="D166" t="str">
            <v>Mo ayudante raso</v>
          </cell>
          <cell r="E166" t="str">
            <v>día</v>
          </cell>
          <cell r="F166">
            <v>0.05</v>
          </cell>
          <cell r="H166">
            <v>65355</v>
          </cell>
          <cell r="I166">
            <v>3267.75</v>
          </cell>
        </row>
        <row r="167">
          <cell r="C167" t="str">
            <v>5.2</v>
          </cell>
          <cell r="D167" t="str">
            <v>Construcción de mampostería en bloque de concreto, perforación vertical, de 10x20x40 cm, resistencia de 10 MPA. Incluye el suministro, transporte y colocación del bloque vertical, el mortero de pega 1:4, espesor max=0.01 m, encorazados y todos los elementos necesarios para su correcta instalación. Todos los cortes serán realizados a máquina.</v>
          </cell>
          <cell r="E167" t="str">
            <v>m2</v>
          </cell>
          <cell r="F167">
            <v>57.620000000000005</v>
          </cell>
          <cell r="H167" t="str">
            <v/>
          </cell>
          <cell r="I167">
            <v>66219</v>
          </cell>
        </row>
        <row r="168">
          <cell r="C168" t="str">
            <v>I. EQUIPO Y HERRAMIENTA</v>
          </cell>
          <cell r="I168">
            <v>954.76850000000002</v>
          </cell>
        </row>
        <row r="169">
          <cell r="C169" t="str">
            <v>HTAMNR</v>
          </cell>
          <cell r="D169" t="str">
            <v>Herramienta y equipo menor</v>
          </cell>
          <cell r="E169" t="str">
            <v>%</v>
          </cell>
          <cell r="G169">
            <v>0.05</v>
          </cell>
          <cell r="H169">
            <v>10295.369999999999</v>
          </cell>
          <cell r="I169">
            <v>514.76850000000002</v>
          </cell>
        </row>
        <row r="170">
          <cell r="C170" t="str">
            <v>MAT1290</v>
          </cell>
          <cell r="D170" t="str">
            <v>Sección completa andamio 1.20x1.50m</v>
          </cell>
          <cell r="E170" t="str">
            <v>día</v>
          </cell>
          <cell r="F170">
            <v>0.4</v>
          </cell>
          <cell r="H170">
            <v>1100</v>
          </cell>
          <cell r="I170">
            <v>440</v>
          </cell>
        </row>
        <row r="171">
          <cell r="C171" t="str">
            <v>II. MATERIALES</v>
          </cell>
          <cell r="I171">
            <v>41121.362000000001</v>
          </cell>
        </row>
        <row r="172">
          <cell r="C172" t="str">
            <v>MAT1070</v>
          </cell>
          <cell r="D172" t="str">
            <v>Bloque de concreto 12x20x40 - 13 Mpa</v>
          </cell>
          <cell r="E172" t="str">
            <v>un</v>
          </cell>
          <cell r="F172">
            <v>12.5</v>
          </cell>
          <cell r="G172">
            <v>0.03</v>
          </cell>
          <cell r="H172">
            <v>2500</v>
          </cell>
          <cell r="I172">
            <v>32187.5</v>
          </cell>
        </row>
        <row r="173">
          <cell r="C173" t="str">
            <v>CTM143</v>
          </cell>
          <cell r="D173" t="str">
            <v>Mortero de pega - SUBANALISIS</v>
          </cell>
          <cell r="E173" t="str">
            <v>m3</v>
          </cell>
          <cell r="F173">
            <v>0.02</v>
          </cell>
          <cell r="G173">
            <v>0.05</v>
          </cell>
          <cell r="H173">
            <v>425422</v>
          </cell>
          <cell r="I173">
            <v>8933.862000000001</v>
          </cell>
        </row>
        <row r="174">
          <cell r="C174" t="str">
            <v>III. TRANSPORTES</v>
          </cell>
          <cell r="F174" t="str">
            <v>Km</v>
          </cell>
          <cell r="G174" t="str">
            <v>PESO</v>
          </cell>
          <cell r="H174" t="str">
            <v>T/KM</v>
          </cell>
          <cell r="I174">
            <v>13847.388749999998</v>
          </cell>
        </row>
        <row r="175">
          <cell r="C175" t="str">
            <v>TR1070</v>
          </cell>
          <cell r="D175" t="str">
            <v xml:space="preserve">Transporte de materiales varios </v>
          </cell>
          <cell r="E175" t="str">
            <v>T/km</v>
          </cell>
          <cell r="F175">
            <v>130</v>
          </cell>
          <cell r="G175">
            <v>0.15780499999999997</v>
          </cell>
          <cell r="H175">
            <v>675</v>
          </cell>
          <cell r="I175">
            <v>13847.388749999998</v>
          </cell>
        </row>
        <row r="176">
          <cell r="C176" t="str">
            <v>IV. MANO DE OBRA</v>
          </cell>
          <cell r="I176">
            <v>10295.369999999999</v>
          </cell>
        </row>
        <row r="177">
          <cell r="C177" t="str">
            <v>MOFICIAL</v>
          </cell>
          <cell r="D177" t="str">
            <v>Mo oficial</v>
          </cell>
          <cell r="E177" t="str">
            <v>día</v>
          </cell>
          <cell r="F177">
            <v>0.06</v>
          </cell>
          <cell r="H177">
            <v>117127</v>
          </cell>
          <cell r="I177">
            <v>7027.62</v>
          </cell>
        </row>
        <row r="178">
          <cell r="C178" t="str">
            <v>MOAYUDR</v>
          </cell>
          <cell r="D178" t="str">
            <v>Mo ayudante raso</v>
          </cell>
          <cell r="E178" t="str">
            <v>día</v>
          </cell>
          <cell r="F178">
            <v>0.05</v>
          </cell>
          <cell r="H178">
            <v>65355</v>
          </cell>
          <cell r="I178">
            <v>3267.75</v>
          </cell>
        </row>
        <row r="179">
          <cell r="C179" t="str">
            <v>5.3</v>
          </cell>
          <cell r="D179" t="str">
            <v>Construcción de mampostería en bloque calado de 0,10x0,20x0,20m, según detalle, revitado a dos caras, sin rebabas. Incluye el suministro, transporte y colocación del ladrillo, el mortero de pega, angeo y todos los elementos necesarios para su correcta instalación.</v>
          </cell>
          <cell r="E179" t="str">
            <v>m2</v>
          </cell>
          <cell r="F179">
            <v>1.8399999999999999</v>
          </cell>
          <cell r="H179" t="str">
            <v/>
          </cell>
          <cell r="I179">
            <v>91440</v>
          </cell>
        </row>
        <row r="180">
          <cell r="C180" t="str">
            <v>I. EQUIPO Y HERRAMIENTA</v>
          </cell>
          <cell r="I180">
            <v>1046.0095000000001</v>
          </cell>
        </row>
        <row r="181">
          <cell r="C181" t="str">
            <v>HTAMNR</v>
          </cell>
          <cell r="D181" t="str">
            <v>Herramienta y equipo menor</v>
          </cell>
          <cell r="E181" t="str">
            <v>%</v>
          </cell>
          <cell r="G181">
            <v>0.05</v>
          </cell>
          <cell r="H181">
            <v>12120.19</v>
          </cell>
          <cell r="I181">
            <v>606.0095</v>
          </cell>
        </row>
        <row r="182">
          <cell r="C182" t="str">
            <v>MAT1290</v>
          </cell>
          <cell r="D182" t="str">
            <v>Sección completa andamio 1.20x1.50m</v>
          </cell>
          <cell r="E182" t="str">
            <v>día</v>
          </cell>
          <cell r="F182">
            <v>0.4</v>
          </cell>
          <cell r="H182">
            <v>1100</v>
          </cell>
          <cell r="I182">
            <v>440</v>
          </cell>
        </row>
        <row r="183">
          <cell r="C183" t="str">
            <v>II. MATERIALES</v>
          </cell>
          <cell r="I183">
            <v>67683.861999999994</v>
          </cell>
        </row>
        <row r="184">
          <cell r="C184" t="str">
            <v>MAT1060</v>
          </cell>
          <cell r="D184" t="str">
            <v>Bloque calado 10x20x20</v>
          </cell>
          <cell r="E184" t="str">
            <v>un</v>
          </cell>
          <cell r="F184">
            <v>25</v>
          </cell>
          <cell r="G184">
            <v>0.03</v>
          </cell>
          <cell r="H184">
            <v>2100</v>
          </cell>
          <cell r="I184">
            <v>52500</v>
          </cell>
        </row>
        <row r="185">
          <cell r="C185" t="str">
            <v>CTM143</v>
          </cell>
          <cell r="D185" t="str">
            <v>Mortero de pega - SUBANALISIS</v>
          </cell>
          <cell r="E185" t="str">
            <v>m3</v>
          </cell>
          <cell r="F185">
            <v>0.02</v>
          </cell>
          <cell r="G185">
            <v>0.05</v>
          </cell>
          <cell r="H185">
            <v>425422</v>
          </cell>
          <cell r="I185">
            <v>8933.862000000001</v>
          </cell>
        </row>
        <row r="186">
          <cell r="C186" t="str">
            <v>MAT1398</v>
          </cell>
          <cell r="D186" t="str">
            <v xml:space="preserve">Angeo plastico Gris </v>
          </cell>
          <cell r="E186" t="str">
            <v>m2</v>
          </cell>
          <cell r="F186">
            <v>1</v>
          </cell>
          <cell r="H186">
            <v>6250</v>
          </cell>
          <cell r="I186">
            <v>6250</v>
          </cell>
        </row>
        <row r="187">
          <cell r="C187" t="str">
            <v>III. TRANSPORTES</v>
          </cell>
          <cell r="F187" t="str">
            <v>Km</v>
          </cell>
          <cell r="G187" t="str">
            <v>PESO</v>
          </cell>
          <cell r="H187" t="str">
            <v>T/KM</v>
          </cell>
          <cell r="I187">
            <v>10589.67</v>
          </cell>
        </row>
        <row r="188">
          <cell r="C188" t="str">
            <v>TR1070</v>
          </cell>
          <cell r="D188" t="str">
            <v xml:space="preserve">Transporte de materiales varios </v>
          </cell>
          <cell r="E188" t="str">
            <v>T/km</v>
          </cell>
          <cell r="F188">
            <v>130</v>
          </cell>
          <cell r="G188">
            <v>0.12068</v>
          </cell>
          <cell r="H188">
            <v>675</v>
          </cell>
          <cell r="I188">
            <v>10589.67</v>
          </cell>
        </row>
        <row r="189">
          <cell r="C189" t="str">
            <v>IV. MANO DE OBRA</v>
          </cell>
          <cell r="I189">
            <v>12120.19</v>
          </cell>
        </row>
        <row r="190">
          <cell r="C190" t="str">
            <v>MOFICIAL</v>
          </cell>
          <cell r="D190" t="str">
            <v>Mo oficial</v>
          </cell>
          <cell r="E190" t="str">
            <v>día</v>
          </cell>
          <cell r="F190">
            <v>7.0000000000000007E-2</v>
          </cell>
          <cell r="H190">
            <v>117127</v>
          </cell>
          <cell r="I190">
            <v>8198.8900000000012</v>
          </cell>
        </row>
        <row r="191">
          <cell r="C191" t="str">
            <v>MOAYUDR</v>
          </cell>
          <cell r="D191" t="str">
            <v>Mo ayudante raso</v>
          </cell>
          <cell r="E191" t="str">
            <v>día</v>
          </cell>
          <cell r="F191">
            <v>0.06</v>
          </cell>
          <cell r="H191">
            <v>65355</v>
          </cell>
          <cell r="I191">
            <v>3921.2999999999997</v>
          </cell>
        </row>
        <row r="192">
          <cell r="C192" t="str">
            <v>5.4</v>
          </cell>
          <cell r="D192" t="str">
            <v>Suministro e instalación de revoque en un espesor mínimo de 0,02m. y pulido con llana de madera, relación 1:4; incluye fajas, ranuras, filetes y todos los materiales necesarios para su correcta ejecución.</v>
          </cell>
          <cell r="E192" t="str">
            <v>m2</v>
          </cell>
          <cell r="F192">
            <v>8.81</v>
          </cell>
          <cell r="H192" t="str">
            <v/>
          </cell>
          <cell r="I192">
            <v>19614</v>
          </cell>
        </row>
        <row r="193">
          <cell r="C193" t="str">
            <v>I. EQUIPO Y HERRAMIENTA</v>
          </cell>
          <cell r="I193">
            <v>772.28649999999993</v>
          </cell>
        </row>
        <row r="194">
          <cell r="C194" t="str">
            <v>HTAMNR</v>
          </cell>
          <cell r="D194" t="str">
            <v>Herramienta y equipo menor</v>
          </cell>
          <cell r="E194" t="str">
            <v>%</v>
          </cell>
          <cell r="G194">
            <v>0.05</v>
          </cell>
          <cell r="H194">
            <v>6645.73</v>
          </cell>
          <cell r="I194">
            <v>332.28649999999999</v>
          </cell>
        </row>
        <row r="195">
          <cell r="C195" t="str">
            <v>MAT1290</v>
          </cell>
          <cell r="D195" t="str">
            <v>Sección completa andamio 1.20x1.50m</v>
          </cell>
          <cell r="E195" t="str">
            <v>día</v>
          </cell>
          <cell r="F195">
            <v>0.4</v>
          </cell>
          <cell r="H195">
            <v>1100</v>
          </cell>
          <cell r="I195">
            <v>440</v>
          </cell>
        </row>
        <row r="196">
          <cell r="C196" t="str">
            <v>II. MATERIALES</v>
          </cell>
          <cell r="I196">
            <v>8933.862000000001</v>
          </cell>
        </row>
        <row r="197">
          <cell r="C197" t="str">
            <v>CTM144</v>
          </cell>
          <cell r="D197" t="str">
            <v>Mortero de revoque 1:4 - SUBANALISIS</v>
          </cell>
          <cell r="E197" t="str">
            <v>m3</v>
          </cell>
          <cell r="F197">
            <v>0.02</v>
          </cell>
          <cell r="G197">
            <v>0.05</v>
          </cell>
          <cell r="H197">
            <v>425422</v>
          </cell>
          <cell r="I197">
            <v>8933.862000000001</v>
          </cell>
        </row>
        <row r="198">
          <cell r="C198" t="str">
            <v>III. TRANSPORTES</v>
          </cell>
          <cell r="F198" t="str">
            <v>Km</v>
          </cell>
          <cell r="G198" t="str">
            <v>PESO</v>
          </cell>
          <cell r="H198" t="str">
            <v>T/KM</v>
          </cell>
          <cell r="I198">
            <v>3262.5449999999996</v>
          </cell>
        </row>
        <row r="199">
          <cell r="C199" t="str">
            <v>TR1070</v>
          </cell>
          <cell r="D199" t="str">
            <v xml:space="preserve">Transporte de materiales varios </v>
          </cell>
          <cell r="E199" t="str">
            <v>T/km</v>
          </cell>
          <cell r="F199">
            <v>130</v>
          </cell>
          <cell r="G199">
            <v>3.7179999999999998E-2</v>
          </cell>
          <cell r="H199">
            <v>675</v>
          </cell>
          <cell r="I199">
            <v>3262.5449999999996</v>
          </cell>
        </row>
        <row r="200">
          <cell r="C200" t="str">
            <v>IV. MANO DE OBRA</v>
          </cell>
          <cell r="I200">
            <v>6645.73</v>
          </cell>
        </row>
        <row r="201">
          <cell r="C201" t="str">
            <v>MOFICIAL</v>
          </cell>
          <cell r="D201" t="str">
            <v>Mo oficial</v>
          </cell>
          <cell r="E201" t="str">
            <v>día</v>
          </cell>
          <cell r="F201">
            <v>0.04</v>
          </cell>
          <cell r="H201">
            <v>117127</v>
          </cell>
          <cell r="I201">
            <v>4685.08</v>
          </cell>
        </row>
        <row r="202">
          <cell r="C202" t="str">
            <v>MOAYUDR</v>
          </cell>
          <cell r="D202" t="str">
            <v>Mo ayudante raso</v>
          </cell>
          <cell r="E202" t="str">
            <v>día</v>
          </cell>
          <cell r="F202">
            <v>0.03</v>
          </cell>
          <cell r="H202">
            <v>65355</v>
          </cell>
          <cell r="I202">
            <v>1960.6499999999999</v>
          </cell>
        </row>
        <row r="203">
          <cell r="C203" t="str">
            <v>6.</v>
          </cell>
          <cell r="D203" t="str">
            <v>INSTALACIONES HIDRÁULICAS E HIDROSANITARIAS</v>
          </cell>
          <cell r="E203" t="str">
            <v/>
          </cell>
          <cell r="H203" t="str">
            <v/>
          </cell>
        </row>
        <row r="204">
          <cell r="C204" t="str">
            <v>6.1</v>
          </cell>
          <cell r="D204" t="str">
            <v>Punto hidráulico en PVC-P 1/2" RDE-13.5, incluye tubería presión, accesorios, limpiador, soldadura y todos los elementos necesarios para su correcta instalación.</v>
          </cell>
          <cell r="E204" t="str">
            <v>Un</v>
          </cell>
          <cell r="F204">
            <v>4</v>
          </cell>
          <cell r="H204" t="str">
            <v/>
          </cell>
          <cell r="I204">
            <v>18597</v>
          </cell>
        </row>
        <row r="205">
          <cell r="C205" t="str">
            <v>I. EQUIPO Y HERRAMIENTA</v>
          </cell>
          <cell r="I205">
            <v>292.81750000000005</v>
          </cell>
        </row>
        <row r="206">
          <cell r="C206" t="str">
            <v>HTAMNR</v>
          </cell>
          <cell r="D206" t="str">
            <v>Herramienta y equipo menor</v>
          </cell>
          <cell r="E206" t="str">
            <v>%</v>
          </cell>
          <cell r="G206">
            <v>0.05</v>
          </cell>
          <cell r="H206">
            <v>5856.35</v>
          </cell>
          <cell r="I206">
            <v>292.81750000000005</v>
          </cell>
        </row>
        <row r="207">
          <cell r="C207" t="str">
            <v>II. MATERIALES</v>
          </cell>
          <cell r="I207">
            <v>12434.35</v>
          </cell>
        </row>
        <row r="208">
          <cell r="C208" t="str">
            <v>TB1365</v>
          </cell>
          <cell r="D208" t="str">
            <v>Tubería PVC-P RDE-13.5 1/2" (13mm)</v>
          </cell>
          <cell r="E208" t="str">
            <v>m</v>
          </cell>
          <cell r="F208">
            <v>1.5</v>
          </cell>
          <cell r="G208">
            <v>0.03</v>
          </cell>
          <cell r="H208">
            <v>2700</v>
          </cell>
          <cell r="I208">
            <v>4171.5</v>
          </cell>
        </row>
        <row r="209">
          <cell r="C209" t="str">
            <v>TB1415</v>
          </cell>
          <cell r="D209" t="str">
            <v>Unión PVC-P 13 mm (1/2")</v>
          </cell>
          <cell r="E209" t="str">
            <v>un</v>
          </cell>
          <cell r="F209">
            <v>1</v>
          </cell>
          <cell r="H209">
            <v>350</v>
          </cell>
          <cell r="I209">
            <v>350</v>
          </cell>
        </row>
        <row r="210">
          <cell r="C210" t="str">
            <v>AD1110</v>
          </cell>
          <cell r="D210" t="str">
            <v>Limpiador PVC 760 gramos (1/4 gal) o similar</v>
          </cell>
          <cell r="E210" t="str">
            <v>un</v>
          </cell>
          <cell r="F210">
            <v>0.03</v>
          </cell>
          <cell r="G210">
            <v>0.01</v>
          </cell>
          <cell r="H210">
            <v>63900</v>
          </cell>
          <cell r="I210">
            <v>1936.17</v>
          </cell>
        </row>
        <row r="211">
          <cell r="C211" t="str">
            <v>AD1280</v>
          </cell>
          <cell r="D211" t="str">
            <v>Soldadura PVC 1/4 gal o similar</v>
          </cell>
          <cell r="E211" t="str">
            <v>gal</v>
          </cell>
          <cell r="F211">
            <v>0.03</v>
          </cell>
          <cell r="G211">
            <v>0.01</v>
          </cell>
          <cell r="H211">
            <v>95600</v>
          </cell>
          <cell r="I211">
            <v>2896.68</v>
          </cell>
        </row>
        <row r="212">
          <cell r="C212" t="str">
            <v>TB1205</v>
          </cell>
          <cell r="D212" t="str">
            <v>Codo PVC-P 90° 13 mm (1/2")</v>
          </cell>
          <cell r="E212" t="str">
            <v>un</v>
          </cell>
          <cell r="F212">
            <v>2</v>
          </cell>
          <cell r="H212">
            <v>640</v>
          </cell>
          <cell r="I212">
            <v>1280</v>
          </cell>
        </row>
        <row r="213">
          <cell r="C213" t="str">
            <v>TB1330</v>
          </cell>
          <cell r="D213" t="str">
            <v>Tee PVC-P 13 mm (1/2")</v>
          </cell>
          <cell r="E213" t="str">
            <v>un</v>
          </cell>
          <cell r="F213">
            <v>1</v>
          </cell>
          <cell r="H213">
            <v>870</v>
          </cell>
          <cell r="I213">
            <v>870</v>
          </cell>
        </row>
        <row r="214">
          <cell r="C214" t="str">
            <v>TB1140</v>
          </cell>
          <cell r="D214" t="str">
            <v>Adaptador macho PVC-P 1/2''</v>
          </cell>
          <cell r="E214" t="str">
            <v>un</v>
          </cell>
          <cell r="F214">
            <v>1</v>
          </cell>
          <cell r="H214">
            <v>480</v>
          </cell>
          <cell r="I214">
            <v>480</v>
          </cell>
        </row>
        <row r="215">
          <cell r="C215" t="str">
            <v>TB1110</v>
          </cell>
          <cell r="D215" t="str">
            <v>Adaptador hembra PVC-P 1/2''</v>
          </cell>
          <cell r="E215" t="str">
            <v>un</v>
          </cell>
          <cell r="F215">
            <v>1</v>
          </cell>
          <cell r="H215">
            <v>450</v>
          </cell>
          <cell r="I215">
            <v>450</v>
          </cell>
        </row>
        <row r="216">
          <cell r="C216" t="str">
            <v>III. TRANSPORTES</v>
          </cell>
          <cell r="F216" t="str">
            <v>Km</v>
          </cell>
          <cell r="G216" t="str">
            <v>PESO</v>
          </cell>
          <cell r="H216" t="str">
            <v>T/KM</v>
          </cell>
          <cell r="I216">
            <v>13.097700000000001</v>
          </cell>
        </row>
        <row r="217">
          <cell r="C217" t="str">
            <v>TR1070</v>
          </cell>
          <cell r="D217" t="str">
            <v xml:space="preserve">Transporte de materiales varios </v>
          </cell>
          <cell r="E217" t="str">
            <v>T/km</v>
          </cell>
          <cell r="F217">
            <v>30</v>
          </cell>
          <cell r="G217">
            <v>6.4680000000000011E-4</v>
          </cell>
          <cell r="H217">
            <v>675</v>
          </cell>
          <cell r="I217">
            <v>13.097700000000001</v>
          </cell>
        </row>
        <row r="218">
          <cell r="C218" t="str">
            <v>IV. MANO DE OBRA</v>
          </cell>
          <cell r="I218">
            <v>5856.35</v>
          </cell>
        </row>
        <row r="219">
          <cell r="C219" t="str">
            <v>MOFICIAL</v>
          </cell>
          <cell r="D219" t="str">
            <v>Mo oficial</v>
          </cell>
          <cell r="E219" t="str">
            <v>día</v>
          </cell>
          <cell r="F219">
            <v>0.05</v>
          </cell>
          <cell r="H219">
            <v>117127</v>
          </cell>
          <cell r="I219">
            <v>5856.35</v>
          </cell>
        </row>
        <row r="220">
          <cell r="C220" t="str">
            <v>6.2</v>
          </cell>
          <cell r="D220" t="str">
            <v>Suministro, transporte e instalación de tubería PVC-P x 1/2" RDE-13.5, incluye tubería presión, accesorios , limpiador, soldadura y todos los elementos necesarios para su correcta instalación.</v>
          </cell>
          <cell r="E220" t="str">
            <v>m</v>
          </cell>
          <cell r="F220">
            <v>18</v>
          </cell>
          <cell r="H220" t="str">
            <v/>
          </cell>
          <cell r="I220">
            <v>11482</v>
          </cell>
        </row>
        <row r="221">
          <cell r="C221" t="str">
            <v>I. EQUIPO Y HERRAMIENTA</v>
          </cell>
          <cell r="I221">
            <v>175.69050000000001</v>
          </cell>
        </row>
        <row r="222">
          <cell r="C222" t="str">
            <v>HTAMNR</v>
          </cell>
          <cell r="D222" t="str">
            <v>Herramienta y equipo menor</v>
          </cell>
          <cell r="E222" t="str">
            <v>%</v>
          </cell>
          <cell r="G222">
            <v>0.05</v>
          </cell>
          <cell r="H222">
            <v>3513.81</v>
          </cell>
          <cell r="I222">
            <v>175.69050000000001</v>
          </cell>
        </row>
        <row r="223">
          <cell r="C223" t="str">
            <v>II. MATERIALES</v>
          </cell>
          <cell r="I223">
            <v>7786.75</v>
          </cell>
        </row>
        <row r="224">
          <cell r="C224" t="str">
            <v>TB1365</v>
          </cell>
          <cell r="D224" t="str">
            <v>Tubería PVC-P RDE-13.5 1/2" (13mm)</v>
          </cell>
          <cell r="E224" t="str">
            <v>m</v>
          </cell>
          <cell r="F224">
            <v>1</v>
          </cell>
          <cell r="G224">
            <v>0.03</v>
          </cell>
          <cell r="H224">
            <v>2700</v>
          </cell>
          <cell r="I224">
            <v>2781</v>
          </cell>
        </row>
        <row r="225">
          <cell r="C225" t="str">
            <v>TB1415</v>
          </cell>
          <cell r="D225" t="str">
            <v>Unión PVC-P 13 mm (1/2")</v>
          </cell>
          <cell r="E225" t="str">
            <v>un</v>
          </cell>
          <cell r="F225">
            <v>0.11</v>
          </cell>
          <cell r="H225">
            <v>350</v>
          </cell>
          <cell r="I225">
            <v>38.5</v>
          </cell>
        </row>
        <row r="226">
          <cell r="C226" t="str">
            <v>TB1205</v>
          </cell>
          <cell r="D226" t="str">
            <v>Codo PVC-P 90° 13 mm (1/2")</v>
          </cell>
          <cell r="E226" t="str">
            <v>un</v>
          </cell>
          <cell r="F226">
            <v>0.21</v>
          </cell>
          <cell r="H226">
            <v>640</v>
          </cell>
          <cell r="I226">
            <v>134.4</v>
          </cell>
        </row>
        <row r="227">
          <cell r="C227" t="str">
            <v>AD1110</v>
          </cell>
          <cell r="D227" t="str">
            <v>Limpiador PVC 760 gramos (1/4 gal) o similar</v>
          </cell>
          <cell r="E227" t="str">
            <v>un</v>
          </cell>
          <cell r="F227">
            <v>0.03</v>
          </cell>
          <cell r="G227">
            <v>0.01</v>
          </cell>
          <cell r="H227">
            <v>63900</v>
          </cell>
          <cell r="I227">
            <v>1936.17</v>
          </cell>
        </row>
        <row r="228">
          <cell r="C228" t="str">
            <v>AD1280</v>
          </cell>
          <cell r="D228" t="str">
            <v>Soldadura PVC 1/4 gal o similar</v>
          </cell>
          <cell r="E228" t="str">
            <v>gal</v>
          </cell>
          <cell r="F228">
            <v>0.03</v>
          </cell>
          <cell r="G228">
            <v>0.01</v>
          </cell>
          <cell r="H228">
            <v>95600</v>
          </cell>
          <cell r="I228">
            <v>2896.68</v>
          </cell>
        </row>
        <row r="229">
          <cell r="C229" t="str">
            <v>III. TRANSPORTES</v>
          </cell>
          <cell r="F229" t="str">
            <v>Km</v>
          </cell>
          <cell r="G229" t="str">
            <v>PESO</v>
          </cell>
          <cell r="H229" t="str">
            <v>T/KM</v>
          </cell>
          <cell r="I229">
            <v>5.3217000000000008</v>
          </cell>
        </row>
        <row r="230">
          <cell r="C230" t="str">
            <v>TR1070</v>
          </cell>
          <cell r="D230" t="str">
            <v xml:space="preserve">Transporte de materiales varios </v>
          </cell>
          <cell r="E230" t="str">
            <v>T/km</v>
          </cell>
          <cell r="F230">
            <v>30</v>
          </cell>
          <cell r="G230">
            <v>2.6280000000000005E-4</v>
          </cell>
          <cell r="H230">
            <v>675</v>
          </cell>
          <cell r="I230">
            <v>5.3217000000000008</v>
          </cell>
        </row>
        <row r="231">
          <cell r="C231" t="str">
            <v>IV. MANO DE OBRA</v>
          </cell>
          <cell r="I231">
            <v>3513.81</v>
          </cell>
        </row>
        <row r="232">
          <cell r="C232" t="str">
            <v>MOFICIAL</v>
          </cell>
          <cell r="D232" t="str">
            <v>Mo oficial</v>
          </cell>
          <cell r="E232" t="str">
            <v>día</v>
          </cell>
          <cell r="F232">
            <v>0.03</v>
          </cell>
          <cell r="H232">
            <v>117127</v>
          </cell>
          <cell r="I232">
            <v>3513.81</v>
          </cell>
        </row>
        <row r="233">
          <cell r="C233" t="str">
            <v>6.3</v>
          </cell>
          <cell r="D233" t="str">
            <v>Suministro e instalación válvula de bola en PVC 1/2" extremo soldado. Se entregará debidamente instalada sin presencia de fugas ni fisuras.</v>
          </cell>
          <cell r="E233" t="str">
            <v>Un</v>
          </cell>
          <cell r="F233">
            <v>1</v>
          </cell>
          <cell r="H233" t="str">
            <v/>
          </cell>
          <cell r="I233">
            <v>15113</v>
          </cell>
        </row>
        <row r="234">
          <cell r="C234" t="str">
            <v>I. EQUIPO Y HERRAMIENTA</v>
          </cell>
          <cell r="I234">
            <v>292.81750000000005</v>
          </cell>
        </row>
        <row r="235">
          <cell r="C235" t="str">
            <v>HTAMNR</v>
          </cell>
          <cell r="D235" t="str">
            <v>Herramienta y equipo menor</v>
          </cell>
          <cell r="E235" t="str">
            <v>%</v>
          </cell>
          <cell r="G235">
            <v>0.05</v>
          </cell>
          <cell r="H235">
            <v>5856.35</v>
          </cell>
          <cell r="I235">
            <v>292.81750000000005</v>
          </cell>
        </row>
        <row r="236">
          <cell r="C236" t="str">
            <v>II. MATERIALES</v>
          </cell>
          <cell r="I236">
            <v>8950.6</v>
          </cell>
        </row>
        <row r="237">
          <cell r="C237" t="str">
            <v>VPVC12</v>
          </cell>
          <cell r="D237" t="str">
            <v>Válvula de regulación - abasto 1/2"</v>
          </cell>
          <cell r="E237" t="str">
            <v>un</v>
          </cell>
          <cell r="F237">
            <v>1</v>
          </cell>
          <cell r="H237">
            <v>6700</v>
          </cell>
          <cell r="I237">
            <v>6700</v>
          </cell>
        </row>
        <row r="238">
          <cell r="C238" t="str">
            <v>MAT1100</v>
          </cell>
          <cell r="D238" t="str">
            <v>Cinta sellante para elementos roscados - 12mm x 12m</v>
          </cell>
          <cell r="E238" t="str">
            <v>un</v>
          </cell>
          <cell r="F238">
            <v>0.5</v>
          </cell>
          <cell r="H238">
            <v>2500</v>
          </cell>
          <cell r="I238">
            <v>1250</v>
          </cell>
        </row>
        <row r="239">
          <cell r="C239" t="str">
            <v>AD1290</v>
          </cell>
          <cell r="D239" t="str">
            <v>Traba química fuerza alta para sellos de fuga en tubería</v>
          </cell>
          <cell r="E239" t="str">
            <v>gr</v>
          </cell>
          <cell r="F239">
            <v>7.0000000000000007E-2</v>
          </cell>
          <cell r="H239">
            <v>580</v>
          </cell>
          <cell r="I239">
            <v>40.6</v>
          </cell>
        </row>
        <row r="240">
          <cell r="C240" t="str">
            <v>TB1140</v>
          </cell>
          <cell r="D240" t="str">
            <v>Adaptador macho PVC-P 1/2''</v>
          </cell>
          <cell r="E240" t="str">
            <v>un</v>
          </cell>
          <cell r="F240">
            <v>2</v>
          </cell>
          <cell r="H240">
            <v>480</v>
          </cell>
          <cell r="I240">
            <v>960</v>
          </cell>
        </row>
        <row r="241">
          <cell r="C241" t="str">
            <v>III. TRANSPORTES</v>
          </cell>
          <cell r="F241" t="str">
            <v>Km</v>
          </cell>
          <cell r="G241" t="str">
            <v>PESO</v>
          </cell>
          <cell r="H241" t="str">
            <v>T/KM</v>
          </cell>
          <cell r="I241">
            <v>13.1639175</v>
          </cell>
        </row>
        <row r="242">
          <cell r="C242" t="str">
            <v>TR1070</v>
          </cell>
          <cell r="D242" t="str">
            <v xml:space="preserve">Transporte de materiales varios </v>
          </cell>
          <cell r="E242" t="str">
            <v>T/km</v>
          </cell>
          <cell r="F242">
            <v>30</v>
          </cell>
          <cell r="G242">
            <v>6.5006999999999999E-4</v>
          </cell>
          <cell r="H242">
            <v>675</v>
          </cell>
          <cell r="I242">
            <v>13.1639175</v>
          </cell>
        </row>
        <row r="243">
          <cell r="C243" t="str">
            <v>IV. MANO DE OBRA</v>
          </cell>
          <cell r="I243">
            <v>5856.35</v>
          </cell>
        </row>
        <row r="244">
          <cell r="C244" t="str">
            <v>MOFICIAL</v>
          </cell>
          <cell r="D244" t="str">
            <v>Mo oficial</v>
          </cell>
          <cell r="E244" t="str">
            <v>día</v>
          </cell>
          <cell r="F244">
            <v>0.05</v>
          </cell>
          <cell r="H244">
            <v>117127</v>
          </cell>
          <cell r="I244">
            <v>5856.35</v>
          </cell>
        </row>
        <row r="245">
          <cell r="C245" t="str">
            <v>6.4</v>
          </cell>
          <cell r="D245" t="str">
            <v>Salidas sanitarias de 2" incluye materiales, accesorios y todos los elementos necesarios para su correcta instalación y funcionamiento</v>
          </cell>
          <cell r="E245" t="str">
            <v>Un</v>
          </cell>
          <cell r="F245">
            <v>4</v>
          </cell>
          <cell r="H245" t="str">
            <v/>
          </cell>
          <cell r="I245">
            <v>27473</v>
          </cell>
        </row>
        <row r="246">
          <cell r="C246" t="str">
            <v>I. EQUIPO Y HERRAMIENTA</v>
          </cell>
          <cell r="I246">
            <v>175.69050000000001</v>
          </cell>
        </row>
        <row r="247">
          <cell r="C247" t="str">
            <v>HTAMNR</v>
          </cell>
          <cell r="D247" t="str">
            <v>Herramienta y equipo menor</v>
          </cell>
          <cell r="E247" t="str">
            <v>%</v>
          </cell>
          <cell r="G247">
            <v>0.05</v>
          </cell>
          <cell r="H247">
            <v>3513.81</v>
          </cell>
          <cell r="I247">
            <v>175.69050000000001</v>
          </cell>
        </row>
        <row r="248">
          <cell r="C248" t="str">
            <v>II. MATERIALES</v>
          </cell>
          <cell r="I248">
            <v>23761.449999999997</v>
          </cell>
        </row>
        <row r="249">
          <cell r="C249" t="str">
            <v>TB2410</v>
          </cell>
          <cell r="D249" t="str">
            <v>Tubería PVC-S 2" (50 mm)</v>
          </cell>
          <cell r="E249" t="str">
            <v>m</v>
          </cell>
          <cell r="F249">
            <v>1</v>
          </cell>
          <cell r="G249">
            <v>0.03</v>
          </cell>
          <cell r="H249">
            <v>10620</v>
          </cell>
          <cell r="I249">
            <v>10938.6</v>
          </cell>
        </row>
        <row r="250">
          <cell r="C250" t="str">
            <v>TB2465</v>
          </cell>
          <cell r="D250" t="str">
            <v>Unión PVC-S 2" (50 mm)</v>
          </cell>
          <cell r="E250" t="str">
            <v>un</v>
          </cell>
          <cell r="F250">
            <v>0.5</v>
          </cell>
          <cell r="H250">
            <v>2320</v>
          </cell>
          <cell r="I250">
            <v>1160</v>
          </cell>
        </row>
        <row r="251">
          <cell r="C251" t="str">
            <v>TB2220</v>
          </cell>
          <cell r="D251" t="str">
            <v>Codo PVC-S 90° -1/4 CxC 2" (50 mm)</v>
          </cell>
          <cell r="E251" t="str">
            <v>un</v>
          </cell>
          <cell r="F251">
            <v>1</v>
          </cell>
          <cell r="H251">
            <v>3520</v>
          </cell>
          <cell r="I251">
            <v>3520</v>
          </cell>
        </row>
        <row r="252">
          <cell r="C252" t="str">
            <v>TB2170</v>
          </cell>
          <cell r="D252" t="str">
            <v>Codo PVC-S 45° -1/8 CxC 2" (50 mm)</v>
          </cell>
          <cell r="E252" t="str">
            <v>un</v>
          </cell>
          <cell r="F252">
            <v>0.5</v>
          </cell>
          <cell r="H252">
            <v>4200</v>
          </cell>
          <cell r="I252">
            <v>2100</v>
          </cell>
        </row>
        <row r="253">
          <cell r="C253" t="str">
            <v>TB2305</v>
          </cell>
          <cell r="D253" t="str">
            <v>Sifón PVC-S 2" (50 mm)</v>
          </cell>
          <cell r="E253" t="str">
            <v>un</v>
          </cell>
          <cell r="F253">
            <v>0.2</v>
          </cell>
          <cell r="H253">
            <v>6050</v>
          </cell>
          <cell r="I253">
            <v>1210</v>
          </cell>
        </row>
        <row r="254">
          <cell r="C254" t="str">
            <v>AD1110</v>
          </cell>
          <cell r="D254" t="str">
            <v>Limpiador PVC 760 gramos (1/4 gal) o similar</v>
          </cell>
          <cell r="E254" t="str">
            <v>un</v>
          </cell>
          <cell r="F254">
            <v>0.03</v>
          </cell>
          <cell r="G254">
            <v>0.01</v>
          </cell>
          <cell r="H254">
            <v>63900</v>
          </cell>
          <cell r="I254">
            <v>1936.17</v>
          </cell>
        </row>
        <row r="255">
          <cell r="C255" t="str">
            <v>AD1280</v>
          </cell>
          <cell r="D255" t="str">
            <v>Soldadura PVC 1/4 gal o similar</v>
          </cell>
          <cell r="E255" t="str">
            <v>gal</v>
          </cell>
          <cell r="F255">
            <v>0.03</v>
          </cell>
          <cell r="G255">
            <v>0.01</v>
          </cell>
          <cell r="H255">
            <v>95600</v>
          </cell>
          <cell r="I255">
            <v>2896.68</v>
          </cell>
        </row>
        <row r="256">
          <cell r="C256" t="str">
            <v>III. TRANSPORTES</v>
          </cell>
          <cell r="F256" t="str">
            <v>Km</v>
          </cell>
          <cell r="G256" t="str">
            <v>PESO</v>
          </cell>
          <cell r="H256" t="str">
            <v>T/KM</v>
          </cell>
          <cell r="I256">
            <v>22.412700000000005</v>
          </cell>
        </row>
        <row r="257">
          <cell r="C257" t="str">
            <v>TR1070</v>
          </cell>
          <cell r="D257" t="str">
            <v xml:space="preserve">Transporte de materiales varios </v>
          </cell>
          <cell r="E257" t="str">
            <v>T/km</v>
          </cell>
          <cell r="F257">
            <v>30</v>
          </cell>
          <cell r="G257">
            <v>1.1068000000000002E-3</v>
          </cell>
          <cell r="H257">
            <v>675</v>
          </cell>
          <cell r="I257">
            <v>22.412700000000005</v>
          </cell>
        </row>
        <row r="258">
          <cell r="C258" t="str">
            <v>IV. MANO DE OBRA</v>
          </cell>
          <cell r="I258">
            <v>3513.81</v>
          </cell>
        </row>
        <row r="259">
          <cell r="C259" t="str">
            <v>MOFICIAL</v>
          </cell>
          <cell r="D259" t="str">
            <v>Mo oficial</v>
          </cell>
          <cell r="E259" t="str">
            <v>día</v>
          </cell>
          <cell r="F259">
            <v>0.03</v>
          </cell>
          <cell r="H259">
            <v>117127</v>
          </cell>
          <cell r="I259">
            <v>3513.81</v>
          </cell>
        </row>
        <row r="260">
          <cell r="C260" t="str">
            <v>6.5</v>
          </cell>
          <cell r="D260" t="str">
            <v>Salida sanitaria de 4" incluye materiales, accesorios y todos los elementos necesarios para su correcta instalación y funcionamiento</v>
          </cell>
          <cell r="E260" t="str">
            <v>Un</v>
          </cell>
          <cell r="F260">
            <v>1</v>
          </cell>
          <cell r="H260" t="str">
            <v/>
          </cell>
          <cell r="I260">
            <v>42651</v>
          </cell>
        </row>
        <row r="261">
          <cell r="C261" t="str">
            <v>I. EQUIPO Y HERRAMIENTA</v>
          </cell>
          <cell r="I261">
            <v>175.69050000000001</v>
          </cell>
        </row>
        <row r="262">
          <cell r="C262" t="str">
            <v>HTAMNR</v>
          </cell>
          <cell r="D262" t="str">
            <v>Herramienta y equipo menor</v>
          </cell>
          <cell r="E262" t="str">
            <v>%</v>
          </cell>
          <cell r="G262">
            <v>0.05</v>
          </cell>
          <cell r="H262">
            <v>3513.81</v>
          </cell>
          <cell r="I262">
            <v>175.69050000000001</v>
          </cell>
        </row>
        <row r="263">
          <cell r="C263" t="str">
            <v>II. MATERIALES</v>
          </cell>
          <cell r="I263">
            <v>38927.35</v>
          </cell>
        </row>
        <row r="264">
          <cell r="C264" t="str">
            <v>TB2420</v>
          </cell>
          <cell r="D264" t="str">
            <v>Tubería PVC-S 4" (100 mm)</v>
          </cell>
          <cell r="E264" t="str">
            <v>m</v>
          </cell>
          <cell r="F264">
            <v>1</v>
          </cell>
          <cell r="G264">
            <v>0.03</v>
          </cell>
          <cell r="H264">
            <v>22150</v>
          </cell>
          <cell r="I264">
            <v>22814.5</v>
          </cell>
        </row>
        <row r="265">
          <cell r="C265" t="str">
            <v>TB2475</v>
          </cell>
          <cell r="D265" t="str">
            <v>Unión PVC-S 4" (100 mm)</v>
          </cell>
          <cell r="E265" t="str">
            <v>un</v>
          </cell>
          <cell r="F265">
            <v>0.12</v>
          </cell>
          <cell r="H265">
            <v>7400</v>
          </cell>
          <cell r="I265">
            <v>888</v>
          </cell>
        </row>
        <row r="266">
          <cell r="C266" t="str">
            <v>TB2230</v>
          </cell>
          <cell r="D266" t="str">
            <v>Codo PVC-S 90° -1/4 CxC 4" (100 mm)</v>
          </cell>
          <cell r="E266" t="str">
            <v>un</v>
          </cell>
          <cell r="F266">
            <v>0.12</v>
          </cell>
          <cell r="H266">
            <v>13600</v>
          </cell>
          <cell r="I266">
            <v>1632</v>
          </cell>
        </row>
        <row r="267">
          <cell r="C267" t="str">
            <v>TB2495</v>
          </cell>
          <cell r="D267" t="str">
            <v>Yee PVC-S 4" (100 mm)</v>
          </cell>
          <cell r="E267" t="str">
            <v>un</v>
          </cell>
          <cell r="F267">
            <v>0.24</v>
          </cell>
          <cell r="H267">
            <v>21500</v>
          </cell>
          <cell r="I267">
            <v>5160</v>
          </cell>
        </row>
        <row r="268">
          <cell r="C268" t="str">
            <v>TB2140</v>
          </cell>
          <cell r="D268" t="str">
            <v>Buje soldado PVC-S 4"x2"</v>
          </cell>
          <cell r="E268" t="str">
            <v>un</v>
          </cell>
          <cell r="F268">
            <v>0.12</v>
          </cell>
          <cell r="H268">
            <v>9850</v>
          </cell>
          <cell r="I268">
            <v>1182</v>
          </cell>
        </row>
        <row r="269">
          <cell r="C269" t="str">
            <v>TB2315</v>
          </cell>
          <cell r="D269" t="str">
            <v>Tapón de prueba PVC-S ø 4" (100mm)</v>
          </cell>
          <cell r="E269" t="str">
            <v>un</v>
          </cell>
          <cell r="F269">
            <v>0.12</v>
          </cell>
          <cell r="H269">
            <v>3250</v>
          </cell>
          <cell r="I269">
            <v>390</v>
          </cell>
        </row>
        <row r="270">
          <cell r="C270" t="str">
            <v>TB2180</v>
          </cell>
          <cell r="D270" t="str">
            <v>Codo PVC-S 45° -1/8 CxC 4" (100 mm)</v>
          </cell>
          <cell r="E270" t="str">
            <v>un</v>
          </cell>
          <cell r="F270">
            <v>0.12</v>
          </cell>
          <cell r="H270">
            <v>16900</v>
          </cell>
          <cell r="I270">
            <v>2028</v>
          </cell>
        </row>
        <row r="271">
          <cell r="C271" t="str">
            <v>AD1110</v>
          </cell>
          <cell r="D271" t="str">
            <v>Limpiador PVC 760 gramos (1/4 gal) o similar</v>
          </cell>
          <cell r="E271" t="str">
            <v>un</v>
          </cell>
          <cell r="F271">
            <v>0.03</v>
          </cell>
          <cell r="G271">
            <v>0.01</v>
          </cell>
          <cell r="H271">
            <v>63900</v>
          </cell>
          <cell r="I271">
            <v>1936.17</v>
          </cell>
        </row>
        <row r="272">
          <cell r="C272" t="str">
            <v>AD1280</v>
          </cell>
          <cell r="D272" t="str">
            <v>Soldadura PVC 1/4 gal o similar</v>
          </cell>
          <cell r="E272" t="str">
            <v>gal</v>
          </cell>
          <cell r="F272">
            <v>0.03</v>
          </cell>
          <cell r="G272">
            <v>0.01</v>
          </cell>
          <cell r="H272">
            <v>95600</v>
          </cell>
          <cell r="I272">
            <v>2896.68</v>
          </cell>
        </row>
        <row r="273">
          <cell r="C273" t="str">
            <v>III. TRANSPORTES</v>
          </cell>
          <cell r="F273" t="str">
            <v>Km</v>
          </cell>
          <cell r="G273" t="str">
            <v>PESO</v>
          </cell>
          <cell r="H273" t="str">
            <v>T/KM</v>
          </cell>
          <cell r="I273">
            <v>34.43310000000001</v>
          </cell>
        </row>
        <row r="274">
          <cell r="C274" t="str">
            <v>TR1070</v>
          </cell>
          <cell r="D274" t="str">
            <v xml:space="preserve">Transporte de materiales varios </v>
          </cell>
          <cell r="E274" t="str">
            <v>T/km</v>
          </cell>
          <cell r="F274">
            <v>30</v>
          </cell>
          <cell r="G274">
            <v>1.7004000000000003E-3</v>
          </cell>
          <cell r="H274">
            <v>675</v>
          </cell>
          <cell r="I274">
            <v>34.43310000000001</v>
          </cell>
        </row>
        <row r="275">
          <cell r="C275" t="str">
            <v>IV. MANO DE OBRA</v>
          </cell>
          <cell r="I275">
            <v>3513.81</v>
          </cell>
        </row>
        <row r="276">
          <cell r="C276" t="str">
            <v>MOFICIAL</v>
          </cell>
          <cell r="D276" t="str">
            <v>Mo oficial</v>
          </cell>
          <cell r="E276" t="str">
            <v>día</v>
          </cell>
          <cell r="F276">
            <v>0.03</v>
          </cell>
          <cell r="H276">
            <v>117127</v>
          </cell>
          <cell r="I276">
            <v>3513.81</v>
          </cell>
        </row>
        <row r="277">
          <cell r="C277" t="str">
            <v>6.6</v>
          </cell>
          <cell r="D277" t="str">
            <v>Red sanitaria de piso para en tubería PVC-S 2", incluye accesorios y todo lo necesario para su correcta instalación.</v>
          </cell>
          <cell r="E277" t="str">
            <v>m</v>
          </cell>
          <cell r="F277">
            <v>20.350000000000001</v>
          </cell>
          <cell r="H277" t="str">
            <v/>
          </cell>
          <cell r="I277">
            <v>24199</v>
          </cell>
        </row>
        <row r="278">
          <cell r="C278" t="str">
            <v>I. EQUIPO Y HERRAMIENTA</v>
          </cell>
          <cell r="I278">
            <v>175.69050000000001</v>
          </cell>
        </row>
        <row r="279">
          <cell r="C279" t="str">
            <v>HTAMNR</v>
          </cell>
          <cell r="D279" t="str">
            <v>Herramienta y equipo menor</v>
          </cell>
          <cell r="E279" t="str">
            <v>%</v>
          </cell>
          <cell r="G279">
            <v>0.05</v>
          </cell>
          <cell r="H279">
            <v>3513.81</v>
          </cell>
          <cell r="I279">
            <v>175.69050000000001</v>
          </cell>
        </row>
        <row r="280">
          <cell r="C280" t="str">
            <v>II. MATERIALES</v>
          </cell>
          <cell r="I280">
            <v>20489.84</v>
          </cell>
        </row>
        <row r="281">
          <cell r="C281" t="str">
            <v>TB2410</v>
          </cell>
          <cell r="D281" t="str">
            <v>Tubería PVC-S 2" (50 mm)</v>
          </cell>
          <cell r="E281" t="str">
            <v>m</v>
          </cell>
          <cell r="F281">
            <v>1</v>
          </cell>
          <cell r="G281">
            <v>0.03</v>
          </cell>
          <cell r="H281">
            <v>10620</v>
          </cell>
          <cell r="I281">
            <v>10938.6</v>
          </cell>
        </row>
        <row r="282">
          <cell r="C282" t="str">
            <v>TB2465</v>
          </cell>
          <cell r="D282" t="str">
            <v>Unión PVC-S 2" (50 mm)</v>
          </cell>
          <cell r="E282" t="str">
            <v>un</v>
          </cell>
          <cell r="F282">
            <v>0.17</v>
          </cell>
          <cell r="H282">
            <v>2320</v>
          </cell>
          <cell r="I282">
            <v>394.40000000000003</v>
          </cell>
        </row>
        <row r="283">
          <cell r="C283" t="str">
            <v>TB2220</v>
          </cell>
          <cell r="D283" t="str">
            <v>Codo PVC-S 90° -1/4 CxC 2" (50 mm)</v>
          </cell>
          <cell r="E283" t="str">
            <v>un</v>
          </cell>
          <cell r="F283">
            <v>0.5</v>
          </cell>
          <cell r="H283">
            <v>3520</v>
          </cell>
          <cell r="I283">
            <v>1760</v>
          </cell>
        </row>
        <row r="284">
          <cell r="C284" t="str">
            <v>TB2505</v>
          </cell>
          <cell r="D284" t="str">
            <v>Yee PVC-S reducida 4"x2"</v>
          </cell>
          <cell r="E284" t="str">
            <v>un</v>
          </cell>
          <cell r="F284">
            <v>0.16</v>
          </cell>
          <cell r="H284">
            <v>21500</v>
          </cell>
          <cell r="I284">
            <v>3440</v>
          </cell>
        </row>
        <row r="285">
          <cell r="C285" t="str">
            <v>TB2170</v>
          </cell>
          <cell r="D285" t="str">
            <v>Codo PVC-S 45° -1/8 CxC 2" (50 mm)</v>
          </cell>
          <cell r="E285" t="str">
            <v>un</v>
          </cell>
          <cell r="F285">
            <v>0.16</v>
          </cell>
          <cell r="H285">
            <v>4200</v>
          </cell>
          <cell r="I285">
            <v>672</v>
          </cell>
        </row>
        <row r="286">
          <cell r="C286" t="str">
            <v>TB2305</v>
          </cell>
          <cell r="D286" t="str">
            <v>Sifón PVC-S 2" (50 mm)</v>
          </cell>
          <cell r="E286" t="str">
            <v>un</v>
          </cell>
          <cell r="F286">
            <v>0.17</v>
          </cell>
          <cell r="H286">
            <v>6050</v>
          </cell>
          <cell r="I286">
            <v>1028.5</v>
          </cell>
        </row>
        <row r="287">
          <cell r="C287" t="str">
            <v>AD1110</v>
          </cell>
          <cell r="D287" t="str">
            <v>Limpiador PVC 760 gramos (1/4 gal) o similar</v>
          </cell>
          <cell r="E287" t="str">
            <v>un</v>
          </cell>
          <cell r="F287">
            <v>0.02</v>
          </cell>
          <cell r="G287">
            <v>0.01</v>
          </cell>
          <cell r="H287">
            <v>63900</v>
          </cell>
          <cell r="I287">
            <v>1290.78</v>
          </cell>
        </row>
        <row r="288">
          <cell r="C288" t="str">
            <v>AD1280</v>
          </cell>
          <cell r="D288" t="str">
            <v>Soldadura PVC 1/4 gal o similar</v>
          </cell>
          <cell r="E288" t="str">
            <v>gal</v>
          </cell>
          <cell r="F288">
            <v>0.01</v>
          </cell>
          <cell r="G288">
            <v>0.01</v>
          </cell>
          <cell r="H288">
            <v>95600</v>
          </cell>
          <cell r="I288">
            <v>965.56</v>
          </cell>
        </row>
        <row r="289">
          <cell r="C289" t="str">
            <v>III. TRANSPORTES</v>
          </cell>
          <cell r="F289" t="str">
            <v>Km</v>
          </cell>
          <cell r="G289" t="str">
            <v>PESO</v>
          </cell>
          <cell r="H289" t="str">
            <v>T/KM</v>
          </cell>
          <cell r="I289">
            <v>20.035349999999998</v>
          </cell>
        </row>
        <row r="290">
          <cell r="C290" t="str">
            <v>TR1070</v>
          </cell>
          <cell r="D290" t="str">
            <v xml:space="preserve">Transporte de materiales varios </v>
          </cell>
          <cell r="E290" t="str">
            <v>T/km</v>
          </cell>
          <cell r="F290">
            <v>30</v>
          </cell>
          <cell r="G290">
            <v>9.8939999999999987E-4</v>
          </cell>
          <cell r="H290">
            <v>675</v>
          </cell>
          <cell r="I290">
            <v>20.035349999999998</v>
          </cell>
        </row>
        <row r="291">
          <cell r="C291" t="str">
            <v>IV. MANO DE OBRA</v>
          </cell>
          <cell r="I291">
            <v>3513.81</v>
          </cell>
        </row>
        <row r="292">
          <cell r="C292" t="str">
            <v>MOFICIAL</v>
          </cell>
          <cell r="D292" t="str">
            <v>Mo oficial</v>
          </cell>
          <cell r="E292" t="str">
            <v>día</v>
          </cell>
          <cell r="F292">
            <v>0.03</v>
          </cell>
          <cell r="H292">
            <v>117127</v>
          </cell>
          <cell r="I292">
            <v>3513.81</v>
          </cell>
        </row>
        <row r="293">
          <cell r="C293" t="str">
            <v>6.7</v>
          </cell>
          <cell r="D293" t="str">
            <v>Red sanitaria de piso en tubería PVC-S 4", incluye accesorios y todo lo necesario para su correcta instalación. Sometida al sistema ya presurizado.</v>
          </cell>
          <cell r="E293" t="str">
            <v>m</v>
          </cell>
          <cell r="F293">
            <v>11.3</v>
          </cell>
          <cell r="H293" t="str">
            <v/>
          </cell>
          <cell r="I293">
            <v>40363</v>
          </cell>
        </row>
        <row r="294">
          <cell r="C294" t="str">
            <v>I. EQUIPO Y HERRAMIENTA</v>
          </cell>
          <cell r="I294">
            <v>234.25400000000002</v>
          </cell>
        </row>
        <row r="295">
          <cell r="C295" t="str">
            <v>HTAMNR</v>
          </cell>
          <cell r="D295" t="str">
            <v>Herramienta y equipo menor</v>
          </cell>
          <cell r="E295" t="str">
            <v>%</v>
          </cell>
          <cell r="G295">
            <v>0.05</v>
          </cell>
          <cell r="H295">
            <v>4685.08</v>
          </cell>
          <cell r="I295">
            <v>234.25400000000002</v>
          </cell>
        </row>
        <row r="296">
          <cell r="C296" t="str">
            <v>II. MATERIALES</v>
          </cell>
          <cell r="I296">
            <v>35410.572</v>
          </cell>
        </row>
        <row r="297">
          <cell r="C297" t="str">
            <v>TB2420</v>
          </cell>
          <cell r="D297" t="str">
            <v>Tubería PVC-S 4" (100 mm)</v>
          </cell>
          <cell r="E297" t="str">
            <v>m</v>
          </cell>
          <cell r="F297">
            <v>1</v>
          </cell>
          <cell r="G297">
            <v>0.03</v>
          </cell>
          <cell r="H297">
            <v>22150</v>
          </cell>
          <cell r="I297">
            <v>22814.5</v>
          </cell>
        </row>
        <row r="298">
          <cell r="C298" t="str">
            <v>TB2230</v>
          </cell>
          <cell r="D298" t="str">
            <v>Codo PVC-S 90° -1/4 CxC 4" (100 mm)</v>
          </cell>
          <cell r="E298" t="str">
            <v>un</v>
          </cell>
          <cell r="F298">
            <v>0.17002</v>
          </cell>
          <cell r="H298">
            <v>13600</v>
          </cell>
          <cell r="I298">
            <v>2312.2719999999999</v>
          </cell>
        </row>
        <row r="299">
          <cell r="C299" t="str">
            <v>TB2495</v>
          </cell>
          <cell r="D299" t="str">
            <v>Yee PVC-S 4" (100 mm)</v>
          </cell>
          <cell r="E299" t="str">
            <v>un</v>
          </cell>
          <cell r="F299">
            <v>0.1</v>
          </cell>
          <cell r="H299">
            <v>21500</v>
          </cell>
          <cell r="I299">
            <v>2150</v>
          </cell>
        </row>
        <row r="300">
          <cell r="C300" t="str">
            <v>TB2180</v>
          </cell>
          <cell r="D300" t="str">
            <v>Codo PVC-S 45° -1/8 CxC 4" (100 mm)</v>
          </cell>
          <cell r="E300" t="str">
            <v>un</v>
          </cell>
          <cell r="F300">
            <v>0.1</v>
          </cell>
          <cell r="H300">
            <v>16900</v>
          </cell>
          <cell r="I300">
            <v>1690</v>
          </cell>
        </row>
        <row r="301">
          <cell r="C301" t="str">
            <v>AD1110</v>
          </cell>
          <cell r="D301" t="str">
            <v>Limpiador PVC 760 gramos (1/4 gal) o similar</v>
          </cell>
          <cell r="E301" t="str">
            <v>un</v>
          </cell>
          <cell r="F301">
            <v>0.04</v>
          </cell>
          <cell r="G301">
            <v>0.01</v>
          </cell>
          <cell r="H301">
            <v>63900</v>
          </cell>
          <cell r="I301">
            <v>2581.56</v>
          </cell>
        </row>
        <row r="302">
          <cell r="C302" t="str">
            <v>AD1280</v>
          </cell>
          <cell r="D302" t="str">
            <v>Soldadura PVC 1/4 gal o similar</v>
          </cell>
          <cell r="E302" t="str">
            <v>gal</v>
          </cell>
          <cell r="F302">
            <v>0.04</v>
          </cell>
          <cell r="G302">
            <v>0.01</v>
          </cell>
          <cell r="H302">
            <v>95600</v>
          </cell>
          <cell r="I302">
            <v>3862.24</v>
          </cell>
        </row>
        <row r="303">
          <cell r="C303" t="str">
            <v>III. TRANSPORTES</v>
          </cell>
          <cell r="F303" t="str">
            <v>Km</v>
          </cell>
          <cell r="G303" t="str">
            <v>PESO</v>
          </cell>
          <cell r="H303" t="str">
            <v>T/KM</v>
          </cell>
          <cell r="I303">
            <v>33.137180999999998</v>
          </cell>
        </row>
        <row r="304">
          <cell r="C304" t="str">
            <v>TR1070</v>
          </cell>
          <cell r="D304" t="str">
            <v xml:space="preserve">Transporte de materiales varios </v>
          </cell>
          <cell r="E304" t="str">
            <v>T/km</v>
          </cell>
          <cell r="F304">
            <v>30</v>
          </cell>
          <cell r="G304">
            <v>1.6364039999999999E-3</v>
          </cell>
          <cell r="H304">
            <v>675</v>
          </cell>
          <cell r="I304">
            <v>33.137180999999998</v>
          </cell>
        </row>
        <row r="305">
          <cell r="C305" t="str">
            <v>IV. MANO DE OBRA</v>
          </cell>
          <cell r="I305">
            <v>4685.08</v>
          </cell>
        </row>
        <row r="306">
          <cell r="C306" t="str">
            <v>MOFICIAL</v>
          </cell>
          <cell r="D306" t="str">
            <v>Mo oficial</v>
          </cell>
          <cell r="E306" t="str">
            <v>día</v>
          </cell>
          <cell r="F306">
            <v>0.04</v>
          </cell>
          <cell r="H306">
            <v>117127</v>
          </cell>
          <cell r="I306">
            <v>4685.08</v>
          </cell>
        </row>
        <row r="307">
          <cell r="C307" t="str">
            <v>6.8</v>
          </cell>
          <cell r="D307" t="str">
            <v>Construcción de caja de empalme, dimensiones de 0,5 m x 0,5 m, con altura de 0,7 m-espesor de paredes 0,1 m. Incluye: herraje para tapa, cañuela y todos los materiales indicados en el plano, mano de obra, herramientas, formaleta, equipo, concreto de 21 Mpa, todos los demás elementos necesarios para el normal desarrollo de la actividad.</v>
          </cell>
          <cell r="E307" t="str">
            <v>un</v>
          </cell>
          <cell r="F307">
            <v>2</v>
          </cell>
          <cell r="H307" t="str">
            <v/>
          </cell>
          <cell r="I307">
            <v>390488</v>
          </cell>
        </row>
        <row r="308">
          <cell r="C308" t="str">
            <v>I. EQUIPO Y HERRAMIENTA</v>
          </cell>
          <cell r="I308">
            <v>4562.05</v>
          </cell>
        </row>
        <row r="309">
          <cell r="C309" t="str">
            <v>HTAMNR</v>
          </cell>
          <cell r="D309" t="str">
            <v>Herramienta y equipo menor</v>
          </cell>
          <cell r="E309" t="str">
            <v>%</v>
          </cell>
          <cell r="G309">
            <v>0.05</v>
          </cell>
          <cell r="H309">
            <v>91241</v>
          </cell>
          <cell r="I309">
            <v>4562.05</v>
          </cell>
        </row>
        <row r="310">
          <cell r="C310" t="str">
            <v>II. MATERIALES</v>
          </cell>
          <cell r="I310">
            <v>285450.91200000001</v>
          </cell>
        </row>
        <row r="311">
          <cell r="C311" t="str">
            <v>RF1050</v>
          </cell>
          <cell r="D311" t="str">
            <v>Herraje tapa caja 0.50m x 0.50m</v>
          </cell>
          <cell r="E311" t="str">
            <v>un</v>
          </cell>
          <cell r="F311">
            <v>1</v>
          </cell>
          <cell r="H311">
            <v>92500</v>
          </cell>
          <cell r="I311">
            <v>92500</v>
          </cell>
        </row>
        <row r="312">
          <cell r="C312" t="str">
            <v>MAT1015</v>
          </cell>
          <cell r="D312" t="str">
            <v>Angulo de acero de 2"x2"x1/4"</v>
          </cell>
          <cell r="E312" t="str">
            <v>m</v>
          </cell>
          <cell r="F312">
            <v>1.4</v>
          </cell>
          <cell r="H312">
            <v>31500</v>
          </cell>
          <cell r="I312">
            <v>44100</v>
          </cell>
        </row>
        <row r="313">
          <cell r="C313" t="str">
            <v>RF1070</v>
          </cell>
          <cell r="D313" t="str">
            <v>Malla electrosoldada D-84 (2,35m x 6m)</v>
          </cell>
          <cell r="E313" t="str">
            <v>un</v>
          </cell>
          <cell r="F313">
            <v>0.02</v>
          </cell>
          <cell r="G313">
            <v>0.01</v>
          </cell>
          <cell r="H313">
            <v>121350</v>
          </cell>
          <cell r="I313">
            <v>2451.27</v>
          </cell>
        </row>
        <row r="314">
          <cell r="C314" t="str">
            <v>RF1140</v>
          </cell>
          <cell r="D314" t="str">
            <v>Malla electrosoldada D-221 (2,35m x 6m)</v>
          </cell>
          <cell r="E314" t="str">
            <v>un</v>
          </cell>
          <cell r="F314">
            <v>0.14000000000000001</v>
          </cell>
          <cell r="G314">
            <v>0.01</v>
          </cell>
          <cell r="H314">
            <v>260500</v>
          </cell>
          <cell r="I314">
            <v>36834.700000000004</v>
          </cell>
        </row>
        <row r="315">
          <cell r="C315" t="str">
            <v>CT210KG</v>
          </cell>
          <cell r="D315" t="str">
            <v>Concreto 210kg/cm² 1:2:3</v>
          </cell>
          <cell r="E315" t="str">
            <v>m3</v>
          </cell>
          <cell r="F315">
            <v>0.18</v>
          </cell>
          <cell r="G315">
            <v>0.05</v>
          </cell>
          <cell r="H315">
            <v>491878</v>
          </cell>
          <cell r="I315">
            <v>92964.941999999995</v>
          </cell>
        </row>
        <row r="316">
          <cell r="C316" t="str">
            <v>MAT1095</v>
          </cell>
          <cell r="D316" t="str">
            <v>Clavo común 37.5 a 100 mm</v>
          </cell>
          <cell r="E316" t="str">
            <v>lb</v>
          </cell>
          <cell r="F316">
            <v>0.5</v>
          </cell>
          <cell r="H316">
            <v>3800</v>
          </cell>
          <cell r="I316">
            <v>1900</v>
          </cell>
        </row>
        <row r="317">
          <cell r="C317" t="str">
            <v>MAT1295</v>
          </cell>
          <cell r="D317" t="str">
            <v>Tabla madera común 1x8" 3m</v>
          </cell>
          <cell r="E317" t="str">
            <v>un</v>
          </cell>
          <cell r="F317">
            <v>1.5</v>
          </cell>
          <cell r="H317">
            <v>9800</v>
          </cell>
          <cell r="I317">
            <v>14700</v>
          </cell>
        </row>
        <row r="318">
          <cell r="C318" t="str">
            <v>III. TRANSPORTES</v>
          </cell>
          <cell r="F318" t="str">
            <v>Km</v>
          </cell>
          <cell r="G318" t="str">
            <v>PESO</v>
          </cell>
          <cell r="H318" t="str">
            <v>T/KM</v>
          </cell>
          <cell r="I318">
            <v>9233.8785000000007</v>
          </cell>
        </row>
        <row r="319">
          <cell r="C319" t="str">
            <v>TR1070</v>
          </cell>
          <cell r="D319" t="str">
            <v xml:space="preserve">Transporte de materiales varios </v>
          </cell>
          <cell r="E319" t="str">
            <v>T/km</v>
          </cell>
          <cell r="F319">
            <v>30</v>
          </cell>
          <cell r="G319">
            <v>0.45599400000000001</v>
          </cell>
          <cell r="H319">
            <v>675</v>
          </cell>
          <cell r="I319">
            <v>9233.8785000000007</v>
          </cell>
        </row>
        <row r="320">
          <cell r="C320" t="str">
            <v>IV. MANO DE OBRA</v>
          </cell>
          <cell r="I320">
            <v>91241</v>
          </cell>
        </row>
        <row r="321">
          <cell r="C321" t="str">
            <v>MOFICIAL</v>
          </cell>
          <cell r="D321" t="str">
            <v>Mo oficial</v>
          </cell>
          <cell r="E321" t="str">
            <v>día</v>
          </cell>
          <cell r="F321">
            <v>0.5</v>
          </cell>
          <cell r="H321">
            <v>117127</v>
          </cell>
          <cell r="I321">
            <v>58563.5</v>
          </cell>
        </row>
        <row r="322">
          <cell r="C322" t="str">
            <v>MOAYUDR</v>
          </cell>
          <cell r="D322" t="str">
            <v>Mo ayudante raso</v>
          </cell>
          <cell r="E322" t="str">
            <v>día</v>
          </cell>
          <cell r="F322">
            <v>0.5</v>
          </cell>
          <cell r="H322">
            <v>65355</v>
          </cell>
          <cell r="I322">
            <v>32677.5</v>
          </cell>
        </row>
        <row r="323">
          <cell r="C323" t="str">
            <v>7.</v>
          </cell>
          <cell r="D323" t="str">
            <v>INSTALACIONES ELECTRICAS</v>
          </cell>
          <cell r="E323" t="str">
            <v/>
          </cell>
          <cell r="H323" t="str">
            <v/>
          </cell>
        </row>
        <row r="324">
          <cell r="C324" t="str">
            <v>7.1</v>
          </cell>
          <cell r="D324" t="str">
            <v>Suministro e instalación de toma corriente 125V doble con polo a tierra, 15A. de empotrar. Incluye caja, accesorios, fijaciones y todos los elementos para su correcta instalación. Los materiales deben cumplir con certificación RETIE.</v>
          </cell>
          <cell r="E324" t="str">
            <v>Un</v>
          </cell>
          <cell r="F324">
            <v>1</v>
          </cell>
          <cell r="H324" t="str">
            <v/>
          </cell>
          <cell r="I324">
            <v>9376</v>
          </cell>
        </row>
        <row r="325">
          <cell r="C325" t="str">
            <v>I. EQUIPO Y HERRAMIENTA</v>
          </cell>
          <cell r="I325">
            <v>87.845250000000007</v>
          </cell>
        </row>
        <row r="326">
          <cell r="C326" t="str">
            <v>HTAMNR</v>
          </cell>
          <cell r="D326" t="str">
            <v>Herramienta y equipo menor</v>
          </cell>
          <cell r="E326" t="str">
            <v>%</v>
          </cell>
          <cell r="G326">
            <v>0.05</v>
          </cell>
          <cell r="H326">
            <v>1756.905</v>
          </cell>
          <cell r="I326">
            <v>87.845250000000007</v>
          </cell>
        </row>
        <row r="327">
          <cell r="C327" t="str">
            <v>II. MATERIALES</v>
          </cell>
          <cell r="I327">
            <v>7526.2240000000002</v>
          </cell>
        </row>
        <row r="328">
          <cell r="C328" t="str">
            <v>EL1190</v>
          </cell>
          <cell r="D328" t="str">
            <v>Toma corriente 125v doble con polo a tierra, 15A, con tapa</v>
          </cell>
          <cell r="E328" t="str">
            <v>un</v>
          </cell>
          <cell r="F328">
            <v>1</v>
          </cell>
          <cell r="H328">
            <v>5100</v>
          </cell>
          <cell r="I328">
            <v>5100</v>
          </cell>
        </row>
        <row r="329">
          <cell r="C329" t="str">
            <v>EL1090</v>
          </cell>
          <cell r="D329" t="str">
            <v>Caja sencilla 2"x4" PVC</v>
          </cell>
          <cell r="E329" t="str">
            <v>un</v>
          </cell>
          <cell r="F329">
            <v>1</v>
          </cell>
          <cell r="H329">
            <v>1000</v>
          </cell>
          <cell r="I329">
            <v>1000</v>
          </cell>
        </row>
        <row r="330">
          <cell r="C330" t="str">
            <v>EL1180</v>
          </cell>
          <cell r="D330" t="str">
            <v>Adaptadores terminales PVC 1/2" Conduit o similar</v>
          </cell>
          <cell r="E330" t="str">
            <v>un</v>
          </cell>
          <cell r="F330">
            <v>2</v>
          </cell>
          <cell r="H330">
            <v>520</v>
          </cell>
          <cell r="I330">
            <v>1040</v>
          </cell>
        </row>
        <row r="331">
          <cell r="C331" t="str">
            <v>AD1280</v>
          </cell>
          <cell r="D331" t="str">
            <v>Soldadura PVC 1/4 gal o similar</v>
          </cell>
          <cell r="E331" t="str">
            <v>gal</v>
          </cell>
          <cell r="F331">
            <v>4.0000000000000001E-3</v>
          </cell>
          <cell r="G331">
            <v>0.01</v>
          </cell>
          <cell r="H331">
            <v>95600</v>
          </cell>
          <cell r="I331">
            <v>386.22400000000005</v>
          </cell>
        </row>
        <row r="332">
          <cell r="C332" t="str">
            <v>III. TRANSPORTES</v>
          </cell>
          <cell r="F332" t="str">
            <v>Km</v>
          </cell>
          <cell r="G332" t="str">
            <v>PESO</v>
          </cell>
          <cell r="H332" t="str">
            <v>T/KM</v>
          </cell>
          <cell r="I332">
            <v>5.0446800000000005</v>
          </cell>
        </row>
        <row r="333">
          <cell r="C333" t="str">
            <v>TR1070</v>
          </cell>
          <cell r="D333" t="str">
            <v xml:space="preserve">Transporte de materiales varios </v>
          </cell>
          <cell r="E333" t="str">
            <v>T/km</v>
          </cell>
          <cell r="F333">
            <v>30</v>
          </cell>
          <cell r="G333">
            <v>2.4912000000000003E-4</v>
          </cell>
          <cell r="H333">
            <v>675</v>
          </cell>
          <cell r="I333">
            <v>5.0446800000000005</v>
          </cell>
        </row>
        <row r="334">
          <cell r="C334" t="str">
            <v>IV. MANO DE OBRA</v>
          </cell>
          <cell r="I334">
            <v>1756.905</v>
          </cell>
        </row>
        <row r="335">
          <cell r="C335" t="str">
            <v>MOFICIAL</v>
          </cell>
          <cell r="D335" t="str">
            <v>Mo oficial</v>
          </cell>
          <cell r="E335" t="str">
            <v>día</v>
          </cell>
          <cell r="F335">
            <v>1.4999999999999999E-2</v>
          </cell>
          <cell r="H335">
            <v>117127</v>
          </cell>
          <cell r="I335">
            <v>1756.905</v>
          </cell>
        </row>
        <row r="336">
          <cell r="C336" t="str">
            <v>7.2</v>
          </cell>
          <cell r="D336" t="str">
            <v>Suministro e instalación de tomas GFCI, blanca, de empotrar. Incluye caja, accesorios, fijaciones y todos los elementos para su correcta instalación. Los materiales deben cumplir con certificación RETIE.</v>
          </cell>
          <cell r="E336" t="str">
            <v>Un</v>
          </cell>
          <cell r="F336">
            <v>3</v>
          </cell>
          <cell r="H336" t="str">
            <v/>
          </cell>
          <cell r="I336">
            <v>38676</v>
          </cell>
        </row>
        <row r="337">
          <cell r="C337" t="str">
            <v>I. EQUIPO Y HERRAMIENTA</v>
          </cell>
          <cell r="I337">
            <v>87.845250000000007</v>
          </cell>
        </row>
        <row r="338">
          <cell r="C338" t="str">
            <v>HTAMNR</v>
          </cell>
          <cell r="D338" t="str">
            <v>Herramienta y equipo menor</v>
          </cell>
          <cell r="E338" t="str">
            <v>%</v>
          </cell>
          <cell r="G338">
            <v>0.05</v>
          </cell>
          <cell r="H338">
            <v>1756.905</v>
          </cell>
          <cell r="I338">
            <v>87.845250000000007</v>
          </cell>
        </row>
        <row r="339">
          <cell r="C339" t="str">
            <v>II. MATERIALES</v>
          </cell>
          <cell r="I339">
            <v>36826.224000000002</v>
          </cell>
        </row>
        <row r="340">
          <cell r="C340" t="str">
            <v>EL1200</v>
          </cell>
          <cell r="D340" t="str">
            <v>Toma corriente GFCI, 125v doble con polo a tierra, 15A, con tapa</v>
          </cell>
          <cell r="E340" t="str">
            <v>un</v>
          </cell>
          <cell r="F340">
            <v>1</v>
          </cell>
          <cell r="H340">
            <v>33900</v>
          </cell>
          <cell r="I340">
            <v>33900</v>
          </cell>
        </row>
        <row r="341">
          <cell r="C341" t="str">
            <v>EL1091</v>
          </cell>
          <cell r="D341" t="str">
            <v>Caja doble 4"x4" PVC con suplemento</v>
          </cell>
          <cell r="E341" t="str">
            <v>un</v>
          </cell>
          <cell r="F341">
            <v>1</v>
          </cell>
          <cell r="H341">
            <v>1500</v>
          </cell>
          <cell r="I341">
            <v>1500</v>
          </cell>
        </row>
        <row r="342">
          <cell r="C342" t="str">
            <v>EL1180</v>
          </cell>
          <cell r="D342" t="str">
            <v>Adaptadores terminales PVC 1/2" Conduit o similar</v>
          </cell>
          <cell r="E342" t="str">
            <v>un</v>
          </cell>
          <cell r="F342">
            <v>2</v>
          </cell>
          <cell r="H342">
            <v>520</v>
          </cell>
          <cell r="I342">
            <v>1040</v>
          </cell>
        </row>
        <row r="343">
          <cell r="C343" t="str">
            <v>AD1280</v>
          </cell>
          <cell r="D343" t="str">
            <v>Soldadura PVC 1/4 gal o similar</v>
          </cell>
          <cell r="E343" t="str">
            <v>gal</v>
          </cell>
          <cell r="F343">
            <v>4.0000000000000001E-3</v>
          </cell>
          <cell r="G343">
            <v>0.01</v>
          </cell>
          <cell r="H343">
            <v>95600</v>
          </cell>
          <cell r="I343">
            <v>386.22400000000005</v>
          </cell>
        </row>
        <row r="344">
          <cell r="C344" t="str">
            <v>III. TRANSPORTES</v>
          </cell>
          <cell r="F344" t="str">
            <v>Km</v>
          </cell>
          <cell r="G344" t="str">
            <v>PESO</v>
          </cell>
          <cell r="H344" t="str">
            <v>T/KM</v>
          </cell>
          <cell r="I344">
            <v>4.9215600000000004</v>
          </cell>
        </row>
        <row r="345">
          <cell r="C345" t="str">
            <v>TR1070</v>
          </cell>
          <cell r="D345" t="str">
            <v xml:space="preserve">Transporte de materiales varios </v>
          </cell>
          <cell r="E345" t="str">
            <v>T/km</v>
          </cell>
          <cell r="F345">
            <v>30</v>
          </cell>
          <cell r="G345">
            <v>2.4304000000000003E-4</v>
          </cell>
          <cell r="H345">
            <v>675</v>
          </cell>
          <cell r="I345">
            <v>4.9215600000000004</v>
          </cell>
        </row>
        <row r="346">
          <cell r="C346" t="str">
            <v>IV. MANO DE OBRA</v>
          </cell>
          <cell r="I346">
            <v>1756.905</v>
          </cell>
        </row>
        <row r="347">
          <cell r="C347" t="str">
            <v>MOFICIAL</v>
          </cell>
          <cell r="D347" t="str">
            <v>Mo oficial</v>
          </cell>
          <cell r="E347" t="str">
            <v>día</v>
          </cell>
          <cell r="F347">
            <v>1.4999999999999999E-2</v>
          </cell>
          <cell r="H347">
            <v>117127</v>
          </cell>
          <cell r="I347">
            <v>1756.905</v>
          </cell>
        </row>
        <row r="348">
          <cell r="C348" t="str">
            <v>7.3</v>
          </cell>
          <cell r="D348" t="str">
            <v xml:space="preserve">Suministro e instalación de interruptor sencillo blanco, de empotrar. Incluye caja, accesorios, fijaciones y todos los elementos para su correcta instalación. Los materiales deben cumplir con certificación RETIE. </v>
          </cell>
          <cell r="E348" t="str">
            <v>Un</v>
          </cell>
          <cell r="F348">
            <v>4</v>
          </cell>
          <cell r="H348" t="str">
            <v/>
          </cell>
          <cell r="I348">
            <v>9275</v>
          </cell>
        </row>
        <row r="349">
          <cell r="C349" t="str">
            <v>I. EQUIPO Y HERRAMIENTA</v>
          </cell>
          <cell r="I349">
            <v>87.845250000000007</v>
          </cell>
        </row>
        <row r="350">
          <cell r="C350" t="str">
            <v>HTAMNR</v>
          </cell>
          <cell r="D350" t="str">
            <v>Herramienta y equipo menor</v>
          </cell>
          <cell r="E350" t="str">
            <v>%</v>
          </cell>
          <cell r="G350">
            <v>0.05</v>
          </cell>
          <cell r="H350">
            <v>1756.905</v>
          </cell>
          <cell r="I350">
            <v>87.845250000000007</v>
          </cell>
        </row>
        <row r="351">
          <cell r="C351" t="str">
            <v>II. MATERIALES</v>
          </cell>
          <cell r="I351">
            <v>7426.2240000000002</v>
          </cell>
        </row>
        <row r="352">
          <cell r="C352" t="str">
            <v>EL1160</v>
          </cell>
          <cell r="D352" t="str">
            <v>Interruptor Sencillo Blanco marca EXE o similar</v>
          </cell>
          <cell r="E352" t="str">
            <v>un</v>
          </cell>
          <cell r="F352">
            <v>1</v>
          </cell>
          <cell r="H352">
            <v>5000</v>
          </cell>
          <cell r="I352">
            <v>5000</v>
          </cell>
        </row>
        <row r="353">
          <cell r="C353" t="str">
            <v>EL1090</v>
          </cell>
          <cell r="D353" t="str">
            <v>Caja sencilla 2"x4" PVC</v>
          </cell>
          <cell r="E353" t="str">
            <v>un</v>
          </cell>
          <cell r="F353">
            <v>1</v>
          </cell>
          <cell r="H353">
            <v>1000</v>
          </cell>
          <cell r="I353">
            <v>1000</v>
          </cell>
        </row>
        <row r="354">
          <cell r="C354" t="str">
            <v>EL1180</v>
          </cell>
          <cell r="D354" t="str">
            <v>Adaptadores terminales PVC 1/2" Conduit o similar</v>
          </cell>
          <cell r="E354" t="str">
            <v>un</v>
          </cell>
          <cell r="F354">
            <v>2</v>
          </cell>
          <cell r="H354">
            <v>520</v>
          </cell>
          <cell r="I354">
            <v>1040</v>
          </cell>
        </row>
        <row r="355">
          <cell r="C355" t="str">
            <v>AD1280</v>
          </cell>
          <cell r="D355" t="str">
            <v>Soldadura PVC 1/4 gal o similar</v>
          </cell>
          <cell r="E355" t="str">
            <v>gal</v>
          </cell>
          <cell r="F355">
            <v>4.0000000000000001E-3</v>
          </cell>
          <cell r="G355">
            <v>0.01</v>
          </cell>
          <cell r="H355">
            <v>95600</v>
          </cell>
          <cell r="I355">
            <v>386.22400000000005</v>
          </cell>
        </row>
        <row r="356">
          <cell r="C356" t="str">
            <v>III. TRANSPORTES</v>
          </cell>
          <cell r="F356" t="str">
            <v>Km</v>
          </cell>
          <cell r="G356" t="str">
            <v>PESO</v>
          </cell>
          <cell r="H356" t="str">
            <v>T/KM</v>
          </cell>
          <cell r="I356">
            <v>3.6911700000000001</v>
          </cell>
        </row>
        <row r="357">
          <cell r="C357" t="str">
            <v>TR1070</v>
          </cell>
          <cell r="D357" t="str">
            <v xml:space="preserve">Transporte de materiales varios </v>
          </cell>
          <cell r="E357" t="str">
            <v>T/km</v>
          </cell>
          <cell r="F357">
            <v>30</v>
          </cell>
          <cell r="G357">
            <v>1.8228E-4</v>
          </cell>
          <cell r="H357">
            <v>675</v>
          </cell>
          <cell r="I357">
            <v>3.6911700000000001</v>
          </cell>
        </row>
        <row r="358">
          <cell r="C358" t="str">
            <v>IV. MANO DE OBRA</v>
          </cell>
          <cell r="I358">
            <v>1756.905</v>
          </cell>
        </row>
        <row r="359">
          <cell r="C359" t="str">
            <v>MOFICIAL</v>
          </cell>
          <cell r="D359" t="str">
            <v>Mo oficial</v>
          </cell>
          <cell r="E359" t="str">
            <v>día</v>
          </cell>
          <cell r="F359">
            <v>1.4999999999999999E-2</v>
          </cell>
          <cell r="H359">
            <v>117127</v>
          </cell>
          <cell r="I359">
            <v>1756.905</v>
          </cell>
        </row>
        <row r="360">
          <cell r="C360" t="str">
            <v>7.4</v>
          </cell>
          <cell r="D360" t="str">
            <v xml:space="preserve">Suministro e instalación de plafones, salidas para iluminación. En baquelita, blanco, de sobreponer. Incluye caja, accesorios, fijaciones y todos los elementos para su correcta instalación. Los materiales deben cumplir con certificación RETIE. </v>
          </cell>
          <cell r="E360" t="str">
            <v>Un</v>
          </cell>
          <cell r="F360">
            <v>5</v>
          </cell>
          <cell r="H360" t="str">
            <v/>
          </cell>
          <cell r="I360">
            <v>7416</v>
          </cell>
        </row>
        <row r="361">
          <cell r="C361" t="str">
            <v>I. EQUIPO Y HERRAMIENTA</v>
          </cell>
          <cell r="I361">
            <v>87.845250000000007</v>
          </cell>
        </row>
        <row r="362">
          <cell r="C362" t="str">
            <v>HTAMNR</v>
          </cell>
          <cell r="D362" t="str">
            <v>Herramienta y equipo menor</v>
          </cell>
          <cell r="E362" t="str">
            <v>%</v>
          </cell>
          <cell r="G362">
            <v>0.05</v>
          </cell>
          <cell r="H362">
            <v>1756.905</v>
          </cell>
          <cell r="I362">
            <v>87.845250000000007</v>
          </cell>
        </row>
        <row r="363">
          <cell r="C363" t="str">
            <v>II. MATERIALES</v>
          </cell>
          <cell r="I363">
            <v>5566.2240000000002</v>
          </cell>
        </row>
        <row r="364">
          <cell r="C364" t="str">
            <v>EL1130</v>
          </cell>
          <cell r="D364" t="str">
            <v>Plafón en baquelita tipo AVE o similar</v>
          </cell>
          <cell r="E364" t="str">
            <v>un</v>
          </cell>
          <cell r="F364">
            <v>1</v>
          </cell>
          <cell r="H364">
            <v>2800</v>
          </cell>
          <cell r="I364">
            <v>2800</v>
          </cell>
        </row>
        <row r="365">
          <cell r="C365" t="str">
            <v>EL1135</v>
          </cell>
          <cell r="D365" t="str">
            <v>Caja Octagonal PVC Pavco o similar</v>
          </cell>
          <cell r="E365" t="str">
            <v>un</v>
          </cell>
          <cell r="F365">
            <v>1</v>
          </cell>
          <cell r="H365">
            <v>1340</v>
          </cell>
          <cell r="I365">
            <v>1340</v>
          </cell>
        </row>
        <row r="366">
          <cell r="C366" t="str">
            <v>EL1180</v>
          </cell>
          <cell r="D366" t="str">
            <v>Adaptadores terminales PVC 1/2" Conduit o similar</v>
          </cell>
          <cell r="E366" t="str">
            <v>un</v>
          </cell>
          <cell r="F366">
            <v>2</v>
          </cell>
          <cell r="H366">
            <v>520</v>
          </cell>
          <cell r="I366">
            <v>1040</v>
          </cell>
        </row>
        <row r="367">
          <cell r="C367" t="str">
            <v>AD1280</v>
          </cell>
          <cell r="D367" t="str">
            <v>Soldadura PVC 1/4 gal o similar</v>
          </cell>
          <cell r="E367" t="str">
            <v>gal</v>
          </cell>
          <cell r="F367">
            <v>4.0000000000000001E-3</v>
          </cell>
          <cell r="G367">
            <v>0.01</v>
          </cell>
          <cell r="H367">
            <v>95600</v>
          </cell>
          <cell r="I367">
            <v>386.22400000000005</v>
          </cell>
        </row>
        <row r="368">
          <cell r="C368" t="str">
            <v>III. TRANSPORTES</v>
          </cell>
          <cell r="F368" t="str">
            <v>Km</v>
          </cell>
          <cell r="G368" t="str">
            <v>PESO</v>
          </cell>
          <cell r="H368" t="str">
            <v>T/KM</v>
          </cell>
          <cell r="I368">
            <v>4.6396800000000002</v>
          </cell>
        </row>
        <row r="369">
          <cell r="C369" t="str">
            <v>TR1070</v>
          </cell>
          <cell r="D369" t="str">
            <v xml:space="preserve">Transporte de materiales varios </v>
          </cell>
          <cell r="E369" t="str">
            <v>T/km</v>
          </cell>
          <cell r="F369">
            <v>30</v>
          </cell>
          <cell r="G369">
            <v>2.2912E-4</v>
          </cell>
          <cell r="H369">
            <v>675</v>
          </cell>
          <cell r="I369">
            <v>4.6396800000000002</v>
          </cell>
        </row>
        <row r="370">
          <cell r="C370" t="str">
            <v>IV. MANO DE OBRA</v>
          </cell>
          <cell r="I370">
            <v>1756.905</v>
          </cell>
        </row>
        <row r="371">
          <cell r="C371" t="str">
            <v>MOFICIAL</v>
          </cell>
          <cell r="D371" t="str">
            <v>Mo oficial</v>
          </cell>
          <cell r="E371" t="str">
            <v>día</v>
          </cell>
          <cell r="F371">
            <v>1.4999999999999999E-2</v>
          </cell>
          <cell r="H371">
            <v>117127</v>
          </cell>
          <cell r="I371">
            <v>1756.905</v>
          </cell>
        </row>
        <row r="372">
          <cell r="C372" t="str">
            <v>7.5</v>
          </cell>
          <cell r="D372" t="str">
            <v xml:space="preserve">Suministro e instalación de tubería PVC 1/2" tipo Conduit o similar. Incluye accesorios y todos los elementos para su correcta instalación. Los materiales deben cumplir con certificación RETIE. </v>
          </cell>
          <cell r="E372" t="str">
            <v>m</v>
          </cell>
          <cell r="F372">
            <v>21</v>
          </cell>
          <cell r="H372" t="str">
            <v/>
          </cell>
          <cell r="I372">
            <v>4512</v>
          </cell>
        </row>
        <row r="373">
          <cell r="C373" t="str">
            <v>I. EQUIPO Y HERRAMIENTA</v>
          </cell>
          <cell r="I373">
            <v>87.845250000000007</v>
          </cell>
        </row>
        <row r="374">
          <cell r="C374" t="str">
            <v>HTAMNR</v>
          </cell>
          <cell r="D374" t="str">
            <v>Herramienta y equipo menor</v>
          </cell>
          <cell r="E374" t="str">
            <v>%</v>
          </cell>
          <cell r="G374">
            <v>0.05</v>
          </cell>
          <cell r="H374">
            <v>1756.905</v>
          </cell>
          <cell r="I374">
            <v>87.845250000000007</v>
          </cell>
        </row>
        <row r="375">
          <cell r="C375" t="str">
            <v>II. MATERIALES</v>
          </cell>
          <cell r="I375">
            <v>2658.9800000000005</v>
          </cell>
        </row>
        <row r="376">
          <cell r="C376" t="str">
            <v>EL1220</v>
          </cell>
          <cell r="D376" t="str">
            <v>Tubería PVC Conduit de 1/2"</v>
          </cell>
          <cell r="E376" t="str">
            <v>m</v>
          </cell>
          <cell r="F376">
            <v>1</v>
          </cell>
          <cell r="G376">
            <v>0.03</v>
          </cell>
          <cell r="H376">
            <v>2040</v>
          </cell>
          <cell r="I376">
            <v>2101.2000000000003</v>
          </cell>
        </row>
        <row r="377">
          <cell r="C377" t="str">
            <v>EL1110</v>
          </cell>
          <cell r="D377" t="str">
            <v>Curvas 90° CxE 1/2" PVC Conduit o similar</v>
          </cell>
          <cell r="E377" t="str">
            <v>un</v>
          </cell>
          <cell r="F377">
            <v>0.1</v>
          </cell>
          <cell r="H377">
            <v>750</v>
          </cell>
          <cell r="I377">
            <v>75</v>
          </cell>
        </row>
        <row r="378">
          <cell r="C378" t="str">
            <v>AD1280</v>
          </cell>
          <cell r="D378" t="str">
            <v>Soldadura PVC 1/4 gal o similar</v>
          </cell>
          <cell r="E378" t="str">
            <v>gal</v>
          </cell>
          <cell r="F378">
            <v>5.0000000000000001E-3</v>
          </cell>
          <cell r="G378">
            <v>0.01</v>
          </cell>
          <cell r="H378">
            <v>95600</v>
          </cell>
          <cell r="I378">
            <v>482.78</v>
          </cell>
        </row>
        <row r="379">
          <cell r="C379" t="str">
            <v>III. TRANSPORTES</v>
          </cell>
          <cell r="F379" t="str">
            <v>Km</v>
          </cell>
          <cell r="G379" t="str">
            <v>PESO</v>
          </cell>
          <cell r="H379" t="str">
            <v>T/KM</v>
          </cell>
          <cell r="I379">
            <v>8.7378749999999989</v>
          </cell>
        </row>
        <row r="380">
          <cell r="C380" t="str">
            <v>TR1070</v>
          </cell>
          <cell r="D380" t="str">
            <v xml:space="preserve">Transporte de materiales varios </v>
          </cell>
          <cell r="E380" t="str">
            <v>T/km</v>
          </cell>
          <cell r="F380">
            <v>30</v>
          </cell>
          <cell r="G380">
            <v>4.3149999999999992E-4</v>
          </cell>
          <cell r="H380">
            <v>675</v>
          </cell>
          <cell r="I380">
            <v>8.7378749999999989</v>
          </cell>
        </row>
        <row r="381">
          <cell r="C381" t="str">
            <v>IV. MANO DE OBRA</v>
          </cell>
          <cell r="I381">
            <v>1756.905</v>
          </cell>
        </row>
        <row r="382">
          <cell r="C382" t="str">
            <v>MOFICIAL</v>
          </cell>
          <cell r="D382" t="str">
            <v>Mo oficial</v>
          </cell>
          <cell r="E382" t="str">
            <v>día</v>
          </cell>
          <cell r="F382">
            <v>1.4999999999999999E-2</v>
          </cell>
          <cell r="H382">
            <v>117127</v>
          </cell>
          <cell r="I382">
            <v>1756.905</v>
          </cell>
        </row>
        <row r="383">
          <cell r="C383" t="str">
            <v>7.6</v>
          </cell>
          <cell r="D383" t="str">
            <v>Suministro e instalación de cable de cobre 12AWU-Cu-THHN-THWN 90°C. Los materiales deben cumplir con Certificación RETIE.</v>
          </cell>
          <cell r="E383" t="str">
            <v>m</v>
          </cell>
          <cell r="F383">
            <v>63</v>
          </cell>
          <cell r="H383" t="str">
            <v/>
          </cell>
          <cell r="I383">
            <v>4216</v>
          </cell>
        </row>
        <row r="384">
          <cell r="C384" t="str">
            <v>I. EQUIPO Y HERRAMIENTA</v>
          </cell>
          <cell r="I384">
            <v>87.845250000000007</v>
          </cell>
        </row>
        <row r="385">
          <cell r="C385" t="str">
            <v>HTAMNR</v>
          </cell>
          <cell r="D385" t="str">
            <v>Herramienta y equipo menor</v>
          </cell>
          <cell r="E385" t="str">
            <v>%</v>
          </cell>
          <cell r="G385">
            <v>0.05</v>
          </cell>
          <cell r="H385">
            <v>1756.905</v>
          </cell>
          <cell r="I385">
            <v>87.845250000000007</v>
          </cell>
        </row>
        <row r="386">
          <cell r="C386" t="str">
            <v>II. MATERIALES</v>
          </cell>
          <cell r="I386">
            <v>2369</v>
          </cell>
        </row>
        <row r="387">
          <cell r="C387" t="str">
            <v>EL1060</v>
          </cell>
          <cell r="D387" t="str">
            <v>Cable de cobre N°12 AWG-Cu-THHN-THWN 90°C</v>
          </cell>
          <cell r="E387" t="str">
            <v>m</v>
          </cell>
          <cell r="F387">
            <v>1</v>
          </cell>
          <cell r="G387">
            <v>0.03</v>
          </cell>
          <cell r="H387">
            <v>2300</v>
          </cell>
          <cell r="I387">
            <v>2369</v>
          </cell>
        </row>
        <row r="388">
          <cell r="C388" t="str">
            <v>III. TRANSPORTES</v>
          </cell>
          <cell r="F388" t="str">
            <v>Km</v>
          </cell>
          <cell r="G388" t="str">
            <v>PESO</v>
          </cell>
          <cell r="H388" t="str">
            <v>T/KM</v>
          </cell>
          <cell r="I388">
            <v>2.0249999999999999</v>
          </cell>
        </row>
        <row r="389">
          <cell r="C389" t="str">
            <v>TR1070</v>
          </cell>
          <cell r="D389" t="str">
            <v xml:space="preserve">Transporte de materiales varios </v>
          </cell>
          <cell r="E389" t="str">
            <v>T/km</v>
          </cell>
          <cell r="F389">
            <v>30</v>
          </cell>
          <cell r="G389">
            <v>1E-4</v>
          </cell>
          <cell r="H389">
            <v>675</v>
          </cell>
          <cell r="I389">
            <v>2.0249999999999999</v>
          </cell>
        </row>
        <row r="390">
          <cell r="C390" t="str">
            <v>IV. MANO DE OBRA</v>
          </cell>
          <cell r="I390">
            <v>1756.905</v>
          </cell>
        </row>
        <row r="391">
          <cell r="C391" t="str">
            <v>MOFICIAL</v>
          </cell>
          <cell r="D391" t="str">
            <v>Mo oficial</v>
          </cell>
          <cell r="E391" t="str">
            <v>día</v>
          </cell>
          <cell r="F391">
            <v>1.4999999999999999E-2</v>
          </cell>
          <cell r="H391">
            <v>117127</v>
          </cell>
          <cell r="I391">
            <v>1756.905</v>
          </cell>
        </row>
        <row r="392">
          <cell r="C392" t="str">
            <v>8.</v>
          </cell>
          <cell r="D392" t="str">
            <v>CARPINTERIA METÁLICA</v>
          </cell>
          <cell r="E392" t="str">
            <v/>
          </cell>
          <cell r="H392" t="str">
            <v/>
          </cell>
        </row>
        <row r="393">
          <cell r="C393" t="str">
            <v>8.1</v>
          </cell>
          <cell r="D393" t="str">
            <v>Suministro de puerta metálica calibre 20 de 0.80x2.10m. Incluye marco, pintura anticorrosiva color negro, chapa económica, bisagras y demás elementos para su correcto funcionamiento.</v>
          </cell>
          <cell r="E393" t="str">
            <v>Un</v>
          </cell>
          <cell r="F393">
            <v>3</v>
          </cell>
          <cell r="H393" t="str">
            <v/>
          </cell>
          <cell r="I393">
            <v>379104</v>
          </cell>
        </row>
        <row r="394">
          <cell r="C394" t="str">
            <v>I. EQUIPO Y HERRAMIENTA</v>
          </cell>
          <cell r="I394">
            <v>729.92800000000011</v>
          </cell>
        </row>
        <row r="395">
          <cell r="C395" t="str">
            <v>HTAMNR</v>
          </cell>
          <cell r="D395" t="str">
            <v>Herramienta y equipo menor</v>
          </cell>
          <cell r="E395" t="str">
            <v>%</v>
          </cell>
          <cell r="G395">
            <v>0.05</v>
          </cell>
          <cell r="H395">
            <v>14598.560000000001</v>
          </cell>
          <cell r="I395">
            <v>729.92800000000011</v>
          </cell>
        </row>
        <row r="396">
          <cell r="C396" t="str">
            <v>II. MATERIALES</v>
          </cell>
          <cell r="I396">
            <v>358933.86200000002</v>
          </cell>
        </row>
        <row r="397">
          <cell r="C397" t="str">
            <v>MAT1265</v>
          </cell>
          <cell r="D397" t="str">
            <v>Puerta metálica 0.8m x 2.10m en lamina cal 20 - incluye marco y chapa economica.</v>
          </cell>
          <cell r="E397" t="str">
            <v>un</v>
          </cell>
          <cell r="F397">
            <v>1</v>
          </cell>
          <cell r="H397">
            <v>350000</v>
          </cell>
          <cell r="I397">
            <v>350000</v>
          </cell>
        </row>
        <row r="398">
          <cell r="C398" t="str">
            <v>CTM143</v>
          </cell>
          <cell r="D398" t="str">
            <v>Mortero de pega - SUBANALISIS</v>
          </cell>
          <cell r="E398" t="str">
            <v>m3</v>
          </cell>
          <cell r="F398">
            <v>0.02</v>
          </cell>
          <cell r="G398">
            <v>0.05</v>
          </cell>
          <cell r="H398">
            <v>425422</v>
          </cell>
          <cell r="I398">
            <v>8933.862000000001</v>
          </cell>
        </row>
        <row r="399">
          <cell r="C399" t="str">
            <v>III. TRANSPORTES</v>
          </cell>
          <cell r="F399" t="str">
            <v>Km</v>
          </cell>
          <cell r="G399" t="str">
            <v>PESO</v>
          </cell>
          <cell r="H399" t="str">
            <v>T/KM</v>
          </cell>
          <cell r="I399">
            <v>4842.045000000001</v>
          </cell>
        </row>
        <row r="400">
          <cell r="C400" t="str">
            <v>TR1070</v>
          </cell>
          <cell r="D400" t="str">
            <v xml:space="preserve">Transporte de materiales varios </v>
          </cell>
          <cell r="E400" t="str">
            <v>T/km</v>
          </cell>
          <cell r="F400">
            <v>130</v>
          </cell>
          <cell r="G400">
            <v>5.5180000000000007E-2</v>
          </cell>
          <cell r="H400">
            <v>675</v>
          </cell>
          <cell r="I400">
            <v>4842.045000000001</v>
          </cell>
        </row>
        <row r="401">
          <cell r="C401" t="str">
            <v>IV. MANO DE OBRA</v>
          </cell>
          <cell r="I401">
            <v>14598.560000000001</v>
          </cell>
        </row>
        <row r="402">
          <cell r="C402" t="str">
            <v>MOFICIAL</v>
          </cell>
          <cell r="D402" t="str">
            <v>Mo oficial</v>
          </cell>
          <cell r="E402" t="str">
            <v>día</v>
          </cell>
          <cell r="F402">
            <v>0.08</v>
          </cell>
          <cell r="H402">
            <v>117127</v>
          </cell>
          <cell r="I402">
            <v>9370.16</v>
          </cell>
        </row>
        <row r="403">
          <cell r="C403" t="str">
            <v>MOAYUDR</v>
          </cell>
          <cell r="D403" t="str">
            <v>Mo ayudante raso</v>
          </cell>
          <cell r="E403" t="str">
            <v>día</v>
          </cell>
          <cell r="F403">
            <v>0.08</v>
          </cell>
          <cell r="H403">
            <v>65355</v>
          </cell>
          <cell r="I403">
            <v>5228.4000000000005</v>
          </cell>
        </row>
        <row r="404">
          <cell r="C404" t="str">
            <v>8.2</v>
          </cell>
          <cell r="D404" t="str">
            <v>Suministro de ventana marco y ala en aluminio, con una sola ala corrediza, tipo economica con sistema de montante 5020, de medidas 1.20x1.20 m.V-1 Incluye adecuación de vano (demolición), y demas elementos para su correcto funcionamiento.</v>
          </cell>
          <cell r="E404" t="str">
            <v>Un</v>
          </cell>
          <cell r="F404">
            <v>3</v>
          </cell>
          <cell r="H404" t="str">
            <v/>
          </cell>
          <cell r="I404">
            <v>270718</v>
          </cell>
        </row>
        <row r="405">
          <cell r="C405" t="str">
            <v>I. EQUIPO Y HERRAMIENTA</v>
          </cell>
          <cell r="I405">
            <v>729.92800000000011</v>
          </cell>
        </row>
        <row r="406">
          <cell r="C406" t="str">
            <v>HTAMNR</v>
          </cell>
          <cell r="D406" t="str">
            <v>Herramienta y equipo menor</v>
          </cell>
          <cell r="E406" t="str">
            <v>%</v>
          </cell>
          <cell r="G406">
            <v>0.05</v>
          </cell>
          <cell r="H406">
            <v>14598.560000000001</v>
          </cell>
          <cell r="I406">
            <v>729.92800000000011</v>
          </cell>
        </row>
        <row r="407">
          <cell r="C407" t="str">
            <v>II. MATERIALES</v>
          </cell>
          <cell r="I407">
            <v>254600</v>
          </cell>
        </row>
        <row r="408">
          <cell r="C408" t="str">
            <v>MAT1411</v>
          </cell>
          <cell r="D408" t="str">
            <v>Ventana en aluminio negro 1.20x1.20m - Incluye marco en parfil 5020 y vidrio de 4mm</v>
          </cell>
          <cell r="E408" t="str">
            <v>un</v>
          </cell>
          <cell r="F408">
            <v>1</v>
          </cell>
          <cell r="H408">
            <v>254600</v>
          </cell>
          <cell r="I408">
            <v>254600</v>
          </cell>
        </row>
        <row r="409">
          <cell r="C409" t="str">
            <v>III. TRANSPORTES</v>
          </cell>
          <cell r="F409" t="str">
            <v>Km</v>
          </cell>
          <cell r="G409" t="str">
            <v>PESO</v>
          </cell>
          <cell r="H409" t="str">
            <v>T/KM</v>
          </cell>
          <cell r="I409">
            <v>789.74999999999989</v>
          </cell>
        </row>
        <row r="410">
          <cell r="C410" t="str">
            <v>TR1070</v>
          </cell>
          <cell r="D410" t="str">
            <v xml:space="preserve">Transporte de materiales varios </v>
          </cell>
          <cell r="E410" t="str">
            <v>T/km</v>
          </cell>
          <cell r="F410">
            <v>130</v>
          </cell>
          <cell r="G410">
            <v>8.9999999999999993E-3</v>
          </cell>
          <cell r="H410">
            <v>675</v>
          </cell>
          <cell r="I410">
            <v>789.74999999999989</v>
          </cell>
        </row>
        <row r="411">
          <cell r="C411" t="str">
            <v>IV. MANO DE OBRA</v>
          </cell>
          <cell r="I411">
            <v>14598.560000000001</v>
          </cell>
        </row>
        <row r="412">
          <cell r="C412" t="str">
            <v>MOFICIAL</v>
          </cell>
          <cell r="D412" t="str">
            <v>Mo oficial</v>
          </cell>
          <cell r="E412" t="str">
            <v>día</v>
          </cell>
          <cell r="F412">
            <v>0.08</v>
          </cell>
          <cell r="H412">
            <v>117127</v>
          </cell>
          <cell r="I412">
            <v>9370.16</v>
          </cell>
        </row>
        <row r="413">
          <cell r="C413" t="str">
            <v>MOAYUDR</v>
          </cell>
          <cell r="D413" t="str">
            <v>Mo ayudante raso</v>
          </cell>
          <cell r="E413" t="str">
            <v>día</v>
          </cell>
          <cell r="F413">
            <v>0.08</v>
          </cell>
          <cell r="H413">
            <v>65355</v>
          </cell>
          <cell r="I413">
            <v>5228.4000000000005</v>
          </cell>
        </row>
        <row r="414">
          <cell r="C414" t="str">
            <v>9.</v>
          </cell>
          <cell r="D414" t="str">
            <v>ENCHAPES Y ACABADOS</v>
          </cell>
          <cell r="E414" t="str">
            <v/>
          </cell>
          <cell r="H414" t="str">
            <v/>
          </cell>
        </row>
        <row r="415">
          <cell r="C415" t="str">
            <v>9.1</v>
          </cell>
          <cell r="D415" t="str">
            <v>Enchape en cerámica antideslizante para piso en baño, color blanco. Formato a definir con la Interventoría. Incluye lechada, pega y todo lo necesario para su correcta instalación.</v>
          </cell>
          <cell r="E415" t="str">
            <v>m2</v>
          </cell>
          <cell r="F415">
            <v>2.94</v>
          </cell>
          <cell r="H415" t="str">
            <v/>
          </cell>
          <cell r="I415">
            <v>52954</v>
          </cell>
        </row>
        <row r="416">
          <cell r="C416" t="str">
            <v>I. EQUIPO Y HERRAMIENTA</v>
          </cell>
          <cell r="I416">
            <v>409.94450000000006</v>
          </cell>
        </row>
        <row r="417">
          <cell r="C417" t="str">
            <v>HTAMNR</v>
          </cell>
          <cell r="D417" t="str">
            <v>Herramienta y equipo menor</v>
          </cell>
          <cell r="E417" t="str">
            <v>%</v>
          </cell>
          <cell r="G417">
            <v>0.05</v>
          </cell>
          <cell r="H417">
            <v>8198.8900000000012</v>
          </cell>
          <cell r="I417">
            <v>409.94450000000006</v>
          </cell>
        </row>
        <row r="418">
          <cell r="C418" t="str">
            <v>II. MATERIALES</v>
          </cell>
          <cell r="I418">
            <v>42515.77</v>
          </cell>
        </row>
        <row r="419">
          <cell r="C419" t="str">
            <v>MAT1040</v>
          </cell>
          <cell r="D419" t="str">
            <v>Baldosa antideslizante para piso blanco.</v>
          </cell>
          <cell r="E419" t="str">
            <v>m2</v>
          </cell>
          <cell r="F419">
            <v>1</v>
          </cell>
          <cell r="G419">
            <v>0.05</v>
          </cell>
          <cell r="H419">
            <v>35100</v>
          </cell>
          <cell r="I419">
            <v>36855</v>
          </cell>
        </row>
        <row r="420">
          <cell r="C420" t="str">
            <v>AD1160</v>
          </cell>
          <cell r="D420" t="str">
            <v>Adhesivo color gris para la instalación de ceramica, tipo Pegacor o similar.</v>
          </cell>
          <cell r="E420" t="str">
            <v>kg</v>
          </cell>
          <cell r="F420">
            <v>2.5</v>
          </cell>
          <cell r="G420">
            <v>0.03</v>
          </cell>
          <cell r="H420">
            <v>1450</v>
          </cell>
          <cell r="I420">
            <v>3733.7500000000005</v>
          </cell>
        </row>
        <row r="421">
          <cell r="C421" t="str">
            <v>AD1050</v>
          </cell>
          <cell r="D421" t="str">
            <v>Boquilla tipo Concolor o similar - color blanco/beige</v>
          </cell>
          <cell r="E421" t="str">
            <v>kg</v>
          </cell>
          <cell r="F421">
            <v>0.3</v>
          </cell>
          <cell r="G421">
            <v>0.03</v>
          </cell>
          <cell r="H421">
            <v>4780</v>
          </cell>
          <cell r="I421">
            <v>1477.02</v>
          </cell>
        </row>
        <row r="422">
          <cell r="C422" t="str">
            <v>MAT1120</v>
          </cell>
          <cell r="D422" t="str">
            <v xml:space="preserve">Estopa blanca </v>
          </cell>
          <cell r="E422" t="str">
            <v>lb</v>
          </cell>
          <cell r="F422">
            <v>0.1</v>
          </cell>
          <cell r="H422">
            <v>4500</v>
          </cell>
          <cell r="I422">
            <v>450</v>
          </cell>
        </row>
        <row r="423">
          <cell r="C423" t="str">
            <v>III. TRANSPORTES</v>
          </cell>
          <cell r="F423" t="str">
            <v>Km</v>
          </cell>
          <cell r="G423" t="str">
            <v>PESO</v>
          </cell>
          <cell r="H423" t="str">
            <v>T/KM</v>
          </cell>
          <cell r="I423">
            <v>1829.5875000000001</v>
          </cell>
        </row>
        <row r="424">
          <cell r="C424" t="str">
            <v>TR1070</v>
          </cell>
          <cell r="D424" t="str">
            <v xml:space="preserve">Transporte de materiales varios </v>
          </cell>
          <cell r="E424" t="str">
            <v>T/km</v>
          </cell>
          <cell r="F424">
            <v>130</v>
          </cell>
          <cell r="G424">
            <v>2.085E-2</v>
          </cell>
          <cell r="H424">
            <v>675</v>
          </cell>
          <cell r="I424">
            <v>1829.5875000000001</v>
          </cell>
        </row>
        <row r="425">
          <cell r="C425" t="str">
            <v>IV. MANO DE OBRA</v>
          </cell>
          <cell r="I425">
            <v>8198.8900000000012</v>
          </cell>
        </row>
        <row r="426">
          <cell r="C426" t="str">
            <v>MOFICIAL</v>
          </cell>
          <cell r="D426" t="str">
            <v>Mo oficial</v>
          </cell>
          <cell r="E426" t="str">
            <v>día</v>
          </cell>
          <cell r="F426">
            <v>7.0000000000000007E-2</v>
          </cell>
          <cell r="H426">
            <v>117127</v>
          </cell>
          <cell r="I426">
            <v>8198.8900000000012</v>
          </cell>
        </row>
        <row r="427">
          <cell r="C427" t="str">
            <v>9.2</v>
          </cell>
          <cell r="D427" t="str">
            <v>Enchape cerámico para pared en el área de zona de ropas, cocina y baño según planos arquitectónicos, color blanco. Formato a definir con la Interventoría Incluye material de pega, lechada, limpieza y todo lo necesario para su correcta instalación.</v>
          </cell>
          <cell r="E427" t="str">
            <v>m2</v>
          </cell>
          <cell r="F427">
            <v>8.81</v>
          </cell>
          <cell r="H427" t="str">
            <v/>
          </cell>
          <cell r="I427">
            <v>44794</v>
          </cell>
        </row>
        <row r="428">
          <cell r="C428" t="str">
            <v>I. EQUIPO Y HERRAMIENTA</v>
          </cell>
          <cell r="I428">
            <v>351.38100000000003</v>
          </cell>
        </row>
        <row r="429">
          <cell r="C429" t="str">
            <v>HTAMNR</v>
          </cell>
          <cell r="D429" t="str">
            <v>Herramienta y equipo menor</v>
          </cell>
          <cell r="E429" t="str">
            <v>%</v>
          </cell>
          <cell r="G429">
            <v>0.05</v>
          </cell>
          <cell r="H429">
            <v>7027.62</v>
          </cell>
          <cell r="I429">
            <v>351.38100000000003</v>
          </cell>
        </row>
        <row r="430">
          <cell r="C430" t="str">
            <v>II. MATERIALES</v>
          </cell>
          <cell r="I430">
            <v>35585.769999999997</v>
          </cell>
        </row>
        <row r="431">
          <cell r="C431" t="str">
            <v>MAT1045</v>
          </cell>
          <cell r="D431" t="str">
            <v>Baldosa tipo pared blanco antideslizante</v>
          </cell>
          <cell r="E431" t="str">
            <v>m2</v>
          </cell>
          <cell r="F431">
            <v>1</v>
          </cell>
          <cell r="G431">
            <v>0.05</v>
          </cell>
          <cell r="H431">
            <v>28500</v>
          </cell>
          <cell r="I431">
            <v>29925</v>
          </cell>
        </row>
        <row r="432">
          <cell r="C432" t="str">
            <v>AD1160</v>
          </cell>
          <cell r="D432" t="str">
            <v>Adhesivo color gris para la instalación de ceramica, tipo Pegacor o similar.</v>
          </cell>
          <cell r="E432" t="str">
            <v>kg</v>
          </cell>
          <cell r="F432">
            <v>2.5</v>
          </cell>
          <cell r="G432">
            <v>0.03</v>
          </cell>
          <cell r="H432">
            <v>1450</v>
          </cell>
          <cell r="I432">
            <v>3733.7500000000005</v>
          </cell>
        </row>
        <row r="433">
          <cell r="C433" t="str">
            <v>AD1050</v>
          </cell>
          <cell r="D433" t="str">
            <v>Boquilla tipo Concolor o similar - color blanco/beige</v>
          </cell>
          <cell r="E433" t="str">
            <v>kg</v>
          </cell>
          <cell r="F433">
            <v>0.3</v>
          </cell>
          <cell r="G433">
            <v>0.03</v>
          </cell>
          <cell r="H433">
            <v>4780</v>
          </cell>
          <cell r="I433">
            <v>1477.02</v>
          </cell>
        </row>
        <row r="434">
          <cell r="C434" t="str">
            <v>MAT1120</v>
          </cell>
          <cell r="D434" t="str">
            <v xml:space="preserve">Estopa blanca </v>
          </cell>
          <cell r="E434" t="str">
            <v>lb</v>
          </cell>
          <cell r="F434">
            <v>0.1</v>
          </cell>
          <cell r="H434">
            <v>4500</v>
          </cell>
          <cell r="I434">
            <v>450</v>
          </cell>
        </row>
        <row r="435">
          <cell r="C435" t="str">
            <v>III. TRANSPORTES</v>
          </cell>
          <cell r="F435" t="str">
            <v>Km</v>
          </cell>
          <cell r="G435" t="str">
            <v>PESO</v>
          </cell>
          <cell r="H435" t="str">
            <v>T/KM</v>
          </cell>
          <cell r="I435">
            <v>1829.5874999999996</v>
          </cell>
        </row>
        <row r="436">
          <cell r="C436" t="str">
            <v>TR1070</v>
          </cell>
          <cell r="D436" t="str">
            <v xml:space="preserve">Transporte de materiales varios </v>
          </cell>
          <cell r="E436" t="str">
            <v>T/km</v>
          </cell>
          <cell r="F436">
            <v>130</v>
          </cell>
          <cell r="G436">
            <v>2.0849999999999997E-2</v>
          </cell>
          <cell r="H436">
            <v>675</v>
          </cell>
          <cell r="I436">
            <v>1829.5874999999996</v>
          </cell>
        </row>
        <row r="437">
          <cell r="C437" t="str">
            <v>IV. MANO DE OBRA</v>
          </cell>
          <cell r="I437">
            <v>7027.62</v>
          </cell>
        </row>
        <row r="438">
          <cell r="C438" t="str">
            <v>MOFICIAL</v>
          </cell>
          <cell r="D438" t="str">
            <v>Mo oficial</v>
          </cell>
          <cell r="E438" t="str">
            <v>día</v>
          </cell>
          <cell r="F438">
            <v>0.06</v>
          </cell>
          <cell r="H438">
            <v>117127</v>
          </cell>
          <cell r="I438">
            <v>7027.62</v>
          </cell>
        </row>
        <row r="439">
          <cell r="C439" t="str">
            <v>9.3</v>
          </cell>
          <cell r="D439" t="str">
            <v xml:space="preserve">Suministro e instalación de enchape cerámico antideslizante color beige para piso en cocina . Formato a definir con la Interventoría. Incluye lechada, pega y todo lo necesario para su correcta instalación. </v>
          </cell>
          <cell r="E439" t="str">
            <v>m2</v>
          </cell>
          <cell r="F439">
            <v>9.68</v>
          </cell>
          <cell r="H439" t="str">
            <v/>
          </cell>
          <cell r="I439">
            <v>50884</v>
          </cell>
        </row>
        <row r="440">
          <cell r="C440" t="str">
            <v>I. EQUIPO Y HERRAMIENTA</v>
          </cell>
          <cell r="I440">
            <v>351.38100000000003</v>
          </cell>
        </row>
        <row r="441">
          <cell r="C441" t="str">
            <v>HTAMNR</v>
          </cell>
          <cell r="D441" t="str">
            <v>Herramienta y equipo menor</v>
          </cell>
          <cell r="E441" t="str">
            <v>%</v>
          </cell>
          <cell r="G441">
            <v>0.05</v>
          </cell>
          <cell r="H441">
            <v>7027.62</v>
          </cell>
          <cell r="I441">
            <v>351.38100000000003</v>
          </cell>
        </row>
        <row r="442">
          <cell r="C442" t="str">
            <v>II. MATERIALES</v>
          </cell>
          <cell r="I442">
            <v>41675.769999999997</v>
          </cell>
        </row>
        <row r="443">
          <cell r="C443" t="str">
            <v>MAT1400</v>
          </cell>
          <cell r="D443" t="str">
            <v>Baldosa para piso antideslizante (ARD) color beige</v>
          </cell>
          <cell r="E443" t="str">
            <v>m2</v>
          </cell>
          <cell r="F443">
            <v>1</v>
          </cell>
          <cell r="G443">
            <v>0.05</v>
          </cell>
          <cell r="H443">
            <v>34300</v>
          </cell>
          <cell r="I443">
            <v>36015</v>
          </cell>
        </row>
        <row r="444">
          <cell r="C444" t="str">
            <v>AD1160</v>
          </cell>
          <cell r="D444" t="str">
            <v>Adhesivo color gris para la instalación de ceramica, tipo Pegacor o similar.</v>
          </cell>
          <cell r="E444" t="str">
            <v>kg</v>
          </cell>
          <cell r="F444">
            <v>2.5</v>
          </cell>
          <cell r="G444">
            <v>0.03</v>
          </cell>
          <cell r="H444">
            <v>1450</v>
          </cell>
          <cell r="I444">
            <v>3733.7500000000005</v>
          </cell>
        </row>
        <row r="445">
          <cell r="C445" t="str">
            <v>AD1050</v>
          </cell>
          <cell r="D445" t="str">
            <v>Boquilla tipo Concolor o similar - color blanco/beige</v>
          </cell>
          <cell r="E445" t="str">
            <v>kg</v>
          </cell>
          <cell r="F445">
            <v>0.3</v>
          </cell>
          <cell r="G445">
            <v>0.03</v>
          </cell>
          <cell r="H445">
            <v>4780</v>
          </cell>
          <cell r="I445">
            <v>1477.02</v>
          </cell>
        </row>
        <row r="446">
          <cell r="C446" t="str">
            <v>MAT1120</v>
          </cell>
          <cell r="D446" t="str">
            <v xml:space="preserve">Estopa blanca </v>
          </cell>
          <cell r="E446" t="str">
            <v>lb</v>
          </cell>
          <cell r="F446">
            <v>0.1</v>
          </cell>
          <cell r="H446">
            <v>4500</v>
          </cell>
          <cell r="I446">
            <v>450</v>
          </cell>
        </row>
        <row r="447">
          <cell r="C447" t="str">
            <v>III. TRANSPORTES</v>
          </cell>
          <cell r="F447" t="str">
            <v>Km</v>
          </cell>
          <cell r="G447" t="str">
            <v>PESO</v>
          </cell>
          <cell r="H447" t="str">
            <v>T/KM</v>
          </cell>
          <cell r="I447">
            <v>1829.5875000000001</v>
          </cell>
        </row>
        <row r="448">
          <cell r="C448" t="str">
            <v>TR1070</v>
          </cell>
          <cell r="D448" t="str">
            <v xml:space="preserve">Transporte de materiales varios </v>
          </cell>
          <cell r="E448" t="str">
            <v>T/km</v>
          </cell>
          <cell r="F448">
            <v>130</v>
          </cell>
          <cell r="G448">
            <v>2.085E-2</v>
          </cell>
          <cell r="H448">
            <v>675</v>
          </cell>
          <cell r="I448">
            <v>1829.5875000000001</v>
          </cell>
        </row>
        <row r="449">
          <cell r="C449" t="str">
            <v>IV. MANO DE OBRA</v>
          </cell>
          <cell r="I449">
            <v>7027.62</v>
          </cell>
        </row>
        <row r="450">
          <cell r="C450" t="str">
            <v>MOFICIAL</v>
          </cell>
          <cell r="D450" t="str">
            <v>Mo oficial</v>
          </cell>
          <cell r="E450" t="str">
            <v>día</v>
          </cell>
          <cell r="F450">
            <v>0.06</v>
          </cell>
          <cell r="H450">
            <v>117127</v>
          </cell>
          <cell r="I450">
            <v>7027.62</v>
          </cell>
        </row>
        <row r="451">
          <cell r="C451" t="str">
            <v>9.4</v>
          </cell>
          <cell r="D451" t="str">
            <v>Aplicación de pintura vinílica para zonas húmedas, dos manos. Incluye suministro y transporte de los materiales, resanes, adecuación de la superficie y todo lo necesario para su correcta aplicación, en baños color blanco y en cocina color gris basalto.</v>
          </cell>
          <cell r="E451" t="str">
            <v>m2</v>
          </cell>
          <cell r="F451">
            <v>46.3</v>
          </cell>
          <cell r="H451" t="str">
            <v/>
          </cell>
          <cell r="I451">
            <v>18744</v>
          </cell>
        </row>
        <row r="452">
          <cell r="C452" t="str">
            <v>I. EQUIPO Y HERRAMIENTA</v>
          </cell>
          <cell r="I452">
            <v>514.76850000000002</v>
          </cell>
        </row>
        <row r="453">
          <cell r="C453" t="str">
            <v>HTAMNR</v>
          </cell>
          <cell r="D453" t="str">
            <v>Herramienta y equipo menor</v>
          </cell>
          <cell r="E453" t="str">
            <v>%</v>
          </cell>
          <cell r="G453">
            <v>0.05</v>
          </cell>
          <cell r="H453">
            <v>10295.369999999999</v>
          </cell>
          <cell r="I453">
            <v>514.76850000000002</v>
          </cell>
        </row>
        <row r="454">
          <cell r="C454" t="str">
            <v>II. MATERIALES</v>
          </cell>
          <cell r="I454">
            <v>7633.125</v>
          </cell>
        </row>
        <row r="455">
          <cell r="C455" t="str">
            <v>AD1182</v>
          </cell>
          <cell r="D455" t="str">
            <v>Pintura acrílica base agua para baños y cocinas, tipo Viniltex (baños y cocinas) o similar. Antibacterial</v>
          </cell>
          <cell r="E455" t="str">
            <v>gal</v>
          </cell>
          <cell r="F455">
            <v>7.4999999999999997E-2</v>
          </cell>
          <cell r="G455">
            <v>0.05</v>
          </cell>
          <cell r="H455">
            <v>85500</v>
          </cell>
          <cell r="I455">
            <v>6733.125</v>
          </cell>
        </row>
        <row r="456">
          <cell r="C456" t="str">
            <v>MAT1120</v>
          </cell>
          <cell r="D456" t="str">
            <v xml:space="preserve">Estopa blanca </v>
          </cell>
          <cell r="E456" t="str">
            <v>lb</v>
          </cell>
          <cell r="F456">
            <v>0.2</v>
          </cell>
          <cell r="H456">
            <v>4500</v>
          </cell>
          <cell r="I456">
            <v>900</v>
          </cell>
        </row>
        <row r="457">
          <cell r="C457" t="str">
            <v>III. TRANSPORTES</v>
          </cell>
          <cell r="F457" t="str">
            <v>Km</v>
          </cell>
          <cell r="G457" t="str">
            <v>PESO</v>
          </cell>
          <cell r="H457" t="str">
            <v>T/KM</v>
          </cell>
          <cell r="I457">
            <v>300.32437500000003</v>
          </cell>
        </row>
        <row r="458">
          <cell r="C458" t="str">
            <v>TR1070</v>
          </cell>
          <cell r="D458" t="str">
            <v xml:space="preserve">Transporte de materiales varios </v>
          </cell>
          <cell r="E458" t="str">
            <v>T/km</v>
          </cell>
          <cell r="F458">
            <v>130</v>
          </cell>
          <cell r="G458">
            <v>3.4225000000000002E-3</v>
          </cell>
          <cell r="H458">
            <v>675</v>
          </cell>
          <cell r="I458">
            <v>300.32437500000003</v>
          </cell>
        </row>
        <row r="459">
          <cell r="C459" t="str">
            <v>IV. MANO DE OBRA</v>
          </cell>
          <cell r="I459">
            <v>10295.369999999999</v>
          </cell>
        </row>
        <row r="460">
          <cell r="C460" t="str">
            <v>MOFICIAL</v>
          </cell>
          <cell r="D460" t="str">
            <v>Mo oficial</v>
          </cell>
          <cell r="E460" t="str">
            <v>día</v>
          </cell>
          <cell r="F460">
            <v>0.06</v>
          </cell>
          <cell r="H460">
            <v>117127</v>
          </cell>
          <cell r="I460">
            <v>7027.62</v>
          </cell>
        </row>
        <row r="461">
          <cell r="C461" t="str">
            <v>MOAYUDR</v>
          </cell>
          <cell r="D461" t="str">
            <v>Mo ayudante raso</v>
          </cell>
          <cell r="E461" t="str">
            <v>día</v>
          </cell>
          <cell r="F461">
            <v>0.05</v>
          </cell>
          <cell r="H461">
            <v>65355</v>
          </cell>
          <cell r="I461">
            <v>3267.75</v>
          </cell>
        </row>
        <row r="462">
          <cell r="C462" t="str">
            <v>9.5</v>
          </cell>
          <cell r="D462" t="str">
            <v>Aplicación de pintura acrílica sobre mampostería en fachada a la altura del zócalo a 0.85m, dos manos, color a definir. Incluye adecuación de la superficie antes de aplicación, limpieza de superficie, resanes de perforaciones menores, aplicación final y todo lo necesario para su correcto acabado.</v>
          </cell>
          <cell r="E462" t="str">
            <v>m2</v>
          </cell>
          <cell r="F462">
            <v>55.05</v>
          </cell>
          <cell r="H462" t="str">
            <v/>
          </cell>
          <cell r="I462">
            <v>18103</v>
          </cell>
        </row>
        <row r="463">
          <cell r="C463" t="str">
            <v>I. EQUIPO Y HERRAMIENTA</v>
          </cell>
          <cell r="I463">
            <v>514.76850000000002</v>
          </cell>
        </row>
        <row r="464">
          <cell r="C464" t="str">
            <v>HTAMNR</v>
          </cell>
          <cell r="D464" t="str">
            <v>Herramienta y equipo menor</v>
          </cell>
          <cell r="E464" t="str">
            <v>%</v>
          </cell>
          <cell r="G464">
            <v>0.05</v>
          </cell>
          <cell r="H464">
            <v>10295.369999999999</v>
          </cell>
          <cell r="I464">
            <v>514.76850000000002</v>
          </cell>
        </row>
        <row r="465">
          <cell r="C465" t="str">
            <v>II. MATERIALES</v>
          </cell>
          <cell r="I465">
            <v>7263</v>
          </cell>
        </row>
        <row r="466">
          <cell r="C466" t="str">
            <v>AD1180</v>
          </cell>
          <cell r="D466" t="str">
            <v>Pintura para exteriores alta resistencia para muros y zócalos, tipo Bronco, Corona, Koraza o similar.</v>
          </cell>
          <cell r="E466" t="str">
            <v>gal</v>
          </cell>
          <cell r="F466">
            <v>7.4999999999999997E-2</v>
          </cell>
          <cell r="G466">
            <v>0.05</v>
          </cell>
          <cell r="H466">
            <v>80800</v>
          </cell>
          <cell r="I466">
            <v>6363</v>
          </cell>
        </row>
        <row r="467">
          <cell r="C467" t="str">
            <v>MAT1120</v>
          </cell>
          <cell r="D467" t="str">
            <v xml:space="preserve">Estopa blanca </v>
          </cell>
          <cell r="E467" t="str">
            <v>lb</v>
          </cell>
          <cell r="F467">
            <v>0.2</v>
          </cell>
          <cell r="H467">
            <v>4500</v>
          </cell>
          <cell r="I467">
            <v>900</v>
          </cell>
        </row>
        <row r="468">
          <cell r="C468" t="str">
            <v>III. TRANSPORTES</v>
          </cell>
          <cell r="F468" t="str">
            <v>Km</v>
          </cell>
          <cell r="G468" t="str">
            <v>PESO</v>
          </cell>
          <cell r="H468" t="str">
            <v>T/KM</v>
          </cell>
          <cell r="I468">
            <v>30.0324375</v>
          </cell>
        </row>
        <row r="469">
          <cell r="C469" t="str">
            <v>TR1070</v>
          </cell>
          <cell r="D469" t="str">
            <v xml:space="preserve">Transporte de materiales varios </v>
          </cell>
          <cell r="E469" t="str">
            <v>T/km</v>
          </cell>
          <cell r="F469">
            <v>130</v>
          </cell>
          <cell r="G469">
            <v>3.4225E-4</v>
          </cell>
          <cell r="H469">
            <v>675</v>
          </cell>
          <cell r="I469">
            <v>30.0324375</v>
          </cell>
        </row>
        <row r="470">
          <cell r="C470" t="str">
            <v>IV. MANO DE OBRA</v>
          </cell>
          <cell r="I470">
            <v>10295.369999999999</v>
          </cell>
        </row>
        <row r="471">
          <cell r="C471" t="str">
            <v>MOFICIAL</v>
          </cell>
          <cell r="D471" t="str">
            <v>Mo oficial</v>
          </cell>
          <cell r="E471" t="str">
            <v>día</v>
          </cell>
          <cell r="F471">
            <v>0.06</v>
          </cell>
          <cell r="H471">
            <v>117127</v>
          </cell>
          <cell r="I471">
            <v>7027.62</v>
          </cell>
        </row>
        <row r="472">
          <cell r="C472" t="str">
            <v>MOAYUDR</v>
          </cell>
          <cell r="D472" t="str">
            <v>Mo ayudante raso</v>
          </cell>
          <cell r="E472" t="str">
            <v>día</v>
          </cell>
          <cell r="F472">
            <v>0.05</v>
          </cell>
          <cell r="H472">
            <v>65355</v>
          </cell>
          <cell r="I472">
            <v>3267.75</v>
          </cell>
        </row>
        <row r="473">
          <cell r="C473" t="str">
            <v>9.6</v>
          </cell>
          <cell r="D473" t="str">
            <v>Aplicación de pintura tipo esmalte sobre puerta metálica, color BLANCO. Incluye anticorrosivo, pintura del marco y del ala, limpieza, ajuste y todo lo necesario para su correcto acabado.</v>
          </cell>
          <cell r="E473" t="str">
            <v>m2</v>
          </cell>
          <cell r="F473">
            <v>10.08</v>
          </cell>
          <cell r="H473" t="str">
            <v/>
          </cell>
          <cell r="I473">
            <v>23275</v>
          </cell>
        </row>
        <row r="474">
          <cell r="C474" t="str">
            <v>I. EQUIPO Y HERRAMIENTA</v>
          </cell>
          <cell r="I474">
            <v>879.73250000000007</v>
          </cell>
        </row>
        <row r="475">
          <cell r="C475" t="str">
            <v>HTAMNR</v>
          </cell>
          <cell r="D475" t="str">
            <v>Herramienta y equipo menor</v>
          </cell>
          <cell r="E475" t="str">
            <v>%</v>
          </cell>
          <cell r="G475">
            <v>0.05</v>
          </cell>
          <cell r="H475">
            <v>17594.650000000001</v>
          </cell>
          <cell r="I475">
            <v>879.73250000000007</v>
          </cell>
        </row>
        <row r="476">
          <cell r="C476" t="str">
            <v>II. MATERIALES</v>
          </cell>
          <cell r="I476">
            <v>4780.8</v>
          </cell>
        </row>
        <row r="477">
          <cell r="C477" t="str">
            <v>AD1230</v>
          </cell>
          <cell r="D477" t="str">
            <v>Sika esmalte 3133 o similar</v>
          </cell>
          <cell r="E477" t="str">
            <v>gal</v>
          </cell>
          <cell r="F477">
            <v>0.04</v>
          </cell>
          <cell r="G477">
            <v>0.05</v>
          </cell>
          <cell r="H477">
            <v>92400</v>
          </cell>
          <cell r="I477">
            <v>3880.8</v>
          </cell>
        </row>
        <row r="478">
          <cell r="C478" t="str">
            <v>MAT1120</v>
          </cell>
          <cell r="D478" t="str">
            <v xml:space="preserve">Estopa blanca </v>
          </cell>
          <cell r="E478" t="str">
            <v>lb</v>
          </cell>
          <cell r="F478">
            <v>0.2</v>
          </cell>
          <cell r="H478">
            <v>4500</v>
          </cell>
          <cell r="I478">
            <v>900</v>
          </cell>
        </row>
        <row r="479">
          <cell r="C479" t="str">
            <v>III. TRANSPORTES</v>
          </cell>
          <cell r="F479" t="str">
            <v>Km</v>
          </cell>
          <cell r="G479" t="str">
            <v>PESO</v>
          </cell>
          <cell r="H479" t="str">
            <v>T/KM</v>
          </cell>
          <cell r="I479">
            <v>20.112299999999998</v>
          </cell>
        </row>
        <row r="480">
          <cell r="C480" t="str">
            <v>TR1070</v>
          </cell>
          <cell r="D480" t="str">
            <v xml:space="preserve">Transporte de materiales varios </v>
          </cell>
          <cell r="E480" t="str">
            <v>T/km</v>
          </cell>
          <cell r="F480">
            <v>130</v>
          </cell>
          <cell r="G480">
            <v>2.2919999999999999E-4</v>
          </cell>
          <cell r="H480">
            <v>675</v>
          </cell>
          <cell r="I480">
            <v>20.112299999999998</v>
          </cell>
        </row>
        <row r="481">
          <cell r="C481" t="str">
            <v>IV. MANO DE OBRA</v>
          </cell>
          <cell r="I481">
            <v>17594.650000000001</v>
          </cell>
        </row>
        <row r="482">
          <cell r="C482" t="str">
            <v>MOFICIAL</v>
          </cell>
          <cell r="D482" t="str">
            <v>Mo oficial</v>
          </cell>
          <cell r="E482" t="str">
            <v>día</v>
          </cell>
          <cell r="F482">
            <v>0.1</v>
          </cell>
          <cell r="H482">
            <v>117127</v>
          </cell>
          <cell r="I482">
            <v>11712.7</v>
          </cell>
        </row>
        <row r="483">
          <cell r="C483" t="str">
            <v>MOAYUDR</v>
          </cell>
          <cell r="D483" t="str">
            <v>Mo ayudante raso</v>
          </cell>
          <cell r="E483" t="str">
            <v>día</v>
          </cell>
          <cell r="F483">
            <v>0.09</v>
          </cell>
          <cell r="H483">
            <v>65355</v>
          </cell>
          <cell r="I483">
            <v>5881.95</v>
          </cell>
        </row>
        <row r="484">
          <cell r="C484" t="str">
            <v>9.7</v>
          </cell>
          <cell r="D484" t="str">
            <v>Instalación de pirlan de aluminio en zona de ducha.</v>
          </cell>
          <cell r="E484" t="str">
            <v>m</v>
          </cell>
          <cell r="F484">
            <v>1.6</v>
          </cell>
          <cell r="H484" t="str">
            <v/>
          </cell>
          <cell r="I484">
            <v>6291</v>
          </cell>
        </row>
        <row r="485">
          <cell r="C485" t="str">
            <v>I. EQUIPO Y HERRAMIENTA</v>
          </cell>
          <cell r="I485">
            <v>117.12700000000001</v>
          </cell>
        </row>
        <row r="486">
          <cell r="C486" t="str">
            <v>HTAMNR</v>
          </cell>
          <cell r="D486" t="str">
            <v>Herramienta y equipo menor</v>
          </cell>
          <cell r="E486" t="str">
            <v>%</v>
          </cell>
          <cell r="G486">
            <v>0.05</v>
          </cell>
          <cell r="H486">
            <v>2342.54</v>
          </cell>
          <cell r="I486">
            <v>117.12700000000001</v>
          </cell>
        </row>
        <row r="487">
          <cell r="C487" t="str">
            <v>II. MATERIALES</v>
          </cell>
          <cell r="I487">
            <v>3800</v>
          </cell>
        </row>
        <row r="488">
          <cell r="C488" t="str">
            <v>MAT1240</v>
          </cell>
          <cell r="D488" t="str">
            <v>Pirlán crudo 2.0 cm en aluminio</v>
          </cell>
          <cell r="E488" t="str">
            <v>m</v>
          </cell>
          <cell r="F488">
            <v>1</v>
          </cell>
          <cell r="H488">
            <v>3800</v>
          </cell>
          <cell r="I488">
            <v>3800</v>
          </cell>
        </row>
        <row r="489">
          <cell r="C489" t="str">
            <v>III. TRANSPORTES</v>
          </cell>
          <cell r="F489" t="str">
            <v>Km</v>
          </cell>
          <cell r="G489" t="str">
            <v>PESO</v>
          </cell>
          <cell r="H489" t="str">
            <v>T/KM</v>
          </cell>
          <cell r="I489">
            <v>31.589999999999993</v>
          </cell>
        </row>
        <row r="490">
          <cell r="C490" t="str">
            <v>TR1070</v>
          </cell>
          <cell r="D490" t="str">
            <v xml:space="preserve">Transporte de materiales varios </v>
          </cell>
          <cell r="E490" t="str">
            <v>T/km</v>
          </cell>
          <cell r="F490">
            <v>130</v>
          </cell>
          <cell r="G490">
            <v>3.5999999999999991E-4</v>
          </cell>
          <cell r="H490">
            <v>675</v>
          </cell>
          <cell r="I490">
            <v>31.589999999999993</v>
          </cell>
        </row>
        <row r="491">
          <cell r="C491" t="str">
            <v>IV. MANO DE OBRA</v>
          </cell>
          <cell r="I491">
            <v>2342.54</v>
          </cell>
        </row>
        <row r="492">
          <cell r="C492" t="str">
            <v>MOFICIAL</v>
          </cell>
          <cell r="D492" t="str">
            <v>Mo oficial</v>
          </cell>
          <cell r="E492" t="str">
            <v>día</v>
          </cell>
          <cell r="F492">
            <v>0.02</v>
          </cell>
          <cell r="H492">
            <v>117127</v>
          </cell>
          <cell r="I492">
            <v>2342.54</v>
          </cell>
        </row>
        <row r="493">
          <cell r="C493" t="str">
            <v>10.</v>
          </cell>
          <cell r="D493" t="str">
            <v>APARATOS, ACCESORIOS Y MUEBLES ESPECIALES</v>
          </cell>
          <cell r="E493" t="str">
            <v/>
          </cell>
          <cell r="H493" t="str">
            <v/>
          </cell>
        </row>
        <row r="494">
          <cell r="C494" t="str">
            <v>10.1</v>
          </cell>
          <cell r="D494" t="str">
            <v xml:space="preserve">Suministro, transporte e instalación de sanitario línea económica, Corona o similar, abastos plásticos para sanitario, válvula de regulación y demás accesorios para su correcto funcionamiento y de acuerdo a los detalles de los planos arquitectónicos. </v>
          </cell>
          <cell r="E494" t="str">
            <v>Un</v>
          </cell>
          <cell r="F494">
            <v>1</v>
          </cell>
          <cell r="H494" t="str">
            <v/>
          </cell>
          <cell r="I494">
            <v>239359</v>
          </cell>
        </row>
        <row r="495">
          <cell r="C495" t="str">
            <v>I. EQUIPO Y HERRAMIENTA</v>
          </cell>
          <cell r="I495">
            <v>1171.2700000000002</v>
          </cell>
        </row>
        <row r="496">
          <cell r="C496" t="str">
            <v>HTAMNR</v>
          </cell>
          <cell r="D496" t="str">
            <v>Herramienta y equipo menor</v>
          </cell>
          <cell r="E496" t="str">
            <v>%</v>
          </cell>
          <cell r="G496">
            <v>0.05</v>
          </cell>
          <cell r="H496">
            <v>23425.4</v>
          </cell>
          <cell r="I496">
            <v>1171.2700000000002</v>
          </cell>
        </row>
        <row r="497">
          <cell r="C497" t="str">
            <v>II. MATERIALES</v>
          </cell>
          <cell r="I497">
            <v>212390.42</v>
          </cell>
        </row>
        <row r="498">
          <cell r="C498" t="str">
            <v>MAT1106</v>
          </cell>
          <cell r="D498" t="str">
            <v>Sanitario economico 2 piezas</v>
          </cell>
          <cell r="E498" t="str">
            <v>un</v>
          </cell>
          <cell r="F498">
            <v>1</v>
          </cell>
          <cell r="H498">
            <v>210000</v>
          </cell>
          <cell r="I498">
            <v>210000</v>
          </cell>
        </row>
        <row r="499">
          <cell r="C499" t="str">
            <v>MAT1100</v>
          </cell>
          <cell r="D499" t="str">
            <v>Cinta sellante para elementos roscados - 12mm x 12m</v>
          </cell>
          <cell r="E499" t="str">
            <v>un</v>
          </cell>
          <cell r="F499">
            <v>0.25</v>
          </cell>
          <cell r="H499">
            <v>2500</v>
          </cell>
          <cell r="I499">
            <v>625</v>
          </cell>
        </row>
        <row r="500">
          <cell r="C500" t="str">
            <v>MAT1080</v>
          </cell>
          <cell r="D500" t="str">
            <v>Cemento blanco</v>
          </cell>
          <cell r="E500" t="str">
            <v>kg</v>
          </cell>
          <cell r="F500">
            <v>1</v>
          </cell>
          <cell r="G500">
            <v>0.03</v>
          </cell>
          <cell r="H500">
            <v>1714</v>
          </cell>
          <cell r="I500">
            <v>1765.42</v>
          </cell>
        </row>
        <row r="501">
          <cell r="C501" t="str">
            <v>III. TRANSPORTES</v>
          </cell>
          <cell r="F501" t="str">
            <v>Km</v>
          </cell>
          <cell r="G501" t="str">
            <v>PESO</v>
          </cell>
          <cell r="H501" t="str">
            <v>T/KM</v>
          </cell>
          <cell r="I501">
            <v>2371.4437499999999</v>
          </cell>
        </row>
        <row r="502">
          <cell r="C502" t="str">
            <v>TR1070</v>
          </cell>
          <cell r="D502" t="str">
            <v xml:space="preserve">Transporte de materiales varios </v>
          </cell>
          <cell r="E502" t="str">
            <v>T/km</v>
          </cell>
          <cell r="F502">
            <v>130</v>
          </cell>
          <cell r="G502">
            <v>2.7024999999999997E-2</v>
          </cell>
          <cell r="H502">
            <v>675</v>
          </cell>
          <cell r="I502">
            <v>2371.4437499999999</v>
          </cell>
        </row>
        <row r="503">
          <cell r="C503" t="str">
            <v>IV. MANO DE OBRA</v>
          </cell>
          <cell r="I503">
            <v>23425.4</v>
          </cell>
        </row>
        <row r="504">
          <cell r="C504" t="str">
            <v>MOFICIAL</v>
          </cell>
          <cell r="D504" t="str">
            <v>Mo oficial</v>
          </cell>
          <cell r="E504" t="str">
            <v>día</v>
          </cell>
          <cell r="F504">
            <v>0.2</v>
          </cell>
          <cell r="H504">
            <v>117127</v>
          </cell>
          <cell r="I504">
            <v>23425.4</v>
          </cell>
        </row>
        <row r="505">
          <cell r="C505" t="str">
            <v>10.2</v>
          </cell>
          <cell r="D505" t="str">
            <v xml:space="preserve">Suministro, transporte y colocación de lavadero en granito de 1.00x0.60m sobre muretes de apoyo en mampostería de 0.10x0.20x0.40m. Incluye grifería económica y todo lo necesario para su correcta instalación. </v>
          </cell>
          <cell r="E505" t="str">
            <v>Un</v>
          </cell>
          <cell r="F505">
            <v>1</v>
          </cell>
          <cell r="H505" t="str">
            <v/>
          </cell>
          <cell r="I505">
            <v>297974</v>
          </cell>
        </row>
        <row r="506">
          <cell r="C506" t="str">
            <v>I. EQUIPO Y HERRAMIENTA</v>
          </cell>
          <cell r="I506">
            <v>3193.4349999999999</v>
          </cell>
        </row>
        <row r="507">
          <cell r="C507" t="str">
            <v>HTAMNR</v>
          </cell>
          <cell r="D507" t="str">
            <v>Herramienta y equipo menor</v>
          </cell>
          <cell r="E507" t="str">
            <v>%</v>
          </cell>
          <cell r="G507">
            <v>0.05</v>
          </cell>
          <cell r="H507">
            <v>63868.7</v>
          </cell>
          <cell r="I507">
            <v>3193.4349999999999</v>
          </cell>
        </row>
        <row r="508">
          <cell r="C508" t="str">
            <v>II. MATERIALES</v>
          </cell>
          <cell r="I508">
            <v>217539.86199999999</v>
          </cell>
        </row>
        <row r="509">
          <cell r="C509" t="str">
            <v>MAT1165</v>
          </cell>
          <cell r="D509" t="str">
            <v>Lavadero prefabricado en grano blanco 1,0x0,60m</v>
          </cell>
          <cell r="E509" t="str">
            <v>un</v>
          </cell>
          <cell r="F509">
            <v>1</v>
          </cell>
          <cell r="H509">
            <v>160000</v>
          </cell>
          <cell r="I509">
            <v>160000</v>
          </cell>
        </row>
        <row r="510">
          <cell r="C510" t="str">
            <v>MAT1100</v>
          </cell>
          <cell r="D510" t="str">
            <v>Cinta sellante para elementos roscados - 12mm x 12m</v>
          </cell>
          <cell r="E510" t="str">
            <v>un</v>
          </cell>
          <cell r="F510">
            <v>0.1</v>
          </cell>
          <cell r="H510">
            <v>2500</v>
          </cell>
          <cell r="I510">
            <v>250</v>
          </cell>
        </row>
        <row r="511">
          <cell r="C511" t="str">
            <v>MAT1205</v>
          </cell>
          <cell r="D511" t="str">
            <v>Llave jardín 1/2" x 3/4" cromada</v>
          </cell>
          <cell r="E511" t="str">
            <v>un</v>
          </cell>
          <cell r="F511">
            <v>1</v>
          </cell>
          <cell r="H511">
            <v>22400</v>
          </cell>
          <cell r="I511">
            <v>22400</v>
          </cell>
        </row>
        <row r="512">
          <cell r="C512" t="str">
            <v>MAT1065</v>
          </cell>
          <cell r="D512" t="str">
            <v>Bloque de concreto 10x20x40 - 10MPa</v>
          </cell>
          <cell r="E512" t="str">
            <v>un</v>
          </cell>
          <cell r="F512">
            <v>12</v>
          </cell>
          <cell r="G512">
            <v>0.03</v>
          </cell>
          <cell r="H512">
            <v>2100</v>
          </cell>
          <cell r="I512">
            <v>25956</v>
          </cell>
        </row>
        <row r="513">
          <cell r="C513" t="str">
            <v>CTM143</v>
          </cell>
          <cell r="D513" t="str">
            <v>Mortero de pega - SUBANALISIS</v>
          </cell>
          <cell r="E513" t="str">
            <v>m3</v>
          </cell>
          <cell r="F513">
            <v>0.02</v>
          </cell>
          <cell r="G513">
            <v>0.05</v>
          </cell>
          <cell r="H513">
            <v>425422</v>
          </cell>
          <cell r="I513">
            <v>8933.862000000001</v>
          </cell>
        </row>
        <row r="514">
          <cell r="C514" t="str">
            <v>III. TRANSPORTES</v>
          </cell>
          <cell r="F514" t="str">
            <v>Km</v>
          </cell>
          <cell r="G514" t="str">
            <v>PESO</v>
          </cell>
          <cell r="H514" t="str">
            <v>T/KM</v>
          </cell>
          <cell r="I514">
            <v>13372.2225</v>
          </cell>
        </row>
        <row r="515">
          <cell r="C515" t="str">
            <v>TR1070</v>
          </cell>
          <cell r="D515" t="str">
            <v xml:space="preserve">Transporte de materiales varios </v>
          </cell>
          <cell r="E515" t="str">
            <v>T/km</v>
          </cell>
          <cell r="F515">
            <v>130</v>
          </cell>
          <cell r="G515">
            <v>0.15239</v>
          </cell>
          <cell r="H515">
            <v>675</v>
          </cell>
          <cell r="I515">
            <v>13372.2225</v>
          </cell>
        </row>
        <row r="516">
          <cell r="C516" t="str">
            <v>IV. MANO DE OBRA</v>
          </cell>
          <cell r="I516">
            <v>63868.7</v>
          </cell>
        </row>
        <row r="517">
          <cell r="C517" t="str">
            <v>MOFICIAL</v>
          </cell>
          <cell r="D517" t="str">
            <v>Mo oficial</v>
          </cell>
          <cell r="E517" t="str">
            <v>día</v>
          </cell>
          <cell r="F517">
            <v>0.35</v>
          </cell>
          <cell r="H517">
            <v>117127</v>
          </cell>
          <cell r="I517">
            <v>40994.449999999997</v>
          </cell>
        </row>
        <row r="518">
          <cell r="C518" t="str">
            <v>MOAYUDR</v>
          </cell>
          <cell r="D518" t="str">
            <v>Mo ayudante raso</v>
          </cell>
          <cell r="E518" t="str">
            <v>día</v>
          </cell>
          <cell r="F518">
            <v>0.35</v>
          </cell>
          <cell r="H518">
            <v>65355</v>
          </cell>
          <cell r="I518">
            <v>22874.25</v>
          </cell>
        </row>
        <row r="519">
          <cell r="C519" t="str">
            <v>10.3</v>
          </cell>
          <cell r="D519" t="str">
            <v>Suministro de mesón de cocina en acero inoxidable de medidas 1.20 x 0.55 m. Incluye pozuelo, soporte de mesón en machones de bloque de cemento 10x20x40 cm con pega de mortero 1:4 de espesor máximo 1.5 cm con una altura de 85 cm, incluye pintura vinilica dos manos.</v>
          </cell>
          <cell r="E519" t="str">
            <v>Un</v>
          </cell>
          <cell r="F519">
            <v>1</v>
          </cell>
          <cell r="H519" t="str">
            <v/>
          </cell>
          <cell r="I519">
            <v>432739</v>
          </cell>
        </row>
        <row r="520">
          <cell r="C520" t="str">
            <v>I. EQUIPO Y HERRAMIENTA</v>
          </cell>
          <cell r="I520">
            <v>2281.0250000000001</v>
          </cell>
        </row>
        <row r="521">
          <cell r="C521" t="str">
            <v>HTAMNR</v>
          </cell>
          <cell r="D521" t="str">
            <v>Herramienta y equipo menor</v>
          </cell>
          <cell r="E521" t="str">
            <v>%</v>
          </cell>
          <cell r="G521">
            <v>0.05</v>
          </cell>
          <cell r="H521">
            <v>45620.5</v>
          </cell>
          <cell r="I521">
            <v>2281.0250000000001</v>
          </cell>
        </row>
        <row r="522">
          <cell r="C522" t="str">
            <v>II. MATERIALES</v>
          </cell>
          <cell r="I522">
            <v>372185.86200000002</v>
          </cell>
        </row>
        <row r="523">
          <cell r="C523" t="str">
            <v>MAT1211</v>
          </cell>
          <cell r="D523" t="str">
            <v>Mesón en Acero Inoxidable 1.20X0.50 Incluye pozuelo</v>
          </cell>
          <cell r="E523" t="str">
            <v>un</v>
          </cell>
          <cell r="F523">
            <v>1</v>
          </cell>
          <cell r="H523">
            <v>337800</v>
          </cell>
          <cell r="I523">
            <v>337800</v>
          </cell>
        </row>
        <row r="524">
          <cell r="C524" t="str">
            <v>CTM143</v>
          </cell>
          <cell r="D524" t="str">
            <v>Mortero de pega - SUBANALISIS</v>
          </cell>
          <cell r="E524" t="str">
            <v>m3</v>
          </cell>
          <cell r="F524">
            <v>0.02</v>
          </cell>
          <cell r="G524">
            <v>0.05</v>
          </cell>
          <cell r="H524">
            <v>425422</v>
          </cell>
          <cell r="I524">
            <v>8933.862000000001</v>
          </cell>
        </row>
        <row r="525">
          <cell r="C525" t="str">
            <v>MAT1065</v>
          </cell>
          <cell r="D525" t="str">
            <v>Bloque de concreto 10x20x40 - 10MPa</v>
          </cell>
          <cell r="E525" t="str">
            <v>un</v>
          </cell>
          <cell r="F525">
            <v>12</v>
          </cell>
          <cell r="G525">
            <v>0.01</v>
          </cell>
          <cell r="H525">
            <v>2100</v>
          </cell>
          <cell r="I525">
            <v>25452.000000000004</v>
          </cell>
        </row>
        <row r="526">
          <cell r="C526" t="str">
            <v>III. TRANSPORTES</v>
          </cell>
          <cell r="F526" t="str">
            <v>Km</v>
          </cell>
          <cell r="G526" t="str">
            <v>PESO</v>
          </cell>
          <cell r="H526" t="str">
            <v>T/KM</v>
          </cell>
          <cell r="I526">
            <v>12651.795</v>
          </cell>
        </row>
        <row r="527">
          <cell r="C527" t="str">
            <v>TR1070</v>
          </cell>
          <cell r="D527" t="str">
            <v xml:space="preserve">Transporte de materiales varios </v>
          </cell>
          <cell r="E527" t="str">
            <v>T/km</v>
          </cell>
          <cell r="F527">
            <v>130</v>
          </cell>
          <cell r="G527">
            <v>0.14418</v>
          </cell>
          <cell r="H527">
            <v>675</v>
          </cell>
          <cell r="I527">
            <v>12651.795</v>
          </cell>
        </row>
        <row r="528">
          <cell r="C528" t="str">
            <v>IV. MANO DE OBRA</v>
          </cell>
          <cell r="I528">
            <v>45620.5</v>
          </cell>
        </row>
        <row r="529">
          <cell r="C529" t="str">
            <v>MOFICIAL</v>
          </cell>
          <cell r="D529" t="str">
            <v>Mo oficial</v>
          </cell>
          <cell r="E529" t="str">
            <v>día</v>
          </cell>
          <cell r="F529">
            <v>0.25</v>
          </cell>
          <cell r="H529">
            <v>117127</v>
          </cell>
          <cell r="I529">
            <v>29281.75</v>
          </cell>
        </row>
        <row r="530">
          <cell r="C530" t="str">
            <v>MOAYUDR</v>
          </cell>
          <cell r="D530" t="str">
            <v>Mo ayudante raso</v>
          </cell>
          <cell r="E530" t="str">
            <v>día</v>
          </cell>
          <cell r="F530">
            <v>0.25</v>
          </cell>
          <cell r="H530">
            <v>65355</v>
          </cell>
          <cell r="I530">
            <v>16338.75</v>
          </cell>
        </row>
        <row r="531">
          <cell r="C531" t="str">
            <v>10.4</v>
          </cell>
          <cell r="D531" t="str">
            <v>Griferia sencilla para lavaplatos. Comprende el suministro e instalacion de griferia sencilla tipo cuello de ganso (monocontrol) referencia piscis o equivalente.</v>
          </cell>
          <cell r="E531" t="str">
            <v>Un</v>
          </cell>
          <cell r="F531">
            <v>1</v>
          </cell>
          <cell r="H531" t="str">
            <v/>
          </cell>
          <cell r="I531">
            <v>52411</v>
          </cell>
        </row>
        <row r="532">
          <cell r="C532" t="str">
            <v>I. EQUIPO Y HERRAMIENTA</v>
          </cell>
          <cell r="I532">
            <v>117.12700000000001</v>
          </cell>
        </row>
        <row r="533">
          <cell r="C533" t="str">
            <v>HTAMNR</v>
          </cell>
          <cell r="D533" t="str">
            <v>Herramienta y equipo menor</v>
          </cell>
          <cell r="E533" t="str">
            <v>%</v>
          </cell>
          <cell r="G533">
            <v>0.05</v>
          </cell>
          <cell r="H533">
            <v>2342.54</v>
          </cell>
          <cell r="I533">
            <v>117.12700000000001</v>
          </cell>
        </row>
        <row r="534">
          <cell r="C534" t="str">
            <v>II. MATERIALES</v>
          </cell>
          <cell r="I534">
            <v>49925</v>
          </cell>
        </row>
        <row r="535">
          <cell r="C535" t="str">
            <v>MAT1135</v>
          </cell>
          <cell r="D535" t="str">
            <v>Grifería lavaplatos pico cisne tipo Dalia de Grival o similar</v>
          </cell>
          <cell r="E535" t="str">
            <v>un</v>
          </cell>
          <cell r="F535">
            <v>1</v>
          </cell>
          <cell r="H535">
            <v>49900</v>
          </cell>
          <cell r="I535">
            <v>49900</v>
          </cell>
        </row>
        <row r="536">
          <cell r="C536" t="str">
            <v>MAT1100</v>
          </cell>
          <cell r="D536" t="str">
            <v>Cinta sellante para elementos roscados - 12mm x 12m</v>
          </cell>
          <cell r="E536" t="str">
            <v>un</v>
          </cell>
          <cell r="F536">
            <v>0.01</v>
          </cell>
          <cell r="H536">
            <v>2500</v>
          </cell>
          <cell r="I536">
            <v>25</v>
          </cell>
        </row>
        <row r="537">
          <cell r="C537" t="str">
            <v>III. TRANSPORTES</v>
          </cell>
          <cell r="F537" t="str">
            <v>Km</v>
          </cell>
          <cell r="G537" t="str">
            <v>PESO</v>
          </cell>
          <cell r="H537" t="str">
            <v>T/KM</v>
          </cell>
          <cell r="I537">
            <v>26.412749999999999</v>
          </cell>
        </row>
        <row r="538">
          <cell r="C538" t="str">
            <v>TR1070</v>
          </cell>
          <cell r="D538" t="str">
            <v xml:space="preserve">Transporte de materiales varios </v>
          </cell>
          <cell r="E538" t="str">
            <v>T/km</v>
          </cell>
          <cell r="F538">
            <v>130</v>
          </cell>
          <cell r="G538">
            <v>3.01E-4</v>
          </cell>
          <cell r="H538">
            <v>675</v>
          </cell>
          <cell r="I538">
            <v>26.412749999999999</v>
          </cell>
        </row>
        <row r="539">
          <cell r="C539" t="str">
            <v>IV. MANO DE OBRA</v>
          </cell>
          <cell r="I539">
            <v>2342.54</v>
          </cell>
        </row>
        <row r="540">
          <cell r="C540" t="str">
            <v>MOFICIAL</v>
          </cell>
          <cell r="D540" t="str">
            <v>Mo oficial</v>
          </cell>
          <cell r="E540" t="str">
            <v>día</v>
          </cell>
          <cell r="F540">
            <v>0.02</v>
          </cell>
          <cell r="H540">
            <v>117127</v>
          </cell>
          <cell r="I540">
            <v>2342.54</v>
          </cell>
        </row>
        <row r="541">
          <cell r="C541" t="str">
            <v>10.5</v>
          </cell>
          <cell r="D541" t="str">
            <v>Suministro, transporte y colocación de ducha sencilla resistente a la corrosión, con tecnología de ahorro de agua, chorro tipo lluvia, direccionable. Incluye todos los elementos necesarios para el buen funcionamiento.</v>
          </cell>
          <cell r="E541" t="str">
            <v>Un</v>
          </cell>
          <cell r="F541">
            <v>1</v>
          </cell>
          <cell r="H541" t="str">
            <v/>
          </cell>
          <cell r="I541">
            <v>57637</v>
          </cell>
        </row>
        <row r="542">
          <cell r="C542" t="str">
            <v>I. EQUIPO Y HERRAMIENTA</v>
          </cell>
          <cell r="I542">
            <v>117.12700000000001</v>
          </cell>
        </row>
        <row r="543">
          <cell r="C543" t="str">
            <v>HTAMNR</v>
          </cell>
          <cell r="D543" t="str">
            <v>Herramienta y equipo menor</v>
          </cell>
          <cell r="E543" t="str">
            <v>%</v>
          </cell>
          <cell r="G543">
            <v>0.05</v>
          </cell>
          <cell r="H543">
            <v>2342.54</v>
          </cell>
          <cell r="I543">
            <v>117.12700000000001</v>
          </cell>
        </row>
        <row r="544">
          <cell r="C544" t="str">
            <v>II. MATERIALES</v>
          </cell>
          <cell r="I544">
            <v>55150</v>
          </cell>
        </row>
        <row r="545">
          <cell r="C545" t="str">
            <v>MAT1115</v>
          </cell>
          <cell r="D545" t="str">
            <v>Ducha sencilla (tipo Dalia de Grival o similar)</v>
          </cell>
          <cell r="E545" t="str">
            <v>un</v>
          </cell>
          <cell r="F545">
            <v>1</v>
          </cell>
          <cell r="H545">
            <v>54900</v>
          </cell>
          <cell r="I545">
            <v>54900</v>
          </cell>
        </row>
        <row r="546">
          <cell r="C546" t="str">
            <v>MAT1100</v>
          </cell>
          <cell r="D546" t="str">
            <v>Cinta sellante para elementos roscados - 12mm x 12m</v>
          </cell>
          <cell r="E546" t="str">
            <v>un</v>
          </cell>
          <cell r="F546">
            <v>0.1</v>
          </cell>
          <cell r="H546">
            <v>2500</v>
          </cell>
          <cell r="I546">
            <v>250</v>
          </cell>
        </row>
        <row r="547">
          <cell r="C547" t="str">
            <v>III. TRANSPORTES</v>
          </cell>
          <cell r="F547" t="str">
            <v>Km</v>
          </cell>
          <cell r="G547" t="str">
            <v>PESO</v>
          </cell>
          <cell r="H547" t="str">
            <v>T/KM</v>
          </cell>
          <cell r="I547">
            <v>27.202500000000001</v>
          </cell>
        </row>
        <row r="548">
          <cell r="C548" t="str">
            <v>TR1070</v>
          </cell>
          <cell r="D548" t="str">
            <v xml:space="preserve">Transporte de materiales varios </v>
          </cell>
          <cell r="E548" t="str">
            <v>T/km</v>
          </cell>
          <cell r="F548">
            <v>130</v>
          </cell>
          <cell r="G548">
            <v>3.1E-4</v>
          </cell>
          <cell r="H548">
            <v>675</v>
          </cell>
          <cell r="I548">
            <v>27.202500000000001</v>
          </cell>
        </row>
        <row r="549">
          <cell r="C549" t="str">
            <v>IV. MANO DE OBRA</v>
          </cell>
          <cell r="I549">
            <v>2342.54</v>
          </cell>
        </row>
        <row r="550">
          <cell r="C550" t="str">
            <v>MOFICIAL</v>
          </cell>
          <cell r="D550" t="str">
            <v>Mo oficial</v>
          </cell>
          <cell r="E550" t="str">
            <v>día</v>
          </cell>
          <cell r="F550">
            <v>0.02</v>
          </cell>
          <cell r="H550">
            <v>117127</v>
          </cell>
          <cell r="I550">
            <v>2342.54</v>
          </cell>
        </row>
        <row r="551">
          <cell r="C551" t="str">
            <v>10.6</v>
          </cell>
          <cell r="D551" t="str">
            <v>Suministro, transporte e instalación de rejilla de piso cuadrada de 2" en PVC, para desagüe de ducha. Incluye los materiales y todos los elementos necesarios para su correcta instalación.</v>
          </cell>
          <cell r="E551" t="str">
            <v>Un</v>
          </cell>
          <cell r="F551">
            <v>2</v>
          </cell>
          <cell r="H551" t="str">
            <v/>
          </cell>
          <cell r="I551">
            <v>8832</v>
          </cell>
        </row>
        <row r="552">
          <cell r="C552" t="str">
            <v>I. EQUIPO Y HERRAMIENTA</v>
          </cell>
          <cell r="I552">
            <v>117.12700000000001</v>
          </cell>
        </row>
        <row r="553">
          <cell r="C553" t="str">
            <v>HTAMNR</v>
          </cell>
          <cell r="D553" t="str">
            <v>Herramienta y equipo menor</v>
          </cell>
          <cell r="E553" t="str">
            <v>%</v>
          </cell>
          <cell r="G553">
            <v>0.05</v>
          </cell>
          <cell r="H553">
            <v>2342.54</v>
          </cell>
          <cell r="I553">
            <v>117.12700000000001</v>
          </cell>
        </row>
        <row r="554">
          <cell r="C554" t="str">
            <v>II. MATERIALES</v>
          </cell>
          <cell r="I554">
            <v>6341.3549999999996</v>
          </cell>
        </row>
        <row r="555">
          <cell r="C555" t="str">
            <v>MAT1275</v>
          </cell>
          <cell r="D555" t="str">
            <v>Rejilla de piso 2" plástica</v>
          </cell>
          <cell r="E555" t="str">
            <v>un</v>
          </cell>
          <cell r="F555">
            <v>1</v>
          </cell>
          <cell r="H555">
            <v>5900</v>
          </cell>
          <cell r="I555">
            <v>5900</v>
          </cell>
        </row>
        <row r="556">
          <cell r="C556" t="str">
            <v>MAT1080</v>
          </cell>
          <cell r="D556" t="str">
            <v>Cemento blanco</v>
          </cell>
          <cell r="E556" t="str">
            <v>kg</v>
          </cell>
          <cell r="F556">
            <v>0.25</v>
          </cell>
          <cell r="G556">
            <v>0.03</v>
          </cell>
          <cell r="H556">
            <v>1714</v>
          </cell>
          <cell r="I556">
            <v>441.35500000000002</v>
          </cell>
        </row>
        <row r="557">
          <cell r="C557" t="str">
            <v>III. TRANSPORTES</v>
          </cell>
          <cell r="F557" t="str">
            <v>Km</v>
          </cell>
          <cell r="G557" t="str">
            <v>PESO</v>
          </cell>
          <cell r="H557" t="str">
            <v>T/KM</v>
          </cell>
          <cell r="I557">
            <v>30.712499999999999</v>
          </cell>
        </row>
        <row r="558">
          <cell r="C558" t="str">
            <v>TR1070</v>
          </cell>
          <cell r="D558" t="str">
            <v xml:space="preserve">Transporte de materiales varios </v>
          </cell>
          <cell r="E558" t="str">
            <v>T/km</v>
          </cell>
          <cell r="F558">
            <v>130</v>
          </cell>
          <cell r="G558">
            <v>3.5E-4</v>
          </cell>
          <cell r="H558">
            <v>675</v>
          </cell>
          <cell r="I558">
            <v>30.712499999999999</v>
          </cell>
        </row>
        <row r="559">
          <cell r="C559" t="str">
            <v>IV. MANO DE OBRA</v>
          </cell>
          <cell r="I559">
            <v>2342.54</v>
          </cell>
        </row>
        <row r="560">
          <cell r="C560" t="str">
            <v>MOFICIAL</v>
          </cell>
          <cell r="D560" t="str">
            <v>Mo oficial</v>
          </cell>
          <cell r="E560" t="str">
            <v>día</v>
          </cell>
          <cell r="F560">
            <v>0.02</v>
          </cell>
          <cell r="H560">
            <v>117127</v>
          </cell>
          <cell r="I560">
            <v>2342.54</v>
          </cell>
        </row>
        <row r="561">
          <cell r="C561" t="str">
            <v>11.</v>
          </cell>
          <cell r="D561" t="str">
            <v>CUBIERTA</v>
          </cell>
        </row>
        <row r="562">
          <cell r="C562" t="str">
            <v>11.1</v>
          </cell>
          <cell r="D562" t="str">
            <v>Suministro, transporte e instalación de cubierta en teja termoacústica UPVC 2.0 mm tipo ECOROOF o similar. Incluye sistemas fijación a elementos estructurales. La medida será tomada en pendiente de cubierta. Color VERDE.</v>
          </cell>
          <cell r="E562" t="str">
            <v>m2</v>
          </cell>
          <cell r="F562">
            <v>40.229999999999997</v>
          </cell>
          <cell r="H562" t="str">
            <v/>
          </cell>
          <cell r="I562">
            <v>67585</v>
          </cell>
        </row>
        <row r="563">
          <cell r="C563" t="str">
            <v>I. EQUIPO Y HERRAMIENTA</v>
          </cell>
          <cell r="I563">
            <v>807.2505000000001</v>
          </cell>
        </row>
        <row r="564">
          <cell r="C564" t="str">
            <v>HTAMNR</v>
          </cell>
          <cell r="D564" t="str">
            <v>Herramienta y equipo menor</v>
          </cell>
          <cell r="E564" t="str">
            <v>%</v>
          </cell>
          <cell r="G564">
            <v>0.05</v>
          </cell>
          <cell r="H564">
            <v>13945.01</v>
          </cell>
          <cell r="I564">
            <v>697.2505000000001</v>
          </cell>
        </row>
        <row r="565">
          <cell r="C565" t="str">
            <v>MAT1290</v>
          </cell>
          <cell r="D565" t="str">
            <v>Sección completa andamio 1.20x1.50m</v>
          </cell>
          <cell r="E565" t="str">
            <v>día</v>
          </cell>
          <cell r="F565">
            <v>0.1</v>
          </cell>
          <cell r="H565">
            <v>1100</v>
          </cell>
          <cell r="I565">
            <v>110</v>
          </cell>
        </row>
        <row r="566">
          <cell r="C566" t="str">
            <v>II. MATERIALES</v>
          </cell>
          <cell r="I566">
            <v>52061</v>
          </cell>
        </row>
        <row r="567">
          <cell r="C567" t="str">
            <v>CUB1221</v>
          </cell>
          <cell r="D567" t="str">
            <v>Teja termoacústica UPVC 2.0mm verde tipo ECOROOF o similar</v>
          </cell>
          <cell r="E567" t="str">
            <v>m2</v>
          </cell>
          <cell r="F567">
            <v>1</v>
          </cell>
          <cell r="G567">
            <v>0.03</v>
          </cell>
          <cell r="H567">
            <v>50500</v>
          </cell>
          <cell r="I567">
            <v>52015</v>
          </cell>
        </row>
        <row r="568">
          <cell r="C568" t="str">
            <v>CUB1230</v>
          </cell>
          <cell r="D568" t="str">
            <v>Tornillo C12 2.5"</v>
          </cell>
          <cell r="E568" t="str">
            <v>un</v>
          </cell>
          <cell r="F568">
            <v>0.04</v>
          </cell>
          <cell r="H568">
            <v>1150</v>
          </cell>
          <cell r="I568">
            <v>46</v>
          </cell>
        </row>
        <row r="569">
          <cell r="C569" t="str">
            <v>III. TRANSPORTES</v>
          </cell>
          <cell r="F569" t="str">
            <v>Km</v>
          </cell>
          <cell r="G569" t="str">
            <v>PESO</v>
          </cell>
          <cell r="H569" t="str">
            <v>T/KM</v>
          </cell>
          <cell r="I569">
            <v>772.2351000000001</v>
          </cell>
        </row>
        <row r="570">
          <cell r="C570" t="str">
            <v>TR1070</v>
          </cell>
          <cell r="D570" t="str">
            <v xml:space="preserve">Transporte de materiales varios </v>
          </cell>
          <cell r="E570" t="str">
            <v>T/km</v>
          </cell>
          <cell r="F570">
            <v>130</v>
          </cell>
          <cell r="G570">
            <v>8.8004000000000016E-3</v>
          </cell>
          <cell r="H570">
            <v>675</v>
          </cell>
          <cell r="I570">
            <v>772.2351000000001</v>
          </cell>
        </row>
        <row r="571">
          <cell r="C571" t="str">
            <v>IV. MANO DE OBRA</v>
          </cell>
          <cell r="I571">
            <v>13945.01</v>
          </cell>
        </row>
        <row r="572">
          <cell r="C572" t="str">
            <v>MOFICIAL</v>
          </cell>
          <cell r="D572" t="str">
            <v>Mo oficial</v>
          </cell>
          <cell r="E572" t="str">
            <v>día</v>
          </cell>
          <cell r="F572">
            <v>0.08</v>
          </cell>
          <cell r="H572">
            <v>117127</v>
          </cell>
          <cell r="I572">
            <v>9370.16</v>
          </cell>
        </row>
        <row r="573">
          <cell r="C573" t="str">
            <v>MOAYUDR</v>
          </cell>
          <cell r="D573" t="str">
            <v>Mo ayudante raso</v>
          </cell>
          <cell r="E573" t="str">
            <v>día</v>
          </cell>
          <cell r="F573">
            <v>7.0000000000000007E-2</v>
          </cell>
          <cell r="H573">
            <v>65355</v>
          </cell>
          <cell r="I573">
            <v>4574.8500000000004</v>
          </cell>
        </row>
        <row r="574">
          <cell r="C574" t="str">
            <v>11.2</v>
          </cell>
          <cell r="D574" t="str">
            <v>Suministro, transporte e instalación de correa en madera pino pátula inmunizada (ES6) de sección 3"x4". Incluye anclajes y todo lo necesario para su correcto funcionamiento.</v>
          </cell>
          <cell r="E574" t="str">
            <v>m</v>
          </cell>
          <cell r="F574">
            <v>30.78</v>
          </cell>
          <cell r="H574" t="str">
            <v/>
          </cell>
          <cell r="I574">
            <v>26291</v>
          </cell>
        </row>
        <row r="575">
          <cell r="C575" t="str">
            <v>I. EQUIPO Y HERRAMIENTA</v>
          </cell>
          <cell r="I575">
            <v>434.52750000000009</v>
          </cell>
        </row>
        <row r="576">
          <cell r="C576" t="str">
            <v>HTAMNR</v>
          </cell>
          <cell r="D576" t="str">
            <v>Herramienta y equipo menor</v>
          </cell>
          <cell r="E576" t="str">
            <v>%</v>
          </cell>
          <cell r="G576">
            <v>0.05</v>
          </cell>
          <cell r="H576">
            <v>8470.5500000000011</v>
          </cell>
          <cell r="I576">
            <v>423.52750000000009</v>
          </cell>
        </row>
        <row r="577">
          <cell r="C577" t="str">
            <v>MAT1290</v>
          </cell>
          <cell r="D577" t="str">
            <v>Sección completa andamio 1.20x1.50m</v>
          </cell>
          <cell r="E577" t="str">
            <v>día</v>
          </cell>
          <cell r="F577">
            <v>0.01</v>
          </cell>
          <cell r="H577">
            <v>1100</v>
          </cell>
          <cell r="I577">
            <v>11</v>
          </cell>
        </row>
        <row r="578">
          <cell r="C578" t="str">
            <v>II. MATERIALES</v>
          </cell>
          <cell r="I578">
            <v>17065</v>
          </cell>
        </row>
        <row r="579">
          <cell r="C579" t="str">
            <v>MAT1195</v>
          </cell>
          <cell r="D579" t="str">
            <v>Liston 3"x4" pino pátula inmunizado</v>
          </cell>
          <cell r="E579" t="str">
            <v>m</v>
          </cell>
          <cell r="F579">
            <v>1</v>
          </cell>
          <cell r="H579">
            <v>12800</v>
          </cell>
          <cell r="I579">
            <v>12800</v>
          </cell>
        </row>
        <row r="580">
          <cell r="C580" t="str">
            <v>CUB1156</v>
          </cell>
          <cell r="D580" t="str">
            <v>Perno en varilla roscada 1/4", incluye dos tuercas</v>
          </cell>
          <cell r="E580" t="str">
            <v>un</v>
          </cell>
          <cell r="F580">
            <v>0.6</v>
          </cell>
          <cell r="H580">
            <v>2100</v>
          </cell>
          <cell r="I580">
            <v>1260</v>
          </cell>
        </row>
        <row r="581">
          <cell r="C581" t="str">
            <v>MAT1402</v>
          </cell>
          <cell r="D581" t="str">
            <v>Angulo de 3"x1/4"x6 m</v>
          </cell>
          <cell r="E581" t="str">
            <v>un</v>
          </cell>
          <cell r="F581">
            <v>1.4999999999999999E-2</v>
          </cell>
          <cell r="H581">
            <v>197800</v>
          </cell>
          <cell r="I581">
            <v>2967</v>
          </cell>
        </row>
        <row r="582">
          <cell r="C582" t="str">
            <v>MAT1095</v>
          </cell>
          <cell r="D582" t="str">
            <v>Clavo común 37.5 a 100 mm</v>
          </cell>
          <cell r="E582" t="str">
            <v>lb</v>
          </cell>
          <cell r="F582">
            <v>0.01</v>
          </cell>
          <cell r="H582">
            <v>3800</v>
          </cell>
          <cell r="I582">
            <v>38</v>
          </cell>
        </row>
        <row r="583">
          <cell r="C583" t="str">
            <v>III. TRANSPORTES</v>
          </cell>
          <cell r="F583" t="str">
            <v>Km</v>
          </cell>
          <cell r="G583" t="str">
            <v>PESO</v>
          </cell>
          <cell r="H583" t="str">
            <v>T/KM</v>
          </cell>
          <cell r="I583">
            <v>321.40631249999996</v>
          </cell>
        </row>
        <row r="584">
          <cell r="C584" t="str">
            <v>TR1070</v>
          </cell>
          <cell r="D584" t="str">
            <v xml:space="preserve">Transporte de materiales varios </v>
          </cell>
          <cell r="E584" t="str">
            <v>T/km</v>
          </cell>
          <cell r="F584">
            <v>130</v>
          </cell>
          <cell r="G584">
            <v>3.6627499999999993E-3</v>
          </cell>
          <cell r="H584">
            <v>675</v>
          </cell>
          <cell r="I584">
            <v>321.40631249999996</v>
          </cell>
        </row>
        <row r="585">
          <cell r="C585" t="str">
            <v>IV. MANO DE OBRA</v>
          </cell>
          <cell r="I585">
            <v>8470.5500000000011</v>
          </cell>
        </row>
        <row r="586">
          <cell r="C586" t="str">
            <v>MOFICIAL</v>
          </cell>
          <cell r="D586" t="str">
            <v>Mo oficial</v>
          </cell>
          <cell r="E586" t="str">
            <v>día</v>
          </cell>
          <cell r="F586">
            <v>0.05</v>
          </cell>
          <cell r="H586">
            <v>117127</v>
          </cell>
          <cell r="I586">
            <v>5856.35</v>
          </cell>
        </row>
        <row r="587">
          <cell r="C587" t="str">
            <v>MOAYUDR</v>
          </cell>
          <cell r="D587" t="str">
            <v>Mo ayudante raso</v>
          </cell>
          <cell r="E587" t="str">
            <v>día</v>
          </cell>
          <cell r="F587">
            <v>0.04</v>
          </cell>
          <cell r="H587">
            <v>65355</v>
          </cell>
          <cell r="I587">
            <v>2614.2000000000003</v>
          </cell>
        </row>
        <row r="588">
          <cell r="C588" t="str">
            <v>11.3</v>
          </cell>
          <cell r="D588" t="str">
            <v>Suministro, transporte e instalación de correa en madera pino pátula inmunizada (ES6) de sección 3"x2". Incluye anclajes y todo lo necesario para su correcto funcionamiento.</v>
          </cell>
          <cell r="E588" t="str">
            <v>m</v>
          </cell>
          <cell r="F588">
            <v>42.099999999999994</v>
          </cell>
          <cell r="H588" t="str">
            <v/>
          </cell>
          <cell r="I588">
            <v>22058</v>
          </cell>
        </row>
        <row r="589">
          <cell r="C589" t="str">
            <v>I. EQUIPO Y HERRAMIENTA</v>
          </cell>
          <cell r="I589">
            <v>434.52750000000009</v>
          </cell>
        </row>
        <row r="590">
          <cell r="C590" t="str">
            <v>HTAMNR</v>
          </cell>
          <cell r="D590" t="str">
            <v>Herramienta y equipo menor</v>
          </cell>
          <cell r="E590" t="str">
            <v>%</v>
          </cell>
          <cell r="G590">
            <v>0.05</v>
          </cell>
          <cell r="H590">
            <v>8470.5500000000011</v>
          </cell>
          <cell r="I590">
            <v>423.52750000000009</v>
          </cell>
        </row>
        <row r="591">
          <cell r="C591" t="str">
            <v>MAT1290</v>
          </cell>
          <cell r="D591" t="str">
            <v>Sección completa andamio 1.20x1.50m</v>
          </cell>
          <cell r="E591" t="str">
            <v>día</v>
          </cell>
          <cell r="F591">
            <v>0.01</v>
          </cell>
          <cell r="H591">
            <v>1100</v>
          </cell>
          <cell r="I591">
            <v>11</v>
          </cell>
        </row>
        <row r="592">
          <cell r="C592" t="str">
            <v>II. MATERIALES</v>
          </cell>
          <cell r="I592">
            <v>12957</v>
          </cell>
        </row>
        <row r="593">
          <cell r="C593" t="str">
            <v>MAT1190</v>
          </cell>
          <cell r="D593" t="str">
            <v>Liston 3"x2" pino pátula</v>
          </cell>
          <cell r="E593" t="str">
            <v>m</v>
          </cell>
          <cell r="F593">
            <v>1</v>
          </cell>
          <cell r="H593">
            <v>10700</v>
          </cell>
          <cell r="I593">
            <v>10700</v>
          </cell>
        </row>
        <row r="594">
          <cell r="C594" t="str">
            <v>CUB1150</v>
          </cell>
          <cell r="D594" t="str">
            <v>Gancho sujeción techo</v>
          </cell>
          <cell r="E594" t="str">
            <v>un</v>
          </cell>
          <cell r="F594">
            <v>2</v>
          </cell>
          <cell r="H594">
            <v>1100</v>
          </cell>
          <cell r="I594">
            <v>2200</v>
          </cell>
        </row>
        <row r="595">
          <cell r="C595" t="str">
            <v>MAT1095</v>
          </cell>
          <cell r="D595" t="str">
            <v>Clavo común 37.5 a 100 mm</v>
          </cell>
          <cell r="E595" t="str">
            <v>lb</v>
          </cell>
          <cell r="F595">
            <v>1.4999999999999999E-2</v>
          </cell>
          <cell r="H595">
            <v>3800</v>
          </cell>
          <cell r="I595">
            <v>57</v>
          </cell>
        </row>
        <row r="596">
          <cell r="C596" t="str">
            <v>III. TRANSPORTES</v>
          </cell>
          <cell r="F596" t="str">
            <v>Km</v>
          </cell>
          <cell r="G596" t="str">
            <v>PESO</v>
          </cell>
          <cell r="H596" t="str">
            <v>T/KM</v>
          </cell>
          <cell r="I596">
            <v>195.46312499999999</v>
          </cell>
        </row>
        <row r="597">
          <cell r="C597" t="str">
            <v>TR1070</v>
          </cell>
          <cell r="D597" t="str">
            <v xml:space="preserve">Transporte de materiales varios </v>
          </cell>
          <cell r="E597" t="str">
            <v>T/km</v>
          </cell>
          <cell r="F597">
            <v>130</v>
          </cell>
          <cell r="G597">
            <v>2.2274999999999999E-3</v>
          </cell>
          <cell r="H597">
            <v>675</v>
          </cell>
          <cell r="I597">
            <v>195.46312499999999</v>
          </cell>
        </row>
        <row r="598">
          <cell r="C598" t="str">
            <v>IV. MANO DE OBRA</v>
          </cell>
          <cell r="I598">
            <v>8470.5500000000011</v>
          </cell>
        </row>
        <row r="599">
          <cell r="C599" t="str">
            <v>MOFICIAL</v>
          </cell>
          <cell r="D599" t="str">
            <v>Mo oficial</v>
          </cell>
          <cell r="E599" t="str">
            <v>día</v>
          </cell>
          <cell r="F599">
            <v>0.05</v>
          </cell>
          <cell r="H599">
            <v>117127</v>
          </cell>
          <cell r="I599">
            <v>5856.35</v>
          </cell>
        </row>
        <row r="600">
          <cell r="C600" t="str">
            <v>MOAYUDR</v>
          </cell>
          <cell r="D600" t="str">
            <v>Mo ayudante raso</v>
          </cell>
          <cell r="E600" t="str">
            <v>día</v>
          </cell>
          <cell r="F600">
            <v>0.04</v>
          </cell>
          <cell r="H600">
            <v>65355</v>
          </cell>
          <cell r="I600">
            <v>2614.2000000000003</v>
          </cell>
        </row>
        <row r="601">
          <cell r="C601" t="str">
            <v>11.4</v>
          </cell>
          <cell r="D601" t="str">
            <v>Suministro, transporte e instalación de columna en madera pino pátula inmunizada (ES6) de sección 4"x4". Incluye anclajes y todo lo necesario para su correcto funcionamiento.</v>
          </cell>
          <cell r="E601" t="str">
            <v>m</v>
          </cell>
          <cell r="F601">
            <v>7.17</v>
          </cell>
          <cell r="H601" t="str">
            <v/>
          </cell>
          <cell r="I601">
            <v>29279</v>
          </cell>
        </row>
        <row r="602">
          <cell r="C602" t="str">
            <v>I. EQUIPO Y HERRAMIENTA</v>
          </cell>
          <cell r="I602">
            <v>434.52750000000009</v>
          </cell>
        </row>
        <row r="603">
          <cell r="C603" t="str">
            <v>HTAMNR</v>
          </cell>
          <cell r="D603" t="str">
            <v>Herramienta y equipo menor</v>
          </cell>
          <cell r="E603" t="str">
            <v>%</v>
          </cell>
          <cell r="G603">
            <v>0.05</v>
          </cell>
          <cell r="H603">
            <v>8470.5500000000011</v>
          </cell>
          <cell r="I603">
            <v>423.52750000000009</v>
          </cell>
        </row>
        <row r="604">
          <cell r="C604" t="str">
            <v>MAT1290</v>
          </cell>
          <cell r="D604" t="str">
            <v>Sección completa andamio 1.20x1.50m</v>
          </cell>
          <cell r="E604" t="str">
            <v>día</v>
          </cell>
          <cell r="F604">
            <v>0.01</v>
          </cell>
          <cell r="H604">
            <v>1100</v>
          </cell>
          <cell r="I604">
            <v>11</v>
          </cell>
        </row>
        <row r="605">
          <cell r="C605" t="str">
            <v>II. MATERIALES</v>
          </cell>
          <cell r="I605">
            <v>19965</v>
          </cell>
        </row>
        <row r="606">
          <cell r="C606" t="str">
            <v>MAT1200</v>
          </cell>
          <cell r="D606" t="str">
            <v>Liston 4"x4" pino pátula inmunizado</v>
          </cell>
          <cell r="E606" t="str">
            <v>m</v>
          </cell>
          <cell r="F606">
            <v>1</v>
          </cell>
          <cell r="H606">
            <v>15700</v>
          </cell>
          <cell r="I606">
            <v>15700</v>
          </cell>
        </row>
        <row r="607">
          <cell r="C607" t="str">
            <v>CUB1156</v>
          </cell>
          <cell r="D607" t="str">
            <v>Perno en varilla roscada 1/4", incluye dos tuercas</v>
          </cell>
          <cell r="E607" t="str">
            <v>un</v>
          </cell>
          <cell r="F607">
            <v>0.6</v>
          </cell>
          <cell r="H607">
            <v>2100</v>
          </cell>
          <cell r="I607">
            <v>1260</v>
          </cell>
        </row>
        <row r="608">
          <cell r="C608" t="str">
            <v>MAT1402</v>
          </cell>
          <cell r="D608" t="str">
            <v>Angulo de 3"x1/4"x6 m</v>
          </cell>
          <cell r="E608" t="str">
            <v>un</v>
          </cell>
          <cell r="F608">
            <v>1.4999999999999999E-2</v>
          </cell>
          <cell r="H608">
            <v>197800</v>
          </cell>
          <cell r="I608">
            <v>2967</v>
          </cell>
        </row>
        <row r="609">
          <cell r="C609" t="str">
            <v>MAT1095</v>
          </cell>
          <cell r="D609" t="str">
            <v>Clavo común 37.5 a 100 mm</v>
          </cell>
          <cell r="E609" t="str">
            <v>lb</v>
          </cell>
          <cell r="F609">
            <v>0.01</v>
          </cell>
          <cell r="H609">
            <v>3800</v>
          </cell>
          <cell r="I609">
            <v>38</v>
          </cell>
        </row>
        <row r="610">
          <cell r="C610" t="str">
            <v>III. TRANSPORTES</v>
          </cell>
          <cell r="F610" t="str">
            <v>Km</v>
          </cell>
          <cell r="G610" t="str">
            <v>PESO</v>
          </cell>
          <cell r="H610" t="str">
            <v>T/KM</v>
          </cell>
          <cell r="I610">
            <v>409.15631250000007</v>
          </cell>
        </row>
        <row r="611">
          <cell r="C611" t="str">
            <v>TR1070</v>
          </cell>
          <cell r="D611" t="str">
            <v xml:space="preserve">Transporte de materiales varios </v>
          </cell>
          <cell r="E611" t="str">
            <v>T/km</v>
          </cell>
          <cell r="F611">
            <v>130</v>
          </cell>
          <cell r="G611">
            <v>4.6627500000000011E-3</v>
          </cell>
          <cell r="H611">
            <v>675</v>
          </cell>
          <cell r="I611">
            <v>409.15631250000007</v>
          </cell>
        </row>
        <row r="612">
          <cell r="C612" t="str">
            <v>IV. MANO DE OBRA</v>
          </cell>
          <cell r="I612">
            <v>8470.5500000000011</v>
          </cell>
        </row>
        <row r="613">
          <cell r="C613" t="str">
            <v>MOFICIAL</v>
          </cell>
          <cell r="D613" t="str">
            <v>Mo oficial</v>
          </cell>
          <cell r="E613" t="str">
            <v>día</v>
          </cell>
          <cell r="F613">
            <v>0.05</v>
          </cell>
          <cell r="H613">
            <v>117127</v>
          </cell>
          <cell r="I613">
            <v>5856.35</v>
          </cell>
        </row>
        <row r="614">
          <cell r="C614" t="str">
            <v>MOAYUDR</v>
          </cell>
          <cell r="D614" t="str">
            <v>Mo ayudante raso</v>
          </cell>
          <cell r="E614" t="str">
            <v>día</v>
          </cell>
          <cell r="F614">
            <v>0.04</v>
          </cell>
          <cell r="H614">
            <v>65355</v>
          </cell>
          <cell r="I614">
            <v>2614.2000000000003</v>
          </cell>
        </row>
        <row r="615">
          <cell r="C615" t="str">
            <v>11.5</v>
          </cell>
          <cell r="D615"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E615" t="str">
            <v>m</v>
          </cell>
          <cell r="F615">
            <v>11.5</v>
          </cell>
          <cell r="H615" t="str">
            <v/>
          </cell>
          <cell r="I615">
            <v>46100</v>
          </cell>
        </row>
        <row r="616">
          <cell r="C616" t="str">
            <v>I. EQUIPO Y HERRAMIENTA</v>
          </cell>
          <cell r="I616">
            <v>278.25400000000002</v>
          </cell>
        </row>
        <row r="617">
          <cell r="C617" t="str">
            <v>HTAMNR</v>
          </cell>
          <cell r="D617" t="str">
            <v>Herramienta y equipo menor</v>
          </cell>
          <cell r="E617" t="str">
            <v>%</v>
          </cell>
          <cell r="G617">
            <v>0.05</v>
          </cell>
          <cell r="H617">
            <v>4685.08</v>
          </cell>
          <cell r="I617">
            <v>234.25400000000002</v>
          </cell>
        </row>
        <row r="618">
          <cell r="C618" t="str">
            <v>MAT1290</v>
          </cell>
          <cell r="D618" t="str">
            <v>Sección completa andamio 1.20x1.50m</v>
          </cell>
          <cell r="E618" t="str">
            <v>día</v>
          </cell>
          <cell r="F618">
            <v>0.04</v>
          </cell>
          <cell r="H618">
            <v>1100</v>
          </cell>
          <cell r="I618">
            <v>44</v>
          </cell>
        </row>
        <row r="619">
          <cell r="C619" t="str">
            <v>II. MATERIALES</v>
          </cell>
          <cell r="I619">
            <v>41067.833333333336</v>
          </cell>
        </row>
        <row r="620">
          <cell r="C620" t="str">
            <v>CUB1030</v>
          </cell>
          <cell r="D620" t="str">
            <v>Canal plástico tipo Raingo o similar</v>
          </cell>
          <cell r="E620" t="str">
            <v>m</v>
          </cell>
          <cell r="F620">
            <v>1</v>
          </cell>
          <cell r="G620">
            <v>0.03</v>
          </cell>
          <cell r="H620">
            <v>30150</v>
          </cell>
          <cell r="I620">
            <v>31054.5</v>
          </cell>
        </row>
        <row r="621">
          <cell r="C621" t="str">
            <v>CUB1040</v>
          </cell>
          <cell r="D621" t="str">
            <v>Unión de canal tipo Raingo o similar</v>
          </cell>
          <cell r="E621" t="str">
            <v>un</v>
          </cell>
          <cell r="F621">
            <v>0.26666666666666666</v>
          </cell>
          <cell r="H621">
            <v>10500</v>
          </cell>
          <cell r="I621">
            <v>2800</v>
          </cell>
        </row>
        <row r="622">
          <cell r="C622" t="str">
            <v>CUB1080</v>
          </cell>
          <cell r="D622" t="str">
            <v>Tapa externa canal Raingo o similar</v>
          </cell>
          <cell r="E622" t="str">
            <v>un</v>
          </cell>
          <cell r="F622">
            <v>0.26666666666666666</v>
          </cell>
          <cell r="H622">
            <v>8900</v>
          </cell>
          <cell r="I622">
            <v>2373.3333333333335</v>
          </cell>
        </row>
        <row r="623">
          <cell r="C623" t="str">
            <v>CUB1050</v>
          </cell>
          <cell r="D623" t="str">
            <v>Canal - unión de canal a bajante tipo Raingo o similar</v>
          </cell>
          <cell r="E623" t="str">
            <v>un</v>
          </cell>
          <cell r="F623">
            <v>0.26666666666666666</v>
          </cell>
          <cell r="H623">
            <v>10500</v>
          </cell>
          <cell r="I623">
            <v>2800</v>
          </cell>
        </row>
        <row r="624">
          <cell r="C624" t="str">
            <v>CUB1060</v>
          </cell>
          <cell r="D624" t="str">
            <v>Soporte de canal tipo Raingo o similar</v>
          </cell>
          <cell r="E624" t="str">
            <v>un</v>
          </cell>
          <cell r="F624">
            <v>0.4</v>
          </cell>
          <cell r="H624">
            <v>5100</v>
          </cell>
          <cell r="I624">
            <v>2040</v>
          </cell>
        </row>
        <row r="625">
          <cell r="C625" t="str">
            <v>III. TRANSPORTES</v>
          </cell>
          <cell r="F625" t="str">
            <v>Km</v>
          </cell>
          <cell r="G625" t="str">
            <v>PESO</v>
          </cell>
          <cell r="H625" t="str">
            <v>T/KM</v>
          </cell>
          <cell r="I625">
            <v>69.205499999999986</v>
          </cell>
        </row>
        <row r="626">
          <cell r="C626" t="str">
            <v>TR1070</v>
          </cell>
          <cell r="D626" t="str">
            <v xml:space="preserve">Transporte de materiales varios </v>
          </cell>
          <cell r="E626" t="str">
            <v>T/km</v>
          </cell>
          <cell r="F626">
            <v>130</v>
          </cell>
          <cell r="G626">
            <v>7.8866666666666647E-4</v>
          </cell>
          <cell r="H626">
            <v>675</v>
          </cell>
          <cell r="I626">
            <v>69.205499999999986</v>
          </cell>
        </row>
        <row r="627">
          <cell r="C627" t="str">
            <v>IV. MANO DE OBRA</v>
          </cell>
          <cell r="I627">
            <v>4685.08</v>
          </cell>
        </row>
        <row r="628">
          <cell r="C628" t="str">
            <v>MOFICIAL</v>
          </cell>
          <cell r="D628" t="str">
            <v>Mo oficial</v>
          </cell>
          <cell r="E628" t="str">
            <v>día</v>
          </cell>
          <cell r="F628">
            <v>0.04</v>
          </cell>
          <cell r="H628">
            <v>117127</v>
          </cell>
          <cell r="I628">
            <v>4685.08</v>
          </cell>
        </row>
        <row r="629">
          <cell r="C629" t="str">
            <v>11.6</v>
          </cell>
          <cell r="D629" t="str">
            <v>Suministro, transporte e instalación de bajante de aguas lluvias PVC-ALL 2". Incluye todo lo requerido para su correcta instalación como codos, soportes y demás elementos necesarios.</v>
          </cell>
          <cell r="E629" t="str">
            <v>m</v>
          </cell>
          <cell r="F629">
            <v>7.5</v>
          </cell>
          <cell r="H629" t="str">
            <v/>
          </cell>
          <cell r="I629">
            <v>20228</v>
          </cell>
        </row>
        <row r="630">
          <cell r="C630" t="str">
            <v>I. EQUIPO Y HERRAMIENTA</v>
          </cell>
          <cell r="I630">
            <v>332.28649999999999</v>
          </cell>
        </row>
        <row r="631">
          <cell r="C631" t="str">
            <v>HTAMNR</v>
          </cell>
          <cell r="D631" t="str">
            <v>Herramienta y equipo menor</v>
          </cell>
          <cell r="E631" t="str">
            <v>%</v>
          </cell>
          <cell r="G631">
            <v>0.05</v>
          </cell>
          <cell r="H631">
            <v>6645.73</v>
          </cell>
          <cell r="I631">
            <v>332.28649999999999</v>
          </cell>
        </row>
        <row r="632">
          <cell r="C632" t="str">
            <v>II. MATERIALES</v>
          </cell>
          <cell r="I632">
            <v>13159.438636363637</v>
          </cell>
        </row>
        <row r="633">
          <cell r="C633" t="str">
            <v>TB2601</v>
          </cell>
          <cell r="D633" t="str">
            <v>Tubería PVC-ALL 2"</v>
          </cell>
          <cell r="E633" t="str">
            <v>m</v>
          </cell>
          <cell r="F633">
            <v>1</v>
          </cell>
          <cell r="G633">
            <v>0.03</v>
          </cell>
          <cell r="H633">
            <v>9920</v>
          </cell>
          <cell r="I633">
            <v>10217.6</v>
          </cell>
        </row>
        <row r="634">
          <cell r="C634" t="str">
            <v>TB2110</v>
          </cell>
          <cell r="D634" t="str">
            <v>Grapa Abrazadera Metálica Doble Ala 2" (50 mm)</v>
          </cell>
          <cell r="E634" t="str">
            <v>un</v>
          </cell>
          <cell r="F634">
            <v>0.90909090909090917</v>
          </cell>
          <cell r="H634">
            <v>2350</v>
          </cell>
          <cell r="I634">
            <v>2136.3636363636365</v>
          </cell>
        </row>
        <row r="635">
          <cell r="C635" t="str">
            <v>AD1110</v>
          </cell>
          <cell r="D635" t="str">
            <v>Limpiador PVC 760 gramos (1/4 gal) o similar</v>
          </cell>
          <cell r="E635" t="str">
            <v>un</v>
          </cell>
          <cell r="F635">
            <v>5.0000000000000001E-3</v>
          </cell>
          <cell r="G635">
            <v>0.01</v>
          </cell>
          <cell r="H635">
            <v>63900</v>
          </cell>
          <cell r="I635">
            <v>322.69499999999999</v>
          </cell>
        </row>
        <row r="636">
          <cell r="C636" t="str">
            <v>AD1280</v>
          </cell>
          <cell r="D636" t="str">
            <v>Soldadura PVC 1/4 gal o similar</v>
          </cell>
          <cell r="E636" t="str">
            <v>gal</v>
          </cell>
          <cell r="F636">
            <v>5.0000000000000001E-3</v>
          </cell>
          <cell r="G636">
            <v>0.01</v>
          </cell>
          <cell r="H636">
            <v>95600</v>
          </cell>
          <cell r="I636">
            <v>482.78</v>
          </cell>
        </row>
        <row r="637">
          <cell r="C637" t="str">
            <v>III. TRANSPORTES</v>
          </cell>
          <cell r="F637" t="str">
            <v>Km</v>
          </cell>
          <cell r="G637" t="str">
            <v>PESO</v>
          </cell>
          <cell r="H637" t="str">
            <v>T/KM</v>
          </cell>
          <cell r="I637">
            <v>90.827631818181828</v>
          </cell>
        </row>
        <row r="638">
          <cell r="C638" t="str">
            <v>TR1070</v>
          </cell>
          <cell r="D638" t="str">
            <v xml:space="preserve">Transporte de materiales varios </v>
          </cell>
          <cell r="E638" t="str">
            <v>T/km</v>
          </cell>
          <cell r="F638">
            <v>130</v>
          </cell>
          <cell r="G638">
            <v>1.0350727272727274E-3</v>
          </cell>
          <cell r="H638">
            <v>675</v>
          </cell>
          <cell r="I638">
            <v>90.827631818181828</v>
          </cell>
        </row>
        <row r="639">
          <cell r="C639" t="str">
            <v>IV. MANO DE OBRA</v>
          </cell>
          <cell r="I639">
            <v>6645.73</v>
          </cell>
        </row>
        <row r="640">
          <cell r="C640" t="str">
            <v>MOFICIAL</v>
          </cell>
          <cell r="D640" t="str">
            <v>Mo oficial</v>
          </cell>
          <cell r="E640" t="str">
            <v>día</v>
          </cell>
          <cell r="F640">
            <v>0.04</v>
          </cell>
          <cell r="H640">
            <v>117127</v>
          </cell>
          <cell r="I640">
            <v>4685.08</v>
          </cell>
        </row>
        <row r="641">
          <cell r="C641" t="str">
            <v>MOAYUDR</v>
          </cell>
          <cell r="D641" t="str">
            <v>Mo ayudante raso</v>
          </cell>
          <cell r="E641" t="str">
            <v>día</v>
          </cell>
          <cell r="F641">
            <v>0.03</v>
          </cell>
          <cell r="H641">
            <v>65355</v>
          </cell>
          <cell r="I641">
            <v>1960.6499999999999</v>
          </cell>
        </row>
        <row r="642">
          <cell r="C642" t="str">
            <v>12.</v>
          </cell>
          <cell r="D642" t="str">
            <v>SISTEMA SÉPTICO</v>
          </cell>
        </row>
        <row r="643">
          <cell r="C643" t="str">
            <v>12.1</v>
          </cell>
          <cell r="D643" t="str">
            <v xml:space="preserve">Sistema séptico en polietileno, compuesto por: Trampa de Grasas 250 litros, Tanque Séptico de 1000 litros y Tanque para Filtro Anaerobio de Flujo Ascendente – FAFA de 1000 litros. Incluye accesorios y todos los elementos necesarios para su correcta instalación. Sistema diseñado conforme al RAS – Resolución 0330 de 2017 y prefabricado conforme a la NTC 4384. </v>
          </cell>
          <cell r="E643" t="str">
            <v>Un</v>
          </cell>
          <cell r="F643">
            <v>1</v>
          </cell>
          <cell r="H643" t="str">
            <v/>
          </cell>
          <cell r="I643">
            <v>282288</v>
          </cell>
        </row>
        <row r="644">
          <cell r="C644" t="str">
            <v>I. EQUIPO Y HERRAMIENTA</v>
          </cell>
          <cell r="I644">
            <v>1515.6599999999999</v>
          </cell>
        </row>
        <row r="645">
          <cell r="C645" t="str">
            <v>HTAMNR</v>
          </cell>
          <cell r="D645" t="str">
            <v>Herramienta y equipo menor</v>
          </cell>
          <cell r="E645" t="str">
            <v>%</v>
          </cell>
          <cell r="G645">
            <v>0.05</v>
          </cell>
          <cell r="H645">
            <v>30313.199999999997</v>
          </cell>
          <cell r="I645">
            <v>1515.6599999999999</v>
          </cell>
        </row>
        <row r="646">
          <cell r="C646" t="str">
            <v>II. MATERIALES</v>
          </cell>
          <cell r="I646">
            <v>247721.45</v>
          </cell>
        </row>
        <row r="647">
          <cell r="C647" t="str">
            <v>SS1030</v>
          </cell>
          <cell r="D647" t="str">
            <v>Trampa de grasa en PEAD 250 litros</v>
          </cell>
          <cell r="E647" t="str">
            <v>un</v>
          </cell>
          <cell r="F647">
            <v>1</v>
          </cell>
          <cell r="H647">
            <v>217900</v>
          </cell>
          <cell r="I647">
            <v>217900</v>
          </cell>
        </row>
        <row r="648">
          <cell r="C648" t="str">
            <v>TB2410</v>
          </cell>
          <cell r="D648" t="str">
            <v>Tubería PVC-S 2" (50 mm)</v>
          </cell>
          <cell r="E648" t="str">
            <v>m</v>
          </cell>
          <cell r="F648">
            <v>1</v>
          </cell>
          <cell r="G648">
            <v>0.03</v>
          </cell>
          <cell r="H648">
            <v>10620</v>
          </cell>
          <cell r="I648">
            <v>10938.6</v>
          </cell>
        </row>
        <row r="649">
          <cell r="C649" t="str">
            <v>AD1110</v>
          </cell>
          <cell r="D649" t="str">
            <v>Limpiador PVC 760 gramos (1/4 gal) o similar</v>
          </cell>
          <cell r="E649" t="str">
            <v>un</v>
          </cell>
          <cell r="F649">
            <v>0.03</v>
          </cell>
          <cell r="G649">
            <v>0.01</v>
          </cell>
          <cell r="H649">
            <v>63900</v>
          </cell>
          <cell r="I649">
            <v>1936.17</v>
          </cell>
        </row>
        <row r="650">
          <cell r="C650" t="str">
            <v>AD1280</v>
          </cell>
          <cell r="D650" t="str">
            <v>Soldadura PVC 1/4 gal o similar</v>
          </cell>
          <cell r="E650" t="str">
            <v>gal</v>
          </cell>
          <cell r="F650">
            <v>0.03</v>
          </cell>
          <cell r="G650">
            <v>0.01</v>
          </cell>
          <cell r="H650">
            <v>95600</v>
          </cell>
          <cell r="I650">
            <v>2896.68</v>
          </cell>
        </row>
        <row r="651">
          <cell r="C651" t="str">
            <v>TB2225</v>
          </cell>
          <cell r="D651" t="str">
            <v>Codo PVC-S 90° -1/4 CxC 3" (75 mm)</v>
          </cell>
          <cell r="E651" t="str">
            <v>un</v>
          </cell>
          <cell r="F651">
            <v>1</v>
          </cell>
          <cell r="H651">
            <v>7650</v>
          </cell>
          <cell r="I651">
            <v>7650</v>
          </cell>
        </row>
        <row r="652">
          <cell r="C652" t="str">
            <v>TB2330</v>
          </cell>
          <cell r="D652" t="str">
            <v>Tee PVCs 2" (50 mm)</v>
          </cell>
          <cell r="E652" t="str">
            <v>un</v>
          </cell>
          <cell r="F652">
            <v>1</v>
          </cell>
          <cell r="H652">
            <v>6400</v>
          </cell>
          <cell r="I652">
            <v>6400</v>
          </cell>
        </row>
        <row r="653">
          <cell r="C653" t="str">
            <v>III. TRANSPORTES</v>
          </cell>
          <cell r="F653" t="str">
            <v>Km</v>
          </cell>
          <cell r="G653" t="str">
            <v>PESO</v>
          </cell>
          <cell r="H653" t="str">
            <v>T/KM</v>
          </cell>
          <cell r="I653">
            <v>2737.5191999999997</v>
          </cell>
        </row>
        <row r="654">
          <cell r="C654" t="str">
            <v>TR1070</v>
          </cell>
          <cell r="D654" t="str">
            <v xml:space="preserve">Transporte de materiales varios </v>
          </cell>
          <cell r="E654" t="str">
            <v>T/km</v>
          </cell>
          <cell r="F654">
            <v>130</v>
          </cell>
          <cell r="G654">
            <v>3.1196799999999997E-2</v>
          </cell>
          <cell r="H654">
            <v>675</v>
          </cell>
          <cell r="I654">
            <v>2737.5191999999997</v>
          </cell>
        </row>
        <row r="655">
          <cell r="C655" t="str">
            <v>IV. MANO DE OBRA</v>
          </cell>
          <cell r="I655">
            <v>30313.199999999997</v>
          </cell>
        </row>
        <row r="656">
          <cell r="C656" t="str">
            <v>MOFICIAL</v>
          </cell>
          <cell r="D656" t="str">
            <v>Mo oficial</v>
          </cell>
          <cell r="E656" t="str">
            <v>día</v>
          </cell>
          <cell r="F656">
            <v>0.15</v>
          </cell>
          <cell r="H656">
            <v>117127</v>
          </cell>
          <cell r="I656">
            <v>17569.05</v>
          </cell>
        </row>
        <row r="657">
          <cell r="C657" t="str">
            <v>MOAYUDA</v>
          </cell>
          <cell r="D657" t="str">
            <v>Mo ayudante entendido</v>
          </cell>
          <cell r="E657" t="str">
            <v>día</v>
          </cell>
          <cell r="F657">
            <v>0.15</v>
          </cell>
          <cell r="H657">
            <v>84961</v>
          </cell>
          <cell r="I657">
            <v>12744.15</v>
          </cell>
        </row>
        <row r="658">
          <cell r="C658" t="str">
            <v>12.2</v>
          </cell>
          <cell r="D658" t="str">
            <v xml:space="preserve">Sistema séptico en polietileno, compuesto por: Trampa de Grasas 250 litros, Tanque Séptico de 1000 litros y Tanque para Filtro Anaerobio de Flujo Ascendente – FAFA de 1000 litros. Incluye accesorios y todos los elementos necesarios para su correcta instalación. Sistema diseñado conforme al RAS – Resolución 0330 de 2017 y prefabricado conforme a la NTC 4384. </v>
          </cell>
          <cell r="E658" t="str">
            <v>Un</v>
          </cell>
          <cell r="F658">
            <v>1</v>
          </cell>
          <cell r="H658" t="str">
            <v/>
          </cell>
          <cell r="I658">
            <v>1858607</v>
          </cell>
        </row>
        <row r="659">
          <cell r="C659" t="str">
            <v>I. EQUIPO Y HERRAMIENTA</v>
          </cell>
          <cell r="I659">
            <v>2020.8800000000003</v>
          </cell>
        </row>
        <row r="660">
          <cell r="C660" t="str">
            <v>HTAMNR</v>
          </cell>
          <cell r="D660" t="str">
            <v>Herramienta y equipo menor</v>
          </cell>
          <cell r="E660" t="str">
            <v>%</v>
          </cell>
          <cell r="G660">
            <v>0.05</v>
          </cell>
          <cell r="H660">
            <v>40417.600000000006</v>
          </cell>
          <cell r="I660">
            <v>2020.8800000000003</v>
          </cell>
        </row>
        <row r="661">
          <cell r="C661" t="str">
            <v>II. MATERIALES</v>
          </cell>
          <cell r="I661">
            <v>1808420.0499999998</v>
          </cell>
        </row>
        <row r="662">
          <cell r="C662" t="str">
            <v>SS1080</v>
          </cell>
          <cell r="D662" t="str">
            <v>Kit séptico PE - trampa de grasa 250 lt, tanque 1000 lt, fafa 1000 lt</v>
          </cell>
          <cell r="E662" t="str">
            <v>un</v>
          </cell>
          <cell r="F662">
            <v>1</v>
          </cell>
          <cell r="H662">
            <v>1718000</v>
          </cell>
          <cell r="I662">
            <v>1718000</v>
          </cell>
        </row>
        <row r="663">
          <cell r="C663" t="str">
            <v>TB2420</v>
          </cell>
          <cell r="D663" t="str">
            <v>Tubería PVC-S 4" (100 mm)</v>
          </cell>
          <cell r="E663" t="str">
            <v>m</v>
          </cell>
          <cell r="F663">
            <v>1</v>
          </cell>
          <cell r="G663">
            <v>0.03</v>
          </cell>
          <cell r="H663">
            <v>22150</v>
          </cell>
          <cell r="I663">
            <v>22814.5</v>
          </cell>
        </row>
        <row r="664">
          <cell r="C664" t="str">
            <v>TB2415</v>
          </cell>
          <cell r="D664" t="str">
            <v>Tubería PVC-S 3" (75 mm)</v>
          </cell>
          <cell r="E664" t="str">
            <v>m</v>
          </cell>
          <cell r="F664">
            <v>1</v>
          </cell>
          <cell r="G664">
            <v>0.03</v>
          </cell>
          <cell r="H664">
            <v>16090</v>
          </cell>
          <cell r="I664">
            <v>16572.7</v>
          </cell>
        </row>
        <row r="665">
          <cell r="C665" t="str">
            <v>AD1110</v>
          </cell>
          <cell r="D665" t="str">
            <v>Limpiador PVC 760 gramos (1/4 gal) o similar</v>
          </cell>
          <cell r="E665" t="str">
            <v>un</v>
          </cell>
          <cell r="F665">
            <v>0.03</v>
          </cell>
          <cell r="G665">
            <v>0.01</v>
          </cell>
          <cell r="H665">
            <v>63900</v>
          </cell>
          <cell r="I665">
            <v>1936.17</v>
          </cell>
        </row>
        <row r="666">
          <cell r="C666" t="str">
            <v>AD1280</v>
          </cell>
          <cell r="D666" t="str">
            <v>Soldadura PVC 1/4 gal o similar</v>
          </cell>
          <cell r="E666" t="str">
            <v>gal</v>
          </cell>
          <cell r="F666">
            <v>0.03</v>
          </cell>
          <cell r="G666">
            <v>0.01</v>
          </cell>
          <cell r="H666">
            <v>95600</v>
          </cell>
          <cell r="I666">
            <v>2896.68</v>
          </cell>
        </row>
        <row r="667">
          <cell r="C667" t="str">
            <v>TB2225</v>
          </cell>
          <cell r="D667" t="str">
            <v>Codo PVC-S 90° -1/4 CxC 3" (75 mm)</v>
          </cell>
          <cell r="E667" t="str">
            <v>un</v>
          </cell>
          <cell r="F667">
            <v>1</v>
          </cell>
          <cell r="H667">
            <v>7650</v>
          </cell>
          <cell r="I667">
            <v>7650</v>
          </cell>
        </row>
        <row r="668">
          <cell r="C668" t="str">
            <v>TB2340</v>
          </cell>
          <cell r="D668" t="str">
            <v>Tee PVC-S 4" (100 mm)</v>
          </cell>
          <cell r="E668" t="str">
            <v>un</v>
          </cell>
          <cell r="F668">
            <v>1</v>
          </cell>
          <cell r="H668">
            <v>17050</v>
          </cell>
          <cell r="I668">
            <v>17050</v>
          </cell>
        </row>
        <row r="669">
          <cell r="C669" t="str">
            <v>TB2505</v>
          </cell>
          <cell r="D669" t="str">
            <v>Yee PVC-S reducida 4"x2"</v>
          </cell>
          <cell r="E669" t="str">
            <v>un</v>
          </cell>
          <cell r="F669">
            <v>1</v>
          </cell>
          <cell r="H669">
            <v>21500</v>
          </cell>
          <cell r="I669">
            <v>21500</v>
          </cell>
        </row>
        <row r="670">
          <cell r="C670" t="str">
            <v>III. TRANSPORTES</v>
          </cell>
          <cell r="F670" t="str">
            <v>Km</v>
          </cell>
          <cell r="G670" t="str">
            <v>PESO</v>
          </cell>
          <cell r="H670" t="str">
            <v>T/KM</v>
          </cell>
          <cell r="I670">
            <v>7748.0442000000012</v>
          </cell>
        </row>
        <row r="671">
          <cell r="C671" t="str">
            <v>TR1070</v>
          </cell>
          <cell r="D671" t="str">
            <v xml:space="preserve">Transporte de materiales varios </v>
          </cell>
          <cell r="E671" t="str">
            <v>T/km</v>
          </cell>
          <cell r="F671">
            <v>130</v>
          </cell>
          <cell r="G671">
            <v>8.8296800000000009E-2</v>
          </cell>
          <cell r="H671">
            <v>675</v>
          </cell>
          <cell r="I671">
            <v>7748.0442000000012</v>
          </cell>
        </row>
        <row r="672">
          <cell r="C672" t="str">
            <v>IV. MANO DE OBRA</v>
          </cell>
          <cell r="I672">
            <v>40417.600000000006</v>
          </cell>
        </row>
        <row r="673">
          <cell r="C673" t="str">
            <v>MOFICIAL</v>
          </cell>
          <cell r="D673" t="str">
            <v>Mo oficial</v>
          </cell>
          <cell r="E673" t="str">
            <v>día</v>
          </cell>
          <cell r="F673">
            <v>0.2</v>
          </cell>
          <cell r="H673">
            <v>117127</v>
          </cell>
          <cell r="I673">
            <v>23425.4</v>
          </cell>
        </row>
        <row r="674">
          <cell r="C674" t="str">
            <v>MOAYUDA</v>
          </cell>
          <cell r="D674" t="str">
            <v>Mo ayudante entendido</v>
          </cell>
          <cell r="E674" t="str">
            <v>día</v>
          </cell>
          <cell r="F674">
            <v>0.2</v>
          </cell>
          <cell r="H674">
            <v>84961</v>
          </cell>
          <cell r="I674">
            <v>16992.2</v>
          </cell>
        </row>
        <row r="675">
          <cell r="C675" t="str">
            <v>12.3</v>
          </cell>
          <cell r="D675" t="str">
            <v>Construcción de pozo de absorción de 1.50 m x 1.50 m (profundidad de referencia 2,0 m) en mampostería construido en sitio, para manejo de clarificante y disposición final; incluye excavación, accesorios PVC, concreto, formaletas y tapa.</v>
          </cell>
          <cell r="E675" t="str">
            <v>Un</v>
          </cell>
          <cell r="F675">
            <v>1</v>
          </cell>
          <cell r="H675" t="str">
            <v/>
          </cell>
          <cell r="I675">
            <v>783989</v>
          </cell>
        </row>
        <row r="676">
          <cell r="C676" t="str">
            <v>I. EQUIPO Y HERRAMIENTA</v>
          </cell>
          <cell r="I676">
            <v>3031.3199999999997</v>
          </cell>
        </row>
        <row r="677">
          <cell r="C677" t="str">
            <v>HTAMNR</v>
          </cell>
          <cell r="D677" t="str">
            <v>Herramienta y equipo menor</v>
          </cell>
          <cell r="E677" t="str">
            <v>%</v>
          </cell>
          <cell r="G677">
            <v>0.05</v>
          </cell>
          <cell r="H677">
            <v>60626.399999999994</v>
          </cell>
          <cell r="I677">
            <v>3031.3199999999997</v>
          </cell>
        </row>
        <row r="678">
          <cell r="C678" t="str">
            <v>II. MATERIALES</v>
          </cell>
          <cell r="I678">
            <v>585949.09000000008</v>
          </cell>
        </row>
        <row r="679">
          <cell r="C679" t="str">
            <v>CT210KG</v>
          </cell>
          <cell r="D679" t="str">
            <v>Concreto 210kg/cm² 1:2:3</v>
          </cell>
          <cell r="E679" t="str">
            <v>m3</v>
          </cell>
          <cell r="F679">
            <v>0.1</v>
          </cell>
          <cell r="G679">
            <v>0.05</v>
          </cell>
          <cell r="H679">
            <v>491878</v>
          </cell>
          <cell r="I679">
            <v>51647.19</v>
          </cell>
        </row>
        <row r="680">
          <cell r="C680" t="str">
            <v>MAT1020</v>
          </cell>
          <cell r="D680" t="str">
            <v>Angulo de acero de 2-1/2"x2-1/2"x1/4"</v>
          </cell>
          <cell r="E680" t="str">
            <v>m</v>
          </cell>
          <cell r="F680">
            <v>2</v>
          </cell>
          <cell r="H680">
            <v>37500</v>
          </cell>
          <cell r="I680">
            <v>75000</v>
          </cell>
        </row>
        <row r="681">
          <cell r="C681" t="str">
            <v>TB2225</v>
          </cell>
          <cell r="D681" t="str">
            <v>Codo PVC-S 90° -1/4 CxC 3" (75 mm)</v>
          </cell>
          <cell r="E681" t="str">
            <v>un</v>
          </cell>
          <cell r="F681">
            <v>1</v>
          </cell>
          <cell r="H681">
            <v>7650</v>
          </cell>
          <cell r="I681">
            <v>7650</v>
          </cell>
        </row>
        <row r="682">
          <cell r="C682" t="str">
            <v>AD1110</v>
          </cell>
          <cell r="D682" t="str">
            <v>Limpiador PVC 760 gramos (1/4 gal) o similar</v>
          </cell>
          <cell r="E682" t="str">
            <v>un</v>
          </cell>
          <cell r="F682">
            <v>0.02</v>
          </cell>
          <cell r="G682">
            <v>0.01</v>
          </cell>
          <cell r="H682">
            <v>63900</v>
          </cell>
          <cell r="I682">
            <v>1290.78</v>
          </cell>
        </row>
        <row r="683">
          <cell r="C683" t="str">
            <v>AD1280</v>
          </cell>
          <cell r="D683" t="str">
            <v>Soldadura PVC 1/4 gal o similar</v>
          </cell>
          <cell r="E683" t="str">
            <v>gal</v>
          </cell>
          <cell r="F683">
            <v>0.02</v>
          </cell>
          <cell r="G683">
            <v>0.01</v>
          </cell>
          <cell r="H683">
            <v>95600</v>
          </cell>
          <cell r="I683">
            <v>1931.12</v>
          </cell>
        </row>
        <row r="684">
          <cell r="C684" t="str">
            <v>MAT1065</v>
          </cell>
          <cell r="D684" t="str">
            <v>Bloque de concreto 10x20x40 - 10MPa</v>
          </cell>
          <cell r="E684" t="str">
            <v>un</v>
          </cell>
          <cell r="F684">
            <v>60</v>
          </cell>
          <cell r="G684">
            <v>0.03</v>
          </cell>
          <cell r="H684">
            <v>2100</v>
          </cell>
          <cell r="I684">
            <v>129780.00000000001</v>
          </cell>
        </row>
        <row r="685">
          <cell r="C685" t="str">
            <v>MAT1330</v>
          </cell>
          <cell r="D685" t="str">
            <v>Triturado 3/4''</v>
          </cell>
          <cell r="E685" t="str">
            <v>m3</v>
          </cell>
          <cell r="F685">
            <v>0.5</v>
          </cell>
          <cell r="G685">
            <v>0.03</v>
          </cell>
          <cell r="H685">
            <v>110000</v>
          </cell>
          <cell r="I685">
            <v>56650</v>
          </cell>
        </row>
        <row r="686">
          <cell r="C686" t="str">
            <v>ENS160</v>
          </cell>
          <cell r="D686" t="str">
            <v>Ensayo de percolación de suelos o infiltración directo</v>
          </cell>
          <cell r="E686" t="str">
            <v>un</v>
          </cell>
          <cell r="F686">
            <v>1</v>
          </cell>
          <cell r="H686">
            <v>262000</v>
          </cell>
          <cell r="I686">
            <v>262000</v>
          </cell>
        </row>
        <row r="687">
          <cell r="C687" t="str">
            <v>III. TRANSPORTES</v>
          </cell>
          <cell r="F687" t="str">
            <v>Km</v>
          </cell>
          <cell r="G687" t="str">
            <v>PESO</v>
          </cell>
          <cell r="H687" t="str">
            <v>T/KM</v>
          </cell>
          <cell r="I687">
            <v>134382.21030000001</v>
          </cell>
        </row>
        <row r="688">
          <cell r="C688" t="str">
            <v>TR1070</v>
          </cell>
          <cell r="D688" t="str">
            <v xml:space="preserve">Transporte de materiales varios </v>
          </cell>
          <cell r="E688" t="str">
            <v>T/km</v>
          </cell>
          <cell r="F688">
            <v>130</v>
          </cell>
          <cell r="G688">
            <v>1.5314212</v>
          </cell>
          <cell r="H688">
            <v>675</v>
          </cell>
          <cell r="I688">
            <v>134382.21030000001</v>
          </cell>
        </row>
        <row r="689">
          <cell r="C689" t="str">
            <v>IV. MANO DE OBRA</v>
          </cell>
          <cell r="I689">
            <v>60626.399999999994</v>
          </cell>
        </row>
        <row r="690">
          <cell r="C690" t="str">
            <v>MOFICIAL</v>
          </cell>
          <cell r="D690" t="str">
            <v>Mo oficial</v>
          </cell>
          <cell r="E690" t="str">
            <v>día</v>
          </cell>
          <cell r="F690">
            <v>0.3</v>
          </cell>
          <cell r="H690">
            <v>117127</v>
          </cell>
          <cell r="I690">
            <v>35138.1</v>
          </cell>
        </row>
        <row r="691">
          <cell r="C691" t="str">
            <v>MOAYUDA</v>
          </cell>
          <cell r="D691" t="str">
            <v>Mo ayudante entendido</v>
          </cell>
          <cell r="E691" t="str">
            <v>día</v>
          </cell>
          <cell r="F691">
            <v>0.3</v>
          </cell>
          <cell r="H691">
            <v>84961</v>
          </cell>
          <cell r="I691">
            <v>25488.3</v>
          </cell>
        </row>
      </sheetData>
      <sheetData sheetId="15" refreshError="1"/>
      <sheetData sheetId="16">
        <row r="6">
          <cell r="C6" t="str">
            <v>AD1050</v>
          </cell>
        </row>
      </sheetData>
      <sheetData sheetId="17" refreshError="1"/>
      <sheetData sheetId="18"/>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MENU"/>
      <sheetName val="ITEMS DEF"/>
      <sheetName val="1-Resumen Ejecutivo"/>
      <sheetName val="2.1-Presupuesto VNR"/>
      <sheetName val="3.1-Cantidades VNR"/>
      <sheetName val="3.2-Cantidades Urbanismo"/>
      <sheetName val="4-APU"/>
      <sheetName val="4.1-APU Aux"/>
      <sheetName val="4.2-Insumos"/>
      <sheetName val="CÁLCULO DE F. PRESTACIONAL"/>
      <sheetName val="5-Costos Administracion"/>
      <sheetName val="5.1-Otros Costos Admin"/>
      <sheetName val="6.1 OBRA_PÓLIZAS"/>
      <sheetName val="6.2 PMGSA"/>
      <sheetName val="7.1 Interventoria"/>
      <sheetName val="7.2-Base Calculo FM"/>
      <sheetName val="8-Costos Operacionales"/>
      <sheetName val="Hoja1 (2)"/>
    </sheetNames>
    <sheetDataSet>
      <sheetData sheetId="0" refreshError="1"/>
      <sheetData sheetId="1" refreshError="1"/>
      <sheetData sheetId="2">
        <row r="6">
          <cell r="B6" t="str">
            <v>Ítem</v>
          </cell>
          <cell r="C6" t="str">
            <v>Descripción</v>
          </cell>
          <cell r="D6" t="str">
            <v>Unidad</v>
          </cell>
          <cell r="E6" t="str">
            <v>Cantidad</v>
          </cell>
        </row>
        <row r="7">
          <cell r="B7" t="str">
            <v>1.</v>
          </cell>
          <cell r="C7" t="str">
            <v>PRELIMINARES</v>
          </cell>
        </row>
        <row r="8">
          <cell r="B8" t="str">
            <v>1.1</v>
          </cell>
          <cell r="C8" t="str">
            <v>Localización, trazado y replanteo. Se utilizará personal experto con equipo de precisión. Se hará con la frecuencia que lo indique la interventoría. Incluye demarcación con pintura, línea de trazado, corte de piso, libretas y planos.</v>
          </cell>
          <cell r="D8" t="str">
            <v>m2</v>
          </cell>
          <cell r="E8">
            <v>54.06</v>
          </cell>
        </row>
        <row r="9">
          <cell r="B9" t="str">
            <v>1.2</v>
          </cell>
          <cell r="C9" t="str">
            <v>Nivelación del terreno por método manual. Incluye herramienta para apisonado.</v>
          </cell>
          <cell r="D9" t="str">
            <v>m2</v>
          </cell>
          <cell r="E9">
            <v>54.06</v>
          </cell>
        </row>
        <row r="10">
          <cell r="B10" t="str">
            <v>2.</v>
          </cell>
          <cell r="C10" t="str">
            <v>EXCAVACIONES Y CIMENTACIONES</v>
          </cell>
        </row>
        <row r="11">
          <cell r="B11" t="str">
            <v>2.1</v>
          </cell>
          <cell r="C11" t="str">
            <v>Descapote a mano. Incluye el desenraice si es necesario, cargue transporte y botada de material sobrante en botaderos oficiales. Medido en sitio.</v>
          </cell>
          <cell r="D11" t="str">
            <v>m3</v>
          </cell>
          <cell r="E11">
            <v>0</v>
          </cell>
        </row>
        <row r="12">
          <cell r="B12" t="str">
            <v>2.2</v>
          </cell>
          <cell r="C12"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12" t="str">
            <v>m3</v>
          </cell>
          <cell r="E12">
            <v>13.28</v>
          </cell>
        </row>
        <row r="13">
          <cell r="B13" t="str">
            <v>2.3</v>
          </cell>
          <cell r="C13" t="str">
            <v>Vaciado de viga de fundación en concreto de 21MPa a nivel de cimentación, de sección 0.20x0.20m. Incluye formaleta, equipo y todo lo necesario para su correcta colocación y funcionamiento.</v>
          </cell>
          <cell r="D13" t="str">
            <v>m</v>
          </cell>
          <cell r="E13">
            <v>7.61</v>
          </cell>
        </row>
        <row r="14">
          <cell r="B14" t="str">
            <v>2.4</v>
          </cell>
          <cell r="C14" t="str">
            <v>Vaciado de viga de fundación en concreto de 21MPa a nivel de cimentación, de sección 0.25x0.20m. Incluye formaleta, equipo y todo lo necesario para su correcta colocación y funcionamiento.</v>
          </cell>
          <cell r="D14" t="str">
            <v>m</v>
          </cell>
          <cell r="E14">
            <v>50.25</v>
          </cell>
        </row>
        <row r="15">
          <cell r="B15" t="str">
            <v>2.5</v>
          </cell>
          <cell r="C15" t="str">
            <v>Vaciado de sobrecimiento en concreto de 21MPa 0.12x0.30m. Incluye formaleta, equipo, impermeabilización y todo lo necesario para su correcta instalación y funcionamiento. El acero de refuerzo se pagará por el respectivo ítem.</v>
          </cell>
          <cell r="D15" t="str">
            <v>m</v>
          </cell>
          <cell r="E15">
            <v>56.04</v>
          </cell>
        </row>
        <row r="16">
          <cell r="B16" t="str">
            <v>3.</v>
          </cell>
          <cell r="C16" t="str">
            <v>ELEMENTOS ESTRUCTURALES</v>
          </cell>
        </row>
        <row r="17">
          <cell r="B17" t="str">
            <v>3.1</v>
          </cell>
          <cell r="C17" t="str">
            <v>Vaciado de viga de amarre superior en concreto a la vista de 21MPa sobre mampostería de sección 0.12x0.20m. Incluye formaleta, equipo y todo lo necesario para su correcta colocación y funcionamiento.</v>
          </cell>
          <cell r="D17" t="str">
            <v>m</v>
          </cell>
          <cell r="E17">
            <v>44.32</v>
          </cell>
        </row>
        <row r="18">
          <cell r="B18" t="str">
            <v>3.2</v>
          </cell>
          <cell r="C18" t="str">
            <v>Vaciado de viga cinta en concreto a la vista de 21MPa sobre mampostería de sección 0.12x0.10m. Incluye formaleta, equipo y todo lo necesario para su correcta colocación y funcionamiento.</v>
          </cell>
          <cell r="D18" t="str">
            <v>m</v>
          </cell>
          <cell r="E18">
            <v>39.68</v>
          </cell>
        </row>
        <row r="19">
          <cell r="B19" t="str">
            <v>3.3</v>
          </cell>
          <cell r="C19" t="str">
            <v>Vaciado de columna de confinamiento en concreto a la vista de 21MPa de sección 0.12x0.20m. Deberá ser vaciada una vez los muros estén construidos. Incluye formaleta, equipo y todo lo necesario para su correcta colocación y funcionamiento.</v>
          </cell>
          <cell r="D19" t="str">
            <v>m</v>
          </cell>
          <cell r="E19">
            <v>87.9</v>
          </cell>
        </row>
        <row r="20">
          <cell r="B20" t="str">
            <v>3.4</v>
          </cell>
          <cell r="C20"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20" t="str">
            <v>m2</v>
          </cell>
          <cell r="E20">
            <v>47.85</v>
          </cell>
        </row>
        <row r="21">
          <cell r="B21" t="str">
            <v>3.5</v>
          </cell>
          <cell r="C21"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21" t="str">
            <v>m2</v>
          </cell>
          <cell r="E21">
            <v>1.1399999999999999</v>
          </cell>
        </row>
        <row r="22">
          <cell r="B22" t="str">
            <v>3.6</v>
          </cell>
          <cell r="C22"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22" t="str">
            <v>m</v>
          </cell>
          <cell r="E22">
            <v>2.5</v>
          </cell>
        </row>
        <row r="23">
          <cell r="B23" t="str">
            <v>3.7</v>
          </cell>
          <cell r="C23" t="str">
            <v>Construcción de mesón en concreto de 21MPa de ancho 0.60m, espesor 0.10m, altura 0.90m. La superficie debe de quedar pulida con llana metálica. Incluye muros de apoyo en mampostería en bloque de concreto formato 0,12x0,20x0,40m.</v>
          </cell>
          <cell r="D23" t="str">
            <v>m</v>
          </cell>
          <cell r="E23" t="e">
            <v>#N/A</v>
          </cell>
        </row>
        <row r="24">
          <cell r="B24" t="str">
            <v>3.8</v>
          </cell>
          <cell r="C24" t="str">
            <v>Vaciado de viga sillar en concreto de 21MPa vaciada al interior de unidad de mampostería en U. Incluye todo lo necesario para su correcta instalación. El acero se paga en el ítem respectivo.</v>
          </cell>
          <cell r="D24" t="str">
            <v>m</v>
          </cell>
          <cell r="E24">
            <v>10</v>
          </cell>
        </row>
        <row r="25">
          <cell r="B25" t="str">
            <v>3.9</v>
          </cell>
          <cell r="C25" t="str">
            <v>Construcción de losa aérea en concreto de 21MPa para soporte de tanque de agua, acabado escobillado, e=0.08m, doble malla electrosoldada D106. Incluye formaleta, equipo y todo lo necesario para su correcta colocación y funcionamiento. El acero se paga en el ítem respectivo.</v>
          </cell>
          <cell r="D25" t="str">
            <v>m2</v>
          </cell>
          <cell r="E25">
            <v>1.2</v>
          </cell>
        </row>
        <row r="26">
          <cell r="B26" t="str">
            <v>4.</v>
          </cell>
          <cell r="C26" t="str">
            <v>ACERO DE REFUERZO</v>
          </cell>
        </row>
        <row r="27">
          <cell r="B27" t="str">
            <v>4.1</v>
          </cell>
          <cell r="C27"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7" t="str">
            <v>kg</v>
          </cell>
          <cell r="E27">
            <v>985.53</v>
          </cell>
        </row>
        <row r="28">
          <cell r="B28" t="str">
            <v>4.2</v>
          </cell>
          <cell r="C28" t="str">
            <v>Colocación de malla electrosoldada D106 o equivalente. Incluye el suministro y el transporte del material y todos los elementos necesarios para su correcta colocación.</v>
          </cell>
          <cell r="D28" t="str">
            <v>m2</v>
          </cell>
          <cell r="E28">
            <v>52.75</v>
          </cell>
        </row>
        <row r="29">
          <cell r="B29" t="str">
            <v>5.</v>
          </cell>
          <cell r="C29" t="str">
            <v>MAMPOSTERIA Y ELEMENTOS NO ESTRUCTURALES</v>
          </cell>
        </row>
        <row r="30">
          <cell r="B30" t="str">
            <v>5.1</v>
          </cell>
          <cell r="C30"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30" t="str">
            <v>m2</v>
          </cell>
          <cell r="E30">
            <v>70.95</v>
          </cell>
        </row>
        <row r="31">
          <cell r="B31" t="str">
            <v>5.2</v>
          </cell>
          <cell r="C31"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31" t="str">
            <v>m2</v>
          </cell>
          <cell r="E31">
            <v>2.72</v>
          </cell>
        </row>
        <row r="32">
          <cell r="B32" t="str">
            <v>5.3</v>
          </cell>
          <cell r="C32" t="str">
            <v>Revoque para adecuación de superficie para instalación de enchape en zona de baño y lavadero.</v>
          </cell>
          <cell r="D32" t="str">
            <v>m2</v>
          </cell>
          <cell r="E32">
            <v>6.44</v>
          </cell>
        </row>
        <row r="33">
          <cell r="B33" t="str">
            <v>6.</v>
          </cell>
          <cell r="C33" t="str">
            <v>INSTALACIONES HIDRÁULICAS E HIDROSANITARIAS</v>
          </cell>
        </row>
        <row r="34">
          <cell r="B34" t="str">
            <v>6.1</v>
          </cell>
          <cell r="C34" t="str">
            <v>Suministro, transporte e instalación de punto hidráulico en PVC-P 1/2" RDE-13.5, incluye tubería presión, accesorios, limpiador, soldadura y todos los elementos necesarios para su correcta instalación.</v>
          </cell>
          <cell r="D34" t="str">
            <v>Un</v>
          </cell>
          <cell r="E34">
            <v>7</v>
          </cell>
        </row>
        <row r="35">
          <cell r="B35" t="str">
            <v>6.2</v>
          </cell>
          <cell r="C35" t="str">
            <v>Suministro, transporte e instalación de tubería PVC-P x 1/2" RDE-13.5, incluye tubería presión, accesorios , limpiador, soldadura y todos los elementos necesarios para su correcta instalación.</v>
          </cell>
          <cell r="D35" t="str">
            <v>m</v>
          </cell>
          <cell r="E35">
            <v>11.6</v>
          </cell>
        </row>
        <row r="36">
          <cell r="B36" t="str">
            <v>6.3</v>
          </cell>
          <cell r="C36" t="str">
            <v>Suministro, transporte e instalación de tubería PVC-P x 3/4" RDE-11, incluye tubería presión, accesorios, limpiador, soldadura y todos los elementos necesarios para su correcta instalación.</v>
          </cell>
          <cell r="D36" t="str">
            <v>m</v>
          </cell>
          <cell r="E36">
            <v>7.2</v>
          </cell>
        </row>
        <row r="37">
          <cell r="B37" t="str">
            <v>6.4</v>
          </cell>
          <cell r="C37" t="str">
            <v>Suministro e instalación válvula de bola en PVC 1/2" extremo soldado. Se entregará debidamente instalada sin presencia de fugas ni fisuras.</v>
          </cell>
          <cell r="D37" t="str">
            <v>Un</v>
          </cell>
          <cell r="E37">
            <v>1</v>
          </cell>
        </row>
        <row r="38">
          <cell r="B38" t="str">
            <v>6.5</v>
          </cell>
          <cell r="C38" t="str">
            <v>Salidas sanitarias de 2" incluye materiales, accesorios y todos los elementos necesarios para su correcta instalación y funcionamiento</v>
          </cell>
          <cell r="D38" t="str">
            <v>Un</v>
          </cell>
          <cell r="E38">
            <v>6</v>
          </cell>
        </row>
        <row r="39">
          <cell r="B39" t="str">
            <v>6.6</v>
          </cell>
          <cell r="C39" t="str">
            <v>Salida sanitaria de 4" incluye materiales, accesorios y todos los elementos necesarios para su correcta instalación y funcionamiento</v>
          </cell>
          <cell r="D39" t="str">
            <v>Un</v>
          </cell>
          <cell r="E39">
            <v>1</v>
          </cell>
        </row>
        <row r="40">
          <cell r="B40" t="str">
            <v>6.7</v>
          </cell>
          <cell r="C40" t="str">
            <v>Red sanitaria de piso para en tubería PVC-S 2", incluye accesorios y todo lo necesario para su correcta instalación.</v>
          </cell>
          <cell r="D40" t="str">
            <v>m</v>
          </cell>
          <cell r="E40">
            <v>7.1</v>
          </cell>
        </row>
        <row r="41">
          <cell r="B41" t="str">
            <v>6.8</v>
          </cell>
          <cell r="C41" t="str">
            <v xml:space="preserve">Red sanitaria de piso en tubería PVC-S 3", incluye accesorios y todo lo necesario para su correcta instalación. </v>
          </cell>
          <cell r="D41" t="str">
            <v>m</v>
          </cell>
          <cell r="E41">
            <v>0</v>
          </cell>
        </row>
        <row r="42">
          <cell r="B42" t="str">
            <v>6.9</v>
          </cell>
          <cell r="C42" t="str">
            <v xml:space="preserve">Red sanitaria de piso en tubería PVC-S 4", incluye accesorios y todo lo necesario para su correcta instalación. </v>
          </cell>
          <cell r="D42" t="str">
            <v>m</v>
          </cell>
          <cell r="E42">
            <v>12</v>
          </cell>
        </row>
        <row r="43">
          <cell r="B43" t="str">
            <v>6.10</v>
          </cell>
          <cell r="C43" t="str">
            <v>Suministro e instalación de acometida domiciliaria. Incluye kit silla yee para conexiones domiciliarias ø 6" x 8", accesorios, hidrosellos, abrazaderas, lubricante, tubería novafort ø 6”, excavasión, lleno y demás elementos necesarios para el normal desarrollo de la actividad.</v>
          </cell>
          <cell r="D43" t="str">
            <v>Un</v>
          </cell>
          <cell r="E43" t="e">
            <v>#N/A</v>
          </cell>
        </row>
        <row r="44">
          <cell r="B44" t="str">
            <v>6.11</v>
          </cell>
          <cell r="C44" t="str">
            <v>Construcción de caja de inspección, dimensiones de 0.5m x 0.5m, con altura de 0.7m, espesor de paredes 0.1m. Incluye: excavación, herraje para tapa, cañuela y todos los materiales indicados en el plano, mano de obra, herramientas, formaleta, equipo, concreto de 21MPa, y demás elementos necesarios para el normal desarrollo de la actividad.</v>
          </cell>
          <cell r="D44" t="str">
            <v>Un</v>
          </cell>
          <cell r="E44" t="e">
            <v>#N/A</v>
          </cell>
        </row>
        <row r="45">
          <cell r="B45" t="str">
            <v>7.</v>
          </cell>
          <cell r="C45" t="str">
            <v>INSTALACIONES ELECTRICAS</v>
          </cell>
        </row>
        <row r="46">
          <cell r="B46" t="str">
            <v>7.1</v>
          </cell>
          <cell r="C46" t="str">
            <v>Suministro e instalación de toma corriente 125V doble con polo a tierra, 15A. de empotrar. Incluye caja, accesorios, fijaciones y todos los elementos para su correcta instalación. Los materiales deben cumplir con certificación RETIE.</v>
          </cell>
          <cell r="D46" t="str">
            <v>Un</v>
          </cell>
          <cell r="E46">
            <v>13</v>
          </cell>
        </row>
        <row r="47">
          <cell r="B47" t="str">
            <v>7.2</v>
          </cell>
          <cell r="C47" t="str">
            <v>Suministro e instalación de tomas GFCI, blanca, de empotrar. Incluye caja, accesorios, fijaciones y todos los elementos para su correcta instalación. Los materiales deben cumplir con certificación RETIE.</v>
          </cell>
          <cell r="D47" t="str">
            <v>Un</v>
          </cell>
          <cell r="E47">
            <v>3</v>
          </cell>
        </row>
        <row r="48">
          <cell r="B48" t="str">
            <v>7.3</v>
          </cell>
          <cell r="C48" t="str">
            <v xml:space="preserve">Suministro e instalación de toma corriente 220V doble pata trabada con polo a tierra, 30A. Incluye accesorios y todos los elementos para su correcta instalación. Los materiales deben cumplir con Certificación RETIE. </v>
          </cell>
          <cell r="D48" t="str">
            <v>Un</v>
          </cell>
          <cell r="E48">
            <v>1</v>
          </cell>
        </row>
        <row r="49">
          <cell r="B49" t="str">
            <v>7.4</v>
          </cell>
          <cell r="C49" t="str">
            <v xml:space="preserve">Suministro e instalación de interruptor sencillo blanco, de empotrar. Incluye caja, accesorios, fijaciones y todos los elementos para su correcta instalación. Los materiales deben cumplir con certificación RETIE. </v>
          </cell>
          <cell r="D49" t="str">
            <v>Un</v>
          </cell>
          <cell r="E49">
            <v>7</v>
          </cell>
        </row>
        <row r="50">
          <cell r="B50" t="str">
            <v>7.5</v>
          </cell>
          <cell r="C50" t="str">
            <v xml:space="preserve">Suministro e instalación de interruptor doble, blanco, de empotrar. Incluye caja, accesorios, fijaciones y todos los elementos para su correcta instalación. Los materiales deben cumplir con certificación RETIE. </v>
          </cell>
          <cell r="D50" t="str">
            <v>Un</v>
          </cell>
          <cell r="E50">
            <v>1</v>
          </cell>
        </row>
        <row r="51">
          <cell r="B51" t="str">
            <v>7.6</v>
          </cell>
          <cell r="C51" t="str">
            <v xml:space="preserve">Suministro e instalación de plafones, salidas para iluminación. En baquelita, blanco, de sobreponer. Incluye caja, accesorios, fijaciones y todos los elementos para su correcta instalación. Los materiales deben cumplir con certificación RETIE. </v>
          </cell>
          <cell r="D51" t="str">
            <v>Un</v>
          </cell>
          <cell r="E51">
            <v>10</v>
          </cell>
        </row>
        <row r="52">
          <cell r="B52" t="str">
            <v>7.7</v>
          </cell>
          <cell r="C52" t="str">
            <v xml:space="preserve">Suministro e instalación de protección del circuito de 1x20A. Los materiales deben cumplir con certificación RETIE. </v>
          </cell>
          <cell r="D52" t="str">
            <v>Un</v>
          </cell>
          <cell r="E52">
            <v>7</v>
          </cell>
        </row>
        <row r="53">
          <cell r="B53" t="str">
            <v>7.8</v>
          </cell>
          <cell r="C53" t="str">
            <v xml:space="preserve">Suministro e instalación de protección del circuito de 1x30A. Los materiales deben cumplir con certificación RETIE. </v>
          </cell>
          <cell r="D53" t="str">
            <v>Un</v>
          </cell>
          <cell r="E53">
            <v>2</v>
          </cell>
        </row>
        <row r="54">
          <cell r="B54" t="str">
            <v>7.9</v>
          </cell>
          <cell r="C54" t="str">
            <v>Suministro e instalación de cable antifraude 2 N° 8 Cu THWN + 1 N° 8 Cu THWN. Los materiales deben cumplir con Certificación RETIE.</v>
          </cell>
          <cell r="D54" t="str">
            <v>m</v>
          </cell>
          <cell r="E54">
            <v>10</v>
          </cell>
        </row>
        <row r="55">
          <cell r="B55" t="str">
            <v>7.10</v>
          </cell>
          <cell r="C55" t="str">
            <v>Suministro e instalación de cable de cobre 12AWU-Cu-THHN-THWN 90°C. Los materiales deben cumplir con Certificación RETIE.</v>
          </cell>
          <cell r="D55" t="str">
            <v>m</v>
          </cell>
          <cell r="E55">
            <v>342</v>
          </cell>
        </row>
        <row r="56">
          <cell r="B56" t="str">
            <v>7.11</v>
          </cell>
          <cell r="C56" t="str">
            <v xml:space="preserve">Suministro e instalación de tubería PVC 1/2" tipo Conduit o similar. Incluye accesorios y todos los elementos para su correcta instalación. Los materiales deben cumplir con certificación RETIE. </v>
          </cell>
          <cell r="D56" t="str">
            <v>m</v>
          </cell>
          <cell r="E56">
            <v>96.22</v>
          </cell>
        </row>
        <row r="57">
          <cell r="B57" t="str">
            <v>7.12</v>
          </cell>
          <cell r="C57" t="str">
            <v xml:space="preserve">Suministro e instalación de tubería PVC 3/4" tipo Conduit o similar. Incluye accesorios y todos los elementos para su correcta instalación. Los materiales deben cumplir con certificación RETIE. </v>
          </cell>
          <cell r="D57" t="str">
            <v>m</v>
          </cell>
          <cell r="E57">
            <v>4</v>
          </cell>
        </row>
        <row r="58">
          <cell r="B58" t="str">
            <v>7.13</v>
          </cell>
          <cell r="C58" t="str">
            <v>Suministro e instalación de tablero de distribución de 8 circuitos con todos los elementos para su correcta instalación. Los materiales deben cumplir con certificación RETIE.</v>
          </cell>
          <cell r="D58" t="str">
            <v>Un</v>
          </cell>
          <cell r="E58">
            <v>1</v>
          </cell>
        </row>
        <row r="59">
          <cell r="B59" t="str">
            <v>7.14</v>
          </cell>
          <cell r="C59" t="str">
            <v>Suministro e instalación de contador bifásico con todos los elementos para su correcta instalación. Los materiales deben cumplir con Certificación RETIE.</v>
          </cell>
          <cell r="D59" t="str">
            <v>Un</v>
          </cell>
          <cell r="E59">
            <v>1</v>
          </cell>
        </row>
        <row r="60">
          <cell r="B60" t="str">
            <v>7.15</v>
          </cell>
          <cell r="C60" t="str">
            <v>Suministro e instalación de varilla de puesta a tierra, con conector y cable. Debe cumplir con certificación RETIE.</v>
          </cell>
          <cell r="D60" t="str">
            <v>Un</v>
          </cell>
          <cell r="E60">
            <v>1</v>
          </cell>
        </row>
        <row r="61">
          <cell r="B61" t="str">
            <v>8.</v>
          </cell>
          <cell r="C61" t="str">
            <v>CARPINTERIA</v>
          </cell>
        </row>
        <row r="62">
          <cell r="B62" t="str">
            <v>8.1</v>
          </cell>
          <cell r="C62" t="str">
            <v>Suministro e instalación de puerta metálica tipo P-01 de 2 alas batientes de 0.96m x1.30m con alma tipo malla. Incluye marco, chapa económica de seguridad, bisagra perno puerta 3", pintura anticorrosiva color gris.</v>
          </cell>
          <cell r="D62" t="str">
            <v>Un</v>
          </cell>
          <cell r="E62">
            <v>1</v>
          </cell>
        </row>
        <row r="63">
          <cell r="B63" t="str">
            <v>8.2</v>
          </cell>
          <cell r="C63" t="str">
            <v>Suministro de puerta tipo P-02 en madera entamborada de 0.80x2.10m. Incluye marco, chapa económica, bisagras, pintura inmunizante y demás elementos para su correcto funcionamiento.</v>
          </cell>
          <cell r="D63" t="str">
            <v>Un</v>
          </cell>
          <cell r="E63">
            <v>1</v>
          </cell>
        </row>
        <row r="64">
          <cell r="B64" t="str">
            <v>8.3</v>
          </cell>
          <cell r="C64" t="str">
            <v>Suministro de puerta tipo P-03 en madera entamborada con refuerzo interno de 1.00x2.10m. Incluye marco, chapa económica, bisagras, pintura inmunizante y demás elementos para su correcto funcionamiento.</v>
          </cell>
          <cell r="D64" t="str">
            <v>Un</v>
          </cell>
          <cell r="E64">
            <v>2</v>
          </cell>
        </row>
        <row r="65">
          <cell r="B65" t="str">
            <v>8.4</v>
          </cell>
          <cell r="C65" t="str">
            <v>Suministro de ventana tipo V-01 en madera tipo económica de 1.20x1.20m. Incluye marco, vidrio, bisagras, pintura inmunizante y demás elementos para su correcto funcionamiento.</v>
          </cell>
          <cell r="D65" t="str">
            <v>Un</v>
          </cell>
          <cell r="E65">
            <v>4</v>
          </cell>
        </row>
        <row r="66">
          <cell r="B66" t="str">
            <v>8.5</v>
          </cell>
          <cell r="C66" t="str">
            <v>Suministro de ventana tipo V-02 en madera tipo económica de 1.20x2.40m. Incluye marco, vidrio, bisagras , pintura inmunizante y demás elementos para su correcto funcionamiento.</v>
          </cell>
          <cell r="D66" t="str">
            <v>Un</v>
          </cell>
          <cell r="E66">
            <v>1</v>
          </cell>
        </row>
        <row r="67">
          <cell r="B67" t="str">
            <v>8.6</v>
          </cell>
          <cell r="C67" t="str">
            <v xml:space="preserve">Suministro e instalación de pasamanos en madera tipo abarco, pino o similar, según diseño. Incluye ángulos metálicos calibre de 1/8" y demás elementos para su correcta fijación a muro de concreto. </v>
          </cell>
          <cell r="D67" t="str">
            <v>m</v>
          </cell>
          <cell r="E67">
            <v>0</v>
          </cell>
        </row>
        <row r="68">
          <cell r="B68" t="str">
            <v>9.</v>
          </cell>
          <cell r="C68" t="str">
            <v>ENCHAPES Y ACABADOS</v>
          </cell>
        </row>
        <row r="69">
          <cell r="B69" t="str">
            <v>9.1</v>
          </cell>
          <cell r="C69" t="str">
            <v>Enchape en cerámica antideslizante para piso en baño, color blanco. Formato a definir con la Interventoría. Incluye mortero de e=0.02m, relación 1:4 más imperbealizante integral, lechada, pega y todo lo necesario para su correcta instalación.</v>
          </cell>
          <cell r="D69" t="str">
            <v>m2</v>
          </cell>
          <cell r="E69">
            <v>3</v>
          </cell>
        </row>
        <row r="70">
          <cell r="B70" t="str">
            <v>9.2</v>
          </cell>
          <cell r="C70" t="str">
            <v>Enchape cerámico para pared en el área de zona de ropas y baño según planos arquitectónicos, color blanco. Formato a definir con la Interventoría Incluye material de pega, lechada, limpieza y todo lo necesario para su correcta instalación.</v>
          </cell>
          <cell r="D70" t="str">
            <v>m2</v>
          </cell>
          <cell r="E70">
            <v>6.11</v>
          </cell>
        </row>
        <row r="71">
          <cell r="B71" t="str">
            <v>9.3</v>
          </cell>
          <cell r="C71" t="str">
            <v xml:space="preserve">Suministro e instalación de enchape cerámico antideslizante color beige para piso en cocina . Formato a definir con la Interventoría. Incluye lechada, pega y todo lo necesario para su correcta instalación. </v>
          </cell>
          <cell r="D71" t="str">
            <v>m2</v>
          </cell>
          <cell r="E71">
            <v>5.3</v>
          </cell>
        </row>
        <row r="72">
          <cell r="B72" t="str">
            <v>9.4</v>
          </cell>
          <cell r="C72"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72" t="str">
            <v>m2</v>
          </cell>
          <cell r="E72">
            <v>0</v>
          </cell>
        </row>
        <row r="73">
          <cell r="B73" t="str">
            <v>9.5</v>
          </cell>
          <cell r="C73" t="str">
            <v>Aplicación de pintura vinílica para zonas húmedas, dos manos. Incluye suministro y transporte de los materiales, resanes, adecuación de la superficie y todo lo necesario para su correcta aplicación, en baños color blanco y en cocina color gris basalto.</v>
          </cell>
          <cell r="D73" t="str">
            <v>m2</v>
          </cell>
          <cell r="E73">
            <v>0</v>
          </cell>
        </row>
        <row r="74">
          <cell r="B74" t="str">
            <v>10.</v>
          </cell>
          <cell r="C74" t="str">
            <v>APARATOS, ACCESORIOS Y MUEBLES ESPECIALES</v>
          </cell>
        </row>
        <row r="75">
          <cell r="B75" t="str">
            <v>10.1</v>
          </cell>
          <cell r="C75" t="str">
            <v>Suministro, transporte y colocación de combo sanitario económico, color blanco. Incluye: Sanitario de 4.8lph - 1.28 gpf, alta eficiencia de agua, lavamanos de colgar, grifería y tres accesorios de incrustación a pared (portapel, jabonera y toallero).</v>
          </cell>
          <cell r="D75" t="str">
            <v>un</v>
          </cell>
          <cell r="E75">
            <v>1</v>
          </cell>
        </row>
        <row r="76">
          <cell r="B76" t="str">
            <v>10.2</v>
          </cell>
          <cell r="C76" t="str">
            <v>Suministro, transporte e instalación de rejilla de piso cuadrada de 2" en PVC, para desagüe de ducha. Incluye los materiales y todos los elementos necesarios para su correcta instalación.</v>
          </cell>
          <cell r="D76" t="str">
            <v>Un</v>
          </cell>
          <cell r="E76">
            <v>1</v>
          </cell>
        </row>
        <row r="77">
          <cell r="B77" t="str">
            <v>10.3</v>
          </cell>
          <cell r="C77" t="str">
            <v>Suministro, transporte y colocación de ducha sencilla resistente a la corrosión, con tecnología de ahorro de agua, chorro tipo lluvia, direccionable. Incluye todos los elementos necesarios para el buen funcionamiento.</v>
          </cell>
          <cell r="D77" t="str">
            <v>Un</v>
          </cell>
          <cell r="E77">
            <v>1</v>
          </cell>
        </row>
        <row r="78">
          <cell r="B78" t="str">
            <v>10.4</v>
          </cell>
          <cell r="C78" t="str">
            <v xml:space="preserve">Suministro, transporte y colocación de lavadero en granito de 0.55x0.80m sobre muretes de apoyo en bloque de concreto de 0.12x0.20x0.40m. Incluye grifería económica y todo lo necesario para su correcta instalación. </v>
          </cell>
          <cell r="D78" t="str">
            <v>Un</v>
          </cell>
          <cell r="E78">
            <v>1</v>
          </cell>
        </row>
        <row r="79">
          <cell r="B79" t="str">
            <v>10.5</v>
          </cell>
          <cell r="C79" t="str">
            <v xml:space="preserve">Suministro, transporte y colocación de lavadero en granito de 0.30x0.30x0.30m. Incluye grifería y todo lo necesario para su funcionamiento. </v>
          </cell>
          <cell r="D79" t="str">
            <v>un</v>
          </cell>
          <cell r="E79">
            <v>0</v>
          </cell>
        </row>
        <row r="80">
          <cell r="B80" t="str">
            <v>11.</v>
          </cell>
          <cell r="C80" t="str">
            <v>CUBIERTA</v>
          </cell>
        </row>
        <row r="81">
          <cell r="B81" t="str">
            <v>11.1</v>
          </cell>
          <cell r="C81" t="str">
            <v>Suministro, transporte e instalación de cubierta en teja termoacústica UPVC 2.0 mm tipo ECOROOF o similar. Incluye sistemas fijación a elementos estructurales. La medida será tomada en pendiente de cubierta. Color VERDE.</v>
          </cell>
          <cell r="D81" t="str">
            <v>m2</v>
          </cell>
          <cell r="E81">
            <v>60.19</v>
          </cell>
        </row>
        <row r="82">
          <cell r="B82" t="str">
            <v>11.2</v>
          </cell>
          <cell r="C82" t="str">
            <v>Suministro, transporte e instalación de correa en madera pino pátula inmunizada (ES6) de sección 2"x6". Incluye anclajes y todo lo necesario para su correcto funcionamiento.</v>
          </cell>
          <cell r="D82" t="str">
            <v>m</v>
          </cell>
          <cell r="E82">
            <v>35.200000000000003</v>
          </cell>
        </row>
        <row r="83">
          <cell r="B83" t="str">
            <v>11.3</v>
          </cell>
          <cell r="C83" t="str">
            <v>Suministro, transporte e instalación de correa en madera pino pátula inmunizada (ES6) de sección 3"x4". Incluye anclajes y todo lo necesario para su correcto funcionamiento.</v>
          </cell>
          <cell r="D83" t="str">
            <v>m</v>
          </cell>
          <cell r="E83">
            <v>23.76</v>
          </cell>
        </row>
        <row r="84">
          <cell r="B84" t="str">
            <v>11.4</v>
          </cell>
          <cell r="C84" t="str">
            <v>Suminsitro, transporte e instalación de alfarda en madera pino pátula inmunizada (ES6) de sección 3"x7". Incluye anclajes y todo lo necesario para su correcto funcionamiento.</v>
          </cell>
          <cell r="D84" t="str">
            <v>m</v>
          </cell>
          <cell r="E84">
            <v>3.55</v>
          </cell>
        </row>
        <row r="85">
          <cell r="B85" t="str">
            <v>11.5</v>
          </cell>
          <cell r="C85"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85" t="str">
            <v>m</v>
          </cell>
          <cell r="E85">
            <v>16.72</v>
          </cell>
        </row>
        <row r="86">
          <cell r="B86" t="str">
            <v>11.6</v>
          </cell>
          <cell r="C86" t="str">
            <v>Suministro, transporte y colocación de ruana en lámina galvanizada calibre 26, desarrollo 0.33m. Incluye pintura anticorrosiva a base de aceite, pestaña de 5 cm, y todos los elementos necesarios para su correcta construcción. Según diseño de cubierta.</v>
          </cell>
          <cell r="D86" t="str">
            <v>m</v>
          </cell>
          <cell r="E86">
            <v>7.72</v>
          </cell>
        </row>
        <row r="87">
          <cell r="B87" t="str">
            <v>11.7</v>
          </cell>
          <cell r="C87" t="str">
            <v>Suministro, transporte e instalación de bajante de aguas lluvias PVC-ALL 2". Incluye todo lo requerido para su correcta instalación como codos, soportes y demás elementos necesarios.</v>
          </cell>
          <cell r="D87" t="str">
            <v>un</v>
          </cell>
          <cell r="E87">
            <v>6.6</v>
          </cell>
        </row>
        <row r="88">
          <cell r="B88" t="str">
            <v>11.8</v>
          </cell>
          <cell r="C88" t="str">
            <v>Sistema de aprovechamiento de agua lluvia según diseño. Incluye tanque de polietileno de 500l, tubería PVC-Px2", Tubería PVC-Px1", válvula de bola PVC-P 2", codos PVC-P 90°X 2", codos PVC-P 90°X 1", Tee PVC-P 90°X 2", Tee PVC-P 90°X 1", unión universal PVC-P X 2", unión universal PVC-P X 1", soporte metálico, llave boca manguera para lavadero y llave boca manguera para poceta.</v>
          </cell>
          <cell r="D88" t="str">
            <v>m</v>
          </cell>
          <cell r="E88">
            <v>1</v>
          </cell>
        </row>
        <row r="89">
          <cell r="B89" t="str">
            <v>12.</v>
          </cell>
          <cell r="C89" t="str">
            <v>SISTEMA SÉPTICO</v>
          </cell>
        </row>
        <row r="90">
          <cell r="B90" t="str">
            <v>12.1</v>
          </cell>
          <cell r="C90" t="str">
            <v>Sistema séptico integrado de 15,000 lts con dimesiones 390x 245mx230 cm, en polietileno color negro, incluye excavación, instalacion, transporte hasta el lugar de intalación, accesorios  y todas las herraminetas para la correcta instalación del sistema .</v>
          </cell>
          <cell r="D90" t="str">
            <v>Un</v>
          </cell>
          <cell r="E90" t="str">
            <v>+</v>
          </cell>
        </row>
        <row r="91">
          <cell r="B91" t="str">
            <v>12.2</v>
          </cell>
          <cell r="C91" t="str">
            <v>Construcción en sitio de pozo de absorción de 1.50m de diámetro y profundidad de referencia de 2.0 m en mampostería, para manejo de clarificante y disposición final. Incluye excavación, accesorios en PVC, concreto, formaletas y tapa.</v>
          </cell>
          <cell r="D91" t="str">
            <v>Un</v>
          </cell>
          <cell r="E91" t="e">
            <v>#N/A</v>
          </cell>
        </row>
      </sheetData>
      <sheetData sheetId="3" refreshError="1"/>
      <sheetData sheetId="4">
        <row r="6">
          <cell r="B6" t="str">
            <v>Ítem</v>
          </cell>
          <cell r="C6" t="str">
            <v>Descripción</v>
          </cell>
          <cell r="D6" t="str">
            <v>Unidad</v>
          </cell>
          <cell r="E6" t="str">
            <v>Cantidad</v>
          </cell>
          <cell r="F6" t="str">
            <v>Vr Unitario</v>
          </cell>
          <cell r="G6" t="str">
            <v>Vr. Total/U.V</v>
          </cell>
          <cell r="H6" t="str">
            <v>Vr. Total</v>
          </cell>
          <cell r="I6" t="str">
            <v>Vr Aproximado al peso</v>
          </cell>
        </row>
        <row r="7">
          <cell r="B7" t="str">
            <v>1.</v>
          </cell>
          <cell r="C7" t="str">
            <v>PRELIMINARES</v>
          </cell>
          <cell r="G7" t="str">
            <v/>
          </cell>
          <cell r="I7">
            <v>3355836</v>
          </cell>
        </row>
        <row r="8">
          <cell r="B8" t="str">
            <v>1.1</v>
          </cell>
          <cell r="C8" t="str">
            <v>Localización, trazado y replanteo. Se utilizará personal experto con equipo de precisión. Se hará con la frecuencia que lo indique la interventoría. Incluye demarcación con pintura, línea de trazado, corte de piso, libretas y planos.</v>
          </cell>
          <cell r="D8" t="str">
            <v>m2</v>
          </cell>
          <cell r="E8">
            <v>54.06</v>
          </cell>
          <cell r="F8">
            <v>3264</v>
          </cell>
          <cell r="G8">
            <v>176452</v>
          </cell>
          <cell r="H8">
            <v>2117424</v>
          </cell>
        </row>
        <row r="9">
          <cell r="B9" t="str">
            <v>1.2</v>
          </cell>
          <cell r="C9" t="str">
            <v>Nivelación del terreno por método manual. Incluye herramienta para apisonado.</v>
          </cell>
          <cell r="D9" t="str">
            <v>m2</v>
          </cell>
          <cell r="E9">
            <v>54.06</v>
          </cell>
          <cell r="F9">
            <v>1909</v>
          </cell>
          <cell r="G9">
            <v>103201</v>
          </cell>
          <cell r="H9">
            <v>1238412</v>
          </cell>
        </row>
        <row r="10">
          <cell r="B10" t="str">
            <v>2.</v>
          </cell>
          <cell r="C10" t="str">
            <v>EXCAVACIONES Y CIMENTACIONES</v>
          </cell>
          <cell r="G10" t="str">
            <v/>
          </cell>
          <cell r="I10">
            <v>70224720</v>
          </cell>
        </row>
        <row r="11">
          <cell r="B11" t="str">
            <v>2.1</v>
          </cell>
          <cell r="C11" t="str">
            <v>Descapote a mano. Incluye el desenraice si es necesario, cargue transporte y botada de material sobrante en botaderos oficiales. Medido en sitio.</v>
          </cell>
          <cell r="D11" t="str">
            <v>m3</v>
          </cell>
          <cell r="E11">
            <v>0</v>
          </cell>
          <cell r="F11">
            <v>21041</v>
          </cell>
          <cell r="G11">
            <v>0</v>
          </cell>
          <cell r="H11">
            <v>0</v>
          </cell>
        </row>
        <row r="12">
          <cell r="B12" t="str">
            <v>2.2</v>
          </cell>
          <cell r="C12"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12" t="str">
            <v>m3</v>
          </cell>
          <cell r="E12">
            <v>13.28</v>
          </cell>
          <cell r="F12">
            <v>28284</v>
          </cell>
          <cell r="G12">
            <v>375612</v>
          </cell>
          <cell r="H12">
            <v>4507344</v>
          </cell>
        </row>
        <row r="13">
          <cell r="B13" t="str">
            <v>2.3</v>
          </cell>
          <cell r="C13" t="str">
            <v>Vaciado de viga de fundación en concreto de 21MPa a nivel de cimentación, de sección 0.20x0.20m. Incluye formaleta, equipo y todo lo necesario para su correcta colocación y funcionamiento.</v>
          </cell>
          <cell r="D13" t="str">
            <v>m</v>
          </cell>
          <cell r="E13">
            <v>7.61</v>
          </cell>
          <cell r="F13">
            <v>46335</v>
          </cell>
          <cell r="G13">
            <v>352609</v>
          </cell>
          <cell r="H13">
            <v>4231308</v>
          </cell>
        </row>
        <row r="14">
          <cell r="B14" t="str">
            <v>2.4</v>
          </cell>
          <cell r="C14" t="str">
            <v>Vaciado de viga de fundación en concreto de 21MPa a nivel de cimentación, de sección 0.25x0.20m. Incluye formaleta, equipo y todo lo necesario para su correcta colocación y funcionamiento.</v>
          </cell>
          <cell r="D14" t="str">
            <v>m</v>
          </cell>
          <cell r="E14">
            <v>50.25</v>
          </cell>
          <cell r="F14">
            <v>48202</v>
          </cell>
          <cell r="G14">
            <v>2422151</v>
          </cell>
          <cell r="H14">
            <v>29065812</v>
          </cell>
        </row>
        <row r="15">
          <cell r="B15" t="str">
            <v>2.5</v>
          </cell>
          <cell r="C15" t="str">
            <v>Vaciado de sobrecimiento en concreto de 21MPa 0.12x0.30m. Incluye formaleta, equipo, impermeabilización y todo lo necesario para su correcta instalación y funcionamiento. El acero de refuerzo se pagará por el respectivo ítem.</v>
          </cell>
          <cell r="D15" t="str">
            <v>m</v>
          </cell>
          <cell r="E15">
            <v>56.04</v>
          </cell>
          <cell r="F15">
            <v>48210</v>
          </cell>
          <cell r="G15">
            <v>2701688</v>
          </cell>
          <cell r="H15">
            <v>32420256</v>
          </cell>
        </row>
        <row r="16">
          <cell r="B16" t="str">
            <v>3.</v>
          </cell>
          <cell r="C16" t="str">
            <v>ELEMENTOS ESTRUCTURALES</v>
          </cell>
          <cell r="I16">
            <v>155928108</v>
          </cell>
        </row>
        <row r="17">
          <cell r="B17" t="str">
            <v>3.1</v>
          </cell>
          <cell r="C17" t="str">
            <v>Vaciado de viga de amarre superior en concreto a la vista de 21MPa sobre mampostería de sección 0.12x0.20m. Incluye formaleta, equipo y todo lo necesario para su correcta colocación y funcionamiento.</v>
          </cell>
          <cell r="D17" t="str">
            <v>m</v>
          </cell>
          <cell r="E17">
            <v>44.32</v>
          </cell>
          <cell r="F17">
            <v>44273</v>
          </cell>
          <cell r="G17">
            <v>1962179</v>
          </cell>
          <cell r="H17">
            <v>23546148</v>
          </cell>
        </row>
        <row r="18">
          <cell r="B18" t="str">
            <v>3.2</v>
          </cell>
          <cell r="C18" t="str">
            <v>Vaciado de viga cinta en concreto a la vista de 21MPa sobre mampostería de sección 0.12x0.10m. Incluye formaleta, equipo y todo lo necesario para su correcta colocación y funcionamiento.</v>
          </cell>
          <cell r="D18" t="str">
            <v>m</v>
          </cell>
          <cell r="E18">
            <v>39.68</v>
          </cell>
          <cell r="F18">
            <v>29676</v>
          </cell>
          <cell r="G18">
            <v>1177544</v>
          </cell>
          <cell r="H18">
            <v>14130528</v>
          </cell>
        </row>
        <row r="19">
          <cell r="B19" t="str">
            <v>3.3</v>
          </cell>
          <cell r="C19" t="str">
            <v>Vaciado de columna de confinamiento en concreto a la vista de 21MPa de sección 0.12x0.20m. Deberá ser vaciada una vez los muros estén construidos. Incluye formaleta, equipo y todo lo necesario para su correcta colocación y funcionamiento.</v>
          </cell>
          <cell r="D19" t="str">
            <v>m</v>
          </cell>
          <cell r="E19">
            <v>87.9</v>
          </cell>
          <cell r="F19">
            <v>39031</v>
          </cell>
          <cell r="G19">
            <v>3430825</v>
          </cell>
          <cell r="H19">
            <v>41169900</v>
          </cell>
        </row>
        <row r="20">
          <cell r="B20" t="str">
            <v>3.4</v>
          </cell>
          <cell r="C20"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20" t="str">
            <v>m2</v>
          </cell>
          <cell r="E20">
            <v>47.85</v>
          </cell>
          <cell r="F20">
            <v>109057</v>
          </cell>
          <cell r="G20">
            <v>5218377</v>
          </cell>
          <cell r="H20">
            <v>62620524</v>
          </cell>
        </row>
        <row r="21">
          <cell r="B21" t="str">
            <v>3.5</v>
          </cell>
          <cell r="C21"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21" t="str">
            <v>m2</v>
          </cell>
          <cell r="E21">
            <v>1.1399999999999999</v>
          </cell>
          <cell r="F21">
            <v>109057</v>
          </cell>
          <cell r="G21">
            <v>124325</v>
          </cell>
          <cell r="H21">
            <v>1491900</v>
          </cell>
        </row>
        <row r="22">
          <cell r="B22" t="str">
            <v>3.6</v>
          </cell>
          <cell r="C22"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22" t="str">
            <v>m</v>
          </cell>
          <cell r="E22">
            <v>2.5</v>
          </cell>
          <cell r="F22">
            <v>198692</v>
          </cell>
          <cell r="G22">
            <v>496730</v>
          </cell>
          <cell r="H22">
            <v>5960760</v>
          </cell>
        </row>
        <row r="23">
          <cell r="B23" t="str">
            <v>3.8</v>
          </cell>
          <cell r="C23" t="str">
            <v>Vaciado de viga sillar en concreto de 21MPa vaciada al interior de unidad de mampostería en U. Incluye todo lo necesario para su correcta instalación. El acero se paga en el ítem respectivo.</v>
          </cell>
          <cell r="D23" t="str">
            <v>m</v>
          </cell>
          <cell r="E23">
            <v>10</v>
          </cell>
          <cell r="F23">
            <v>46187</v>
          </cell>
          <cell r="G23">
            <v>461870</v>
          </cell>
          <cell r="H23">
            <v>5542440</v>
          </cell>
        </row>
        <row r="24">
          <cell r="B24" t="str">
            <v>3.9</v>
          </cell>
          <cell r="C24" t="str">
            <v>Construcción de losa aérea en concreto de 21MPa para soporte de tanque de agua, acabado escobillado, e=0.08m, doble malla electrosoldada D106. Incluye formaleta, equipo y todo lo necesario para su correcta colocación y funcionamiento. El acero se paga en el ítem respectivo.</v>
          </cell>
          <cell r="D24" t="str">
            <v>m2</v>
          </cell>
          <cell r="E24">
            <v>1.2</v>
          </cell>
          <cell r="F24">
            <v>101799</v>
          </cell>
          <cell r="G24">
            <v>122159</v>
          </cell>
          <cell r="H24">
            <v>1465908</v>
          </cell>
        </row>
        <row r="25">
          <cell r="B25" t="str">
            <v>4.</v>
          </cell>
          <cell r="C25" t="str">
            <v>ACERO DE REFUERZO</v>
          </cell>
          <cell r="I25">
            <v>81471636</v>
          </cell>
        </row>
        <row r="26">
          <cell r="B26" t="str">
            <v>4.1</v>
          </cell>
          <cell r="C26"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6" t="str">
            <v>kg</v>
          </cell>
          <cell r="E26">
            <v>985.53</v>
          </cell>
          <cell r="F26">
            <v>6385</v>
          </cell>
          <cell r="G26">
            <v>6292609</v>
          </cell>
          <cell r="H26">
            <v>75511308</v>
          </cell>
        </row>
        <row r="27">
          <cell r="B27" t="str">
            <v>4.2</v>
          </cell>
          <cell r="C27" t="str">
            <v>Colocación de malla electrosoldada D106 o equivalente. Incluye el suministro y el transporte del material y todos los elementos necesarios para su correcta colocación.</v>
          </cell>
          <cell r="D27" t="str">
            <v>m2</v>
          </cell>
          <cell r="E27">
            <v>52.75</v>
          </cell>
          <cell r="F27">
            <v>9416</v>
          </cell>
          <cell r="G27">
            <v>496694</v>
          </cell>
          <cell r="H27">
            <v>5960328</v>
          </cell>
        </row>
        <row r="28">
          <cell r="B28" t="str">
            <v>5.</v>
          </cell>
          <cell r="C28" t="str">
            <v>MAMPOSTERIA Y ELEMENTOS NO ESTRUCTURALES</v>
          </cell>
          <cell r="G28" t="str">
            <v/>
          </cell>
          <cell r="I28">
            <v>76485144</v>
          </cell>
        </row>
        <row r="29">
          <cell r="B29" t="str">
            <v>5.1</v>
          </cell>
          <cell r="C29"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9" t="str">
            <v>m2</v>
          </cell>
          <cell r="E29">
            <v>70.95</v>
          </cell>
          <cell r="F29">
            <v>83963</v>
          </cell>
          <cell r="G29">
            <v>5957175</v>
          </cell>
          <cell r="H29">
            <v>71486100</v>
          </cell>
        </row>
        <row r="30">
          <cell r="B30" t="str">
            <v>5.2</v>
          </cell>
          <cell r="C30"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30" t="str">
            <v>m2</v>
          </cell>
          <cell r="E30">
            <v>2.72</v>
          </cell>
          <cell r="F30">
            <v>100503</v>
          </cell>
          <cell r="G30">
            <v>273368</v>
          </cell>
          <cell r="H30">
            <v>3280416</v>
          </cell>
        </row>
        <row r="31">
          <cell r="B31" t="str">
            <v>5.3</v>
          </cell>
          <cell r="C31" t="str">
            <v>Revoque para adecuación de superficie para instalación de enchape en zona de baño y lavadero.</v>
          </cell>
          <cell r="D31" t="str">
            <v>m2</v>
          </cell>
          <cell r="E31">
            <v>6.44</v>
          </cell>
          <cell r="F31">
            <v>22239</v>
          </cell>
          <cell r="G31">
            <v>143219</v>
          </cell>
          <cell r="H31">
            <v>1718628</v>
          </cell>
        </row>
        <row r="32">
          <cell r="B32" t="str">
            <v>6.</v>
          </cell>
          <cell r="C32" t="str">
            <v>INSTALACIONES HIDRÁULICAS E HIDROSANITARIAS</v>
          </cell>
          <cell r="I32">
            <v>16686816</v>
          </cell>
        </row>
        <row r="33">
          <cell r="B33" t="str">
            <v>6.1</v>
          </cell>
          <cell r="C33" t="str">
            <v>Suministro, transporte e instalación de punto hidráulico en PVC-P 1/2" RDE-13.5, incluye tubería presión, accesorios, limpiador, soldadura y todos los elementos necesarios para su correcta instalación.</v>
          </cell>
          <cell r="D33" t="str">
            <v>Un</v>
          </cell>
          <cell r="E33">
            <v>7</v>
          </cell>
          <cell r="F33">
            <v>21930</v>
          </cell>
          <cell r="G33">
            <v>153510</v>
          </cell>
          <cell r="H33">
            <v>1842120</v>
          </cell>
        </row>
        <row r="34">
          <cell r="B34" t="str">
            <v>6.2</v>
          </cell>
          <cell r="C34" t="str">
            <v>Suministro, transporte e instalación de tubería PVC-P x 1/2" RDE-13.5, incluye tubería presión, accesorios , limpiador, soldadura y todos los elementos necesarios para su correcta instalación.</v>
          </cell>
          <cell r="D34" t="str">
            <v>m</v>
          </cell>
          <cell r="E34">
            <v>11.6</v>
          </cell>
          <cell r="F34">
            <v>12138</v>
          </cell>
          <cell r="G34">
            <v>140801</v>
          </cell>
          <cell r="H34">
            <v>1689612</v>
          </cell>
        </row>
        <row r="35">
          <cell r="B35" t="str">
            <v>6.3</v>
          </cell>
          <cell r="C35" t="str">
            <v>Suministro, transporte e instalación de tubería PVC-P x 3/4" RDE-11, incluye tubería presión, accesorios, limpiador, soldadura y todos los elementos necesarios para su correcta instalación.</v>
          </cell>
          <cell r="D35" t="str">
            <v>m</v>
          </cell>
          <cell r="E35">
            <v>7.2</v>
          </cell>
          <cell r="F35">
            <v>11082</v>
          </cell>
          <cell r="G35">
            <v>79790</v>
          </cell>
          <cell r="H35">
            <v>957480</v>
          </cell>
        </row>
        <row r="36">
          <cell r="B36" t="str">
            <v>6.4</v>
          </cell>
          <cell r="C36" t="str">
            <v>Suministro e instalación válvula de bola en PVC 1/2" extremo soldado. Se entregará debidamente instalada sin presencia de fugas ni fisuras.</v>
          </cell>
          <cell r="D36" t="str">
            <v>Un</v>
          </cell>
          <cell r="E36">
            <v>1</v>
          </cell>
          <cell r="F36">
            <v>17616</v>
          </cell>
          <cell r="G36">
            <v>17616</v>
          </cell>
          <cell r="H36">
            <v>211392</v>
          </cell>
        </row>
        <row r="37">
          <cell r="B37" t="str">
            <v>6.5</v>
          </cell>
          <cell r="C37" t="str">
            <v>Salidas sanitarias de 2" incluye materiales, accesorios y todos los elementos necesarios para su correcta instalación y funcionamiento</v>
          </cell>
          <cell r="D37" t="str">
            <v>Un</v>
          </cell>
          <cell r="E37">
            <v>6</v>
          </cell>
          <cell r="F37">
            <v>34997</v>
          </cell>
          <cell r="G37">
            <v>209982</v>
          </cell>
          <cell r="H37">
            <v>2519784</v>
          </cell>
        </row>
        <row r="38">
          <cell r="B38" t="str">
            <v>6.6</v>
          </cell>
          <cell r="C38" t="str">
            <v>Salida sanitaria de 4" incluye materiales, accesorios y todos los elementos necesarios para su correcta instalación y funcionamiento</v>
          </cell>
          <cell r="D38" t="str">
            <v>Un</v>
          </cell>
          <cell r="E38">
            <v>1</v>
          </cell>
          <cell r="F38">
            <v>44997</v>
          </cell>
          <cell r="G38">
            <v>44997</v>
          </cell>
          <cell r="H38">
            <v>539964</v>
          </cell>
        </row>
        <row r="39">
          <cell r="B39" t="str">
            <v>6.7</v>
          </cell>
          <cell r="C39" t="str">
            <v>Red sanitaria de piso para en tubería PVC-S 2", incluye accesorios y todo lo necesario para su correcta instalación.</v>
          </cell>
          <cell r="D39" t="str">
            <v>m</v>
          </cell>
          <cell r="E39">
            <v>7.1</v>
          </cell>
          <cell r="F39">
            <v>31787</v>
          </cell>
          <cell r="G39">
            <v>225688</v>
          </cell>
          <cell r="H39">
            <v>2708256</v>
          </cell>
        </row>
        <row r="40">
          <cell r="B40" t="str">
            <v>6.8</v>
          </cell>
          <cell r="C40" t="str">
            <v xml:space="preserve">Red sanitaria de piso en tubería PVC-S 3", incluye accesorios y todo lo necesario para su correcta instalación. </v>
          </cell>
          <cell r="D40" t="str">
            <v>m</v>
          </cell>
          <cell r="E40">
            <v>0</v>
          </cell>
          <cell r="F40">
            <v>37542</v>
          </cell>
          <cell r="G40">
            <v>0</v>
          </cell>
          <cell r="H40">
            <v>0</v>
          </cell>
        </row>
        <row r="41">
          <cell r="B41" t="str">
            <v>6.9</v>
          </cell>
          <cell r="C41" t="str">
            <v xml:space="preserve">Red sanitaria de piso en tubería PVC-S 4", incluye accesorios y todo lo necesario para su correcta instalación. </v>
          </cell>
          <cell r="D41" t="str">
            <v>m</v>
          </cell>
          <cell r="E41">
            <v>12</v>
          </cell>
          <cell r="F41">
            <v>43182</v>
          </cell>
          <cell r="G41">
            <v>518184</v>
          </cell>
          <cell r="H41">
            <v>6218208</v>
          </cell>
        </row>
        <row r="42">
          <cell r="B42" t="str">
            <v>7.</v>
          </cell>
          <cell r="C42" t="str">
            <v>INSTALACIONES ELECTRICAS</v>
          </cell>
          <cell r="I42">
            <v>41331936</v>
          </cell>
        </row>
        <row r="43">
          <cell r="B43" t="str">
            <v>7.1</v>
          </cell>
          <cell r="C43" t="str">
            <v>Suministro e instalación de toma corriente 125V doble con polo a tierra, 15A. de empotrar. Incluye caja, accesorios, fijaciones y todos los elementos para su correcta instalación. Los materiales deben cumplir con certificación RETIE.</v>
          </cell>
          <cell r="D43" t="str">
            <v>Un</v>
          </cell>
          <cell r="E43">
            <v>13</v>
          </cell>
          <cell r="F43">
            <v>9883</v>
          </cell>
          <cell r="G43">
            <v>128479</v>
          </cell>
          <cell r="H43">
            <v>1541748</v>
          </cell>
        </row>
        <row r="44">
          <cell r="B44" t="str">
            <v>7.2</v>
          </cell>
          <cell r="C44" t="str">
            <v>Suministro e instalación de tomas GFCI, blanca, de empotrar. Incluye caja, accesorios, fijaciones y todos los elementos para su correcta instalación. Los materiales deben cumplir con certificación RETIE.</v>
          </cell>
          <cell r="D44" t="str">
            <v>Un</v>
          </cell>
          <cell r="E44">
            <v>3</v>
          </cell>
          <cell r="F44">
            <v>41185</v>
          </cell>
          <cell r="G44">
            <v>123555</v>
          </cell>
          <cell r="H44">
            <v>1482660</v>
          </cell>
        </row>
        <row r="45">
          <cell r="B45" t="str">
            <v>7.3</v>
          </cell>
          <cell r="C45" t="str">
            <v xml:space="preserve">Suministro e instalación de toma corriente 220V doble pata trabada con polo a tierra, 30A. Incluye accesorios y todos los elementos para su correcta instalación. Los materiales deben cumplir con Certificación RETIE. </v>
          </cell>
          <cell r="D45" t="str">
            <v>Un</v>
          </cell>
          <cell r="E45">
            <v>1</v>
          </cell>
          <cell r="F45">
            <v>20891</v>
          </cell>
          <cell r="G45">
            <v>20891</v>
          </cell>
          <cell r="H45">
            <v>250692</v>
          </cell>
        </row>
        <row r="46">
          <cell r="B46" t="str">
            <v>7.4</v>
          </cell>
          <cell r="C46" t="str">
            <v xml:space="preserve">Suministro e instalación de interruptor sencillo blanco, de empotrar. Incluye caja, accesorios, fijaciones y todos los elementos para su correcta instalación. Los materiales deben cumplir con certificación RETIE. </v>
          </cell>
          <cell r="D46" t="str">
            <v>Un</v>
          </cell>
          <cell r="E46">
            <v>7</v>
          </cell>
          <cell r="F46">
            <v>10384</v>
          </cell>
          <cell r="G46">
            <v>72688</v>
          </cell>
          <cell r="H46">
            <v>872256</v>
          </cell>
        </row>
        <row r="47">
          <cell r="B47" t="str">
            <v>7.5</v>
          </cell>
          <cell r="C47" t="str">
            <v xml:space="preserve">Suministro e instalación de interruptor doble, blanco, de empotrar. Incluye caja, accesorios, fijaciones y todos los elementos para su correcta instalación. Los materiales deben cumplir con certificación RETIE. </v>
          </cell>
          <cell r="D47" t="str">
            <v>Un</v>
          </cell>
          <cell r="E47">
            <v>1</v>
          </cell>
          <cell r="F47">
            <v>17283</v>
          </cell>
          <cell r="G47">
            <v>17283</v>
          </cell>
          <cell r="H47">
            <v>207396</v>
          </cell>
        </row>
        <row r="48">
          <cell r="B48" t="str">
            <v>7.6</v>
          </cell>
          <cell r="C48" t="str">
            <v xml:space="preserve">Suministro e instalación de plafones, salidas para iluminación. En baquelita, blanco, de sobreponer. Incluye caja, accesorios, fijaciones y todos los elementos para su correcta instalación. Los materiales deben cumplir con certificación RETIE. </v>
          </cell>
          <cell r="D48" t="str">
            <v>Un</v>
          </cell>
          <cell r="E48">
            <v>10</v>
          </cell>
          <cell r="F48">
            <v>9783</v>
          </cell>
          <cell r="G48">
            <v>97830</v>
          </cell>
          <cell r="H48">
            <v>1173960</v>
          </cell>
        </row>
        <row r="49">
          <cell r="B49" t="str">
            <v>7.7</v>
          </cell>
          <cell r="C49" t="str">
            <v xml:space="preserve">Suministro e instalación de protección del circuito de 1x20A. Los materiales deben cumplir con certificación RETIE. </v>
          </cell>
          <cell r="D49" t="str">
            <v>Un</v>
          </cell>
          <cell r="E49">
            <v>7</v>
          </cell>
          <cell r="F49">
            <v>12159</v>
          </cell>
          <cell r="G49">
            <v>85113</v>
          </cell>
          <cell r="H49">
            <v>1021356</v>
          </cell>
        </row>
        <row r="50">
          <cell r="B50" t="str">
            <v>7.8</v>
          </cell>
          <cell r="C50" t="str">
            <v xml:space="preserve">Suministro e instalación de protección del circuito de 1x30A. Los materiales deben cumplir con certificación RETIE. </v>
          </cell>
          <cell r="D50" t="str">
            <v>Un</v>
          </cell>
          <cell r="E50">
            <v>2</v>
          </cell>
          <cell r="F50">
            <v>15959</v>
          </cell>
          <cell r="G50">
            <v>31918</v>
          </cell>
          <cell r="H50">
            <v>383016</v>
          </cell>
        </row>
        <row r="51">
          <cell r="B51" t="str">
            <v>7.9</v>
          </cell>
          <cell r="C51" t="str">
            <v>Suministro e instalación de cable antifraude 2 N° 8 Cu THWN + 1 N° 8 Cu THWN. Los materiales deben cumplir con Certificación RETIE.</v>
          </cell>
          <cell r="D51" t="str">
            <v>m</v>
          </cell>
          <cell r="E51">
            <v>10</v>
          </cell>
          <cell r="F51">
            <v>28562</v>
          </cell>
          <cell r="G51">
            <v>285620</v>
          </cell>
          <cell r="H51">
            <v>3427440</v>
          </cell>
        </row>
        <row r="52">
          <cell r="B52" t="str">
            <v>7.10</v>
          </cell>
          <cell r="C52" t="str">
            <v>Suministro e instalación de cable de cobre 12AWU-Cu-THHN-THWN 90°C. Los materiales deben cumplir con Certificación RETIE.</v>
          </cell>
          <cell r="D52" t="str">
            <v>m</v>
          </cell>
          <cell r="E52">
            <v>342</v>
          </cell>
          <cell r="F52">
            <v>4728</v>
          </cell>
          <cell r="G52">
            <v>1616976</v>
          </cell>
          <cell r="H52">
            <v>19403712</v>
          </cell>
        </row>
        <row r="53">
          <cell r="B53" t="str">
            <v>7.11</v>
          </cell>
          <cell r="C53" t="str">
            <v xml:space="preserve">Suministro e instalación de tubería PVC 1/2" tipo Conduit o similar. Incluye accesorios y todos los elementos para su correcta instalación. Los materiales deben cumplir con certificación RETIE. </v>
          </cell>
          <cell r="D53" t="str">
            <v>m</v>
          </cell>
          <cell r="E53">
            <v>96.22</v>
          </cell>
          <cell r="F53">
            <v>5242</v>
          </cell>
          <cell r="G53">
            <v>504385</v>
          </cell>
          <cell r="H53">
            <v>6052620</v>
          </cell>
        </row>
        <row r="54">
          <cell r="B54" t="str">
            <v>7.12</v>
          </cell>
          <cell r="C54" t="str">
            <v xml:space="preserve">Suministro e instalación de tubería PVC 3/4" tipo Conduit o similar. Incluye accesorios y todos los elementos para su correcta instalación. Los materiales deben cumplir con certificación RETIE. </v>
          </cell>
          <cell r="D54" t="str">
            <v>m</v>
          </cell>
          <cell r="E54">
            <v>4</v>
          </cell>
          <cell r="F54">
            <v>6102</v>
          </cell>
          <cell r="G54">
            <v>24408</v>
          </cell>
          <cell r="H54">
            <v>292896</v>
          </cell>
        </row>
        <row r="55">
          <cell r="B55" t="str">
            <v>7.13</v>
          </cell>
          <cell r="C55" t="str">
            <v>Suministro e instalación de tablero de distribución de 8 circuitos con todos los elementos para su correcta instalación. Los materiales deben cumplir con certificación RETIE.</v>
          </cell>
          <cell r="D55" t="str">
            <v>Un</v>
          </cell>
          <cell r="E55">
            <v>1</v>
          </cell>
          <cell r="F55">
            <v>64890</v>
          </cell>
          <cell r="G55">
            <v>64890</v>
          </cell>
          <cell r="H55">
            <v>778680</v>
          </cell>
        </row>
        <row r="56">
          <cell r="B56" t="str">
            <v>7.14</v>
          </cell>
          <cell r="C56" t="str">
            <v>Suministro e instalación de contador bifásico con todos los elementos para su correcta instalación. Los materiales deben cumplir con Certificación RETIE.</v>
          </cell>
          <cell r="D56" t="str">
            <v>Un</v>
          </cell>
          <cell r="E56">
            <v>1</v>
          </cell>
          <cell r="F56">
            <v>154224</v>
          </cell>
          <cell r="G56">
            <v>154224</v>
          </cell>
          <cell r="H56">
            <v>1850688</v>
          </cell>
        </row>
        <row r="57">
          <cell r="B57" t="str">
            <v>7.15</v>
          </cell>
          <cell r="C57" t="str">
            <v>Suministro e instalación de varilla de puesta a tierra, con conector y cable. Debe cumplir con certificación RETIE.</v>
          </cell>
          <cell r="D57" t="str">
            <v>Un</v>
          </cell>
          <cell r="E57">
            <v>1</v>
          </cell>
          <cell r="F57">
            <v>216068</v>
          </cell>
          <cell r="G57">
            <v>216068</v>
          </cell>
          <cell r="H57">
            <v>2592816</v>
          </cell>
        </row>
        <row r="58">
          <cell r="B58" t="str">
            <v>8.</v>
          </cell>
          <cell r="C58" t="str">
            <v>CARPINTERIA</v>
          </cell>
          <cell r="I58">
            <v>31179480</v>
          </cell>
        </row>
        <row r="59">
          <cell r="B59" t="str">
            <v>8.1</v>
          </cell>
          <cell r="C59" t="str">
            <v>Suministro e instalación de puerta metálica tipo P-01 de 2 alas batientes de 0.96m x1.30m con alma tipo malla. Incluye marco, chapa económica de seguridad, bisagra perno puerta 3", pintura anticorrosiva color gris.</v>
          </cell>
          <cell r="D59" t="str">
            <v>Un</v>
          </cell>
          <cell r="E59">
            <v>1</v>
          </cell>
          <cell r="F59">
            <v>212981</v>
          </cell>
          <cell r="G59">
            <v>212981</v>
          </cell>
          <cell r="H59">
            <v>2555772</v>
          </cell>
        </row>
        <row r="60">
          <cell r="B60" t="str">
            <v>8.2</v>
          </cell>
          <cell r="C60" t="str">
            <v>Suministro de puerta tipo P-02 en madera entamborada de 0.80x2.10m. Incluye marco, chapa económica, bisagras, pintura inmunizante y demás elementos para su correcto funcionamiento.</v>
          </cell>
          <cell r="D60" t="str">
            <v>Un</v>
          </cell>
          <cell r="E60">
            <v>1</v>
          </cell>
          <cell r="F60">
            <v>379802</v>
          </cell>
          <cell r="G60">
            <v>379802</v>
          </cell>
          <cell r="H60">
            <v>4557624</v>
          </cell>
        </row>
        <row r="61">
          <cell r="B61" t="str">
            <v>8.3</v>
          </cell>
          <cell r="C61" t="str">
            <v>Suministro de puerta tipo P-03 en madera entamborada con refuerzo interno de 1.00x2.10m. Incluye marco, chapa económica, bisagras, pintura inmunizante y demás elementos para su correcto funcionamiento.</v>
          </cell>
          <cell r="D61" t="str">
            <v>Un</v>
          </cell>
          <cell r="E61">
            <v>2</v>
          </cell>
          <cell r="F61">
            <v>460131</v>
          </cell>
          <cell r="G61">
            <v>920262</v>
          </cell>
          <cell r="H61">
            <v>11043144</v>
          </cell>
        </row>
        <row r="62">
          <cell r="B62" t="str">
            <v>8.4</v>
          </cell>
          <cell r="C62" t="str">
            <v>Suministro de ventana tipo V-01 en madera tipo económica de 1.20x1.20m. Incluye marco, vidrio, bisagras, pintura inmunizante y demás elementos para su correcto funcionamiento.</v>
          </cell>
          <cell r="D62" t="str">
            <v>Un</v>
          </cell>
          <cell r="E62">
            <v>4</v>
          </cell>
          <cell r="F62">
            <v>179064</v>
          </cell>
          <cell r="G62">
            <v>716256</v>
          </cell>
          <cell r="H62">
            <v>8595072</v>
          </cell>
        </row>
        <row r="63">
          <cell r="B63" t="str">
            <v>8.5</v>
          </cell>
          <cell r="C63" t="str">
            <v>Suministro de ventana tipo V-02 en madera tipo económica de 1.20x2.40m. Incluye marco, vidrio, bisagras , pintura inmunizante y demás elementos para su correcto funcionamiento.</v>
          </cell>
          <cell r="D63" t="str">
            <v>Un</v>
          </cell>
          <cell r="E63">
            <v>1</v>
          </cell>
          <cell r="F63">
            <v>368989</v>
          </cell>
          <cell r="G63">
            <v>368989</v>
          </cell>
          <cell r="H63">
            <v>4427868</v>
          </cell>
        </row>
        <row r="64">
          <cell r="B64" t="str">
            <v>8.6</v>
          </cell>
          <cell r="C64" t="str">
            <v xml:space="preserve">Suministro e instalación de pasamanos en madera tipo abarco, pino o similar, según diseño. Incluye ángulos metálicos calibre de 1/8" y demás elementos para su correcta fijación a muro de concreto. </v>
          </cell>
          <cell r="D64" t="str">
            <v>m</v>
          </cell>
          <cell r="E64">
            <v>0</v>
          </cell>
          <cell r="F64">
            <v>0</v>
          </cell>
          <cell r="G64">
            <v>0</v>
          </cell>
          <cell r="H64">
            <v>0</v>
          </cell>
        </row>
        <row r="65">
          <cell r="B65" t="str">
            <v>9.</v>
          </cell>
          <cell r="C65" t="str">
            <v>ENCHAPES Y ACABADOS</v>
          </cell>
          <cell r="I65">
            <v>8473944</v>
          </cell>
        </row>
        <row r="66">
          <cell r="B66" t="str">
            <v>9.1</v>
          </cell>
          <cell r="C66" t="str">
            <v>Enchape en cerámica antideslizante para piso en baño, color blanco. Formato a definir con la Interventoría. Incluye mortero de e=0.02m, relación 1:4 más imperbealizante integral, lechada, pega y todo lo necesario para su correcta instalación.</v>
          </cell>
          <cell r="D66" t="str">
            <v>m2</v>
          </cell>
          <cell r="E66">
            <v>3</v>
          </cell>
          <cell r="F66">
            <v>51533</v>
          </cell>
          <cell r="G66">
            <v>154599</v>
          </cell>
          <cell r="H66">
            <v>1855188</v>
          </cell>
        </row>
        <row r="67">
          <cell r="B67" t="str">
            <v>9.2</v>
          </cell>
          <cell r="C67" t="str">
            <v>Enchape cerámico para pared en el área de zona de ropas y baño según planos arquitectónicos, color blanco. Formato a definir con la Interventoría Incluye material de pega, lechada, limpieza y todo lo necesario para su correcta instalación.</v>
          </cell>
          <cell r="D67" t="str">
            <v>m2</v>
          </cell>
          <cell r="E67">
            <v>6.11</v>
          </cell>
          <cell r="F67">
            <v>46304</v>
          </cell>
          <cell r="G67">
            <v>282917</v>
          </cell>
          <cell r="H67">
            <v>3395004</v>
          </cell>
        </row>
        <row r="68">
          <cell r="B68" t="str">
            <v>9.3</v>
          </cell>
          <cell r="C68" t="str">
            <v xml:space="preserve">Suministro e instalación de enchape cerámico antideslizante color beige para piso en cocina . Formato a definir con la Interventoría. Incluye lechada, pega y todo lo necesario para su correcta instalación. </v>
          </cell>
          <cell r="D68" t="str">
            <v>m2</v>
          </cell>
          <cell r="E68">
            <v>5.3</v>
          </cell>
          <cell r="F68">
            <v>50688</v>
          </cell>
          <cell r="G68">
            <v>268646</v>
          </cell>
          <cell r="H68">
            <v>3223752</v>
          </cell>
        </row>
        <row r="69">
          <cell r="B69" t="str">
            <v>9.4</v>
          </cell>
          <cell r="C69"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69" t="str">
            <v>m2</v>
          </cell>
          <cell r="E69">
            <v>0</v>
          </cell>
          <cell r="F69">
            <v>25787</v>
          </cell>
          <cell r="G69">
            <v>0</v>
          </cell>
          <cell r="H69">
            <v>0</v>
          </cell>
        </row>
        <row r="70">
          <cell r="B70" t="str">
            <v>9.5</v>
          </cell>
          <cell r="C70" t="str">
            <v>Aplicación de pintura vinílica para zonas húmedas, dos manos. Incluye suministro y transporte de los materiales, resanes, adecuación de la superficie y todo lo necesario para su correcta aplicación, en baños color blanco y en cocina color gris basalto.</v>
          </cell>
          <cell r="D70" t="str">
            <v>m2</v>
          </cell>
          <cell r="E70">
            <v>0</v>
          </cell>
          <cell r="F70">
            <v>18191</v>
          </cell>
          <cell r="G70">
            <v>0</v>
          </cell>
          <cell r="H70">
            <v>0</v>
          </cell>
        </row>
        <row r="71">
          <cell r="B71" t="str">
            <v>10.</v>
          </cell>
          <cell r="C71" t="str">
            <v>APARATOS, ACCESORIOS Y MUEBLES ESPECIALES</v>
          </cell>
          <cell r="I71">
            <v>10145208</v>
          </cell>
        </row>
        <row r="72">
          <cell r="B72" t="str">
            <v>10.1</v>
          </cell>
          <cell r="C72" t="str">
            <v>Suministro, transporte y colocación de combo sanitario económico, color blanco. Incluye: Sanitario de 4.8lph - 1.28 gpf, alta eficiencia de agua, lavamanos de colgar, grifería y tres accesorios de incrustación a pared (portapel, jabonera y toallero).</v>
          </cell>
          <cell r="D72" t="str">
            <v>un</v>
          </cell>
          <cell r="E72">
            <v>1</v>
          </cell>
          <cell r="F72">
            <v>400519</v>
          </cell>
          <cell r="G72">
            <v>400519</v>
          </cell>
          <cell r="H72">
            <v>4806228</v>
          </cell>
        </row>
        <row r="73">
          <cell r="B73" t="str">
            <v>10.2</v>
          </cell>
          <cell r="C73" t="str">
            <v>Suministro, transporte e instalación de rejilla de piso cuadrada de 2" en PVC, para desagüe de ducha. Incluye los materiales y todos los elementos necesarios para su correcta instalación.</v>
          </cell>
          <cell r="D73" t="str">
            <v>Un</v>
          </cell>
          <cell r="E73">
            <v>1</v>
          </cell>
          <cell r="F73">
            <v>10698</v>
          </cell>
          <cell r="G73">
            <v>10698</v>
          </cell>
          <cell r="H73">
            <v>128376</v>
          </cell>
        </row>
        <row r="74">
          <cell r="B74" t="str">
            <v>10.3</v>
          </cell>
          <cell r="C74" t="str">
            <v>Suministro, transporte y colocación de ducha sencilla resistente a la corrosión, con tecnología de ahorro de agua, chorro tipo lluvia, direccionable. Incluye todos los elementos necesarios para el buen funcionamiento.</v>
          </cell>
          <cell r="D74" t="str">
            <v>Un</v>
          </cell>
          <cell r="E74">
            <v>1</v>
          </cell>
          <cell r="F74">
            <v>62959</v>
          </cell>
          <cell r="G74">
            <v>62959</v>
          </cell>
          <cell r="H74">
            <v>755508</v>
          </cell>
        </row>
        <row r="75">
          <cell r="B75" t="str">
            <v>10.4</v>
          </cell>
          <cell r="C75" t="str">
            <v xml:space="preserve">Suministro, transporte y colocación de lavadero en granito de 0.55x0.80m sobre muretes de apoyo en bloque de concreto de 0.12x0.20x0.40m. Incluye grifería económica y todo lo necesario para su correcta instalación. </v>
          </cell>
          <cell r="D75" t="str">
            <v>Un</v>
          </cell>
          <cell r="E75">
            <v>1</v>
          </cell>
          <cell r="F75">
            <v>371258</v>
          </cell>
          <cell r="G75">
            <v>371258</v>
          </cell>
          <cell r="H75">
            <v>4455096</v>
          </cell>
        </row>
        <row r="76">
          <cell r="B76" t="str">
            <v>10.5</v>
          </cell>
          <cell r="C76" t="str">
            <v xml:space="preserve">Suministro, transporte y colocación de lavadero en granito de 0.30x0.30x0.30m. Incluye grifería y todo lo necesario para su funcionamiento. </v>
          </cell>
          <cell r="D76" t="str">
            <v>un</v>
          </cell>
          <cell r="E76">
            <v>0</v>
          </cell>
          <cell r="F76">
            <v>111798</v>
          </cell>
          <cell r="G76">
            <v>0</v>
          </cell>
          <cell r="H76">
            <v>0</v>
          </cell>
        </row>
        <row r="77">
          <cell r="B77" t="str">
            <v>11.</v>
          </cell>
          <cell r="C77" t="str">
            <v>CUBIERTA</v>
          </cell>
          <cell r="I77">
            <v>104342736</v>
          </cell>
        </row>
        <row r="78">
          <cell r="B78" t="str">
            <v>11.1</v>
          </cell>
          <cell r="C78" t="str">
            <v>Suministro, transporte e instalación de cubierta en teja termoacústica UPVC 2.0 mm tipo ECOROOF o similar. Incluye sistemas fijación a elementos estructurales. La medida será tomada en pendiente de cubierta. Color VERDE.</v>
          </cell>
          <cell r="D78" t="str">
            <v>m2</v>
          </cell>
          <cell r="E78">
            <v>60.19</v>
          </cell>
          <cell r="F78">
            <v>90084</v>
          </cell>
          <cell r="G78">
            <v>5422156</v>
          </cell>
          <cell r="H78">
            <v>65065872</v>
          </cell>
        </row>
        <row r="79">
          <cell r="B79" t="str">
            <v>11.2</v>
          </cell>
          <cell r="C79" t="str">
            <v>Suministro, transporte e instalación de correa en madera pino pátula inmunizada (ES6) de sección 2"x6". Incluye anclajes y todo lo necesario para su correcto funcionamiento.</v>
          </cell>
          <cell r="D79" t="str">
            <v>m</v>
          </cell>
          <cell r="E79">
            <v>35.200000000000003</v>
          </cell>
          <cell r="F79">
            <v>27231</v>
          </cell>
          <cell r="G79">
            <v>958531</v>
          </cell>
          <cell r="H79">
            <v>11502372</v>
          </cell>
        </row>
        <row r="80">
          <cell r="B80" t="str">
            <v>11.3</v>
          </cell>
          <cell r="C80" t="str">
            <v>Suministro, transporte e instalación de correa en madera pino pátula inmunizada (ES6) de sección 3"x4". Incluye anclajes y todo lo necesario para su correcto funcionamiento.</v>
          </cell>
          <cell r="D80" t="str">
            <v>m</v>
          </cell>
          <cell r="E80">
            <v>23.76</v>
          </cell>
          <cell r="F80">
            <v>27231</v>
          </cell>
          <cell r="G80">
            <v>647009</v>
          </cell>
          <cell r="H80">
            <v>7764108</v>
          </cell>
        </row>
        <row r="81">
          <cell r="B81" t="str">
            <v>11.4</v>
          </cell>
          <cell r="C81" t="str">
            <v>Suminsitro, transporte e instalación de alfarda en madera pino pátula inmunizada (ES6) de sección 3"x7". Incluye anclajes y todo lo necesario para su correcto funcionamiento.</v>
          </cell>
          <cell r="D81" t="str">
            <v>m</v>
          </cell>
          <cell r="E81">
            <v>3.55</v>
          </cell>
          <cell r="F81">
            <v>29213</v>
          </cell>
          <cell r="G81">
            <v>103706</v>
          </cell>
          <cell r="H81">
            <v>1244472</v>
          </cell>
        </row>
        <row r="82">
          <cell r="B82" t="str">
            <v>11.5</v>
          </cell>
          <cell r="C82"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82" t="str">
            <v>m</v>
          </cell>
          <cell r="E82">
            <v>16.72</v>
          </cell>
          <cell r="F82">
            <v>34021</v>
          </cell>
          <cell r="G82">
            <v>568831</v>
          </cell>
          <cell r="H82">
            <v>6825972</v>
          </cell>
        </row>
        <row r="83">
          <cell r="B83" t="str">
            <v>11.6</v>
          </cell>
          <cell r="C83" t="str">
            <v>Suministro, transporte y colocación de ruana en lámina galvanizada calibre 26, desarrollo 0.33m. Incluye pintura anticorrosiva a base de aceite, pestaña de 5 cm, y todos los elementos necesarios para su correcta construcción. Según diseño de cubierta.</v>
          </cell>
          <cell r="D83" t="str">
            <v>m</v>
          </cell>
          <cell r="E83">
            <v>7.72</v>
          </cell>
          <cell r="F83">
            <v>22042</v>
          </cell>
          <cell r="G83">
            <v>170164</v>
          </cell>
          <cell r="H83">
            <v>2041968</v>
          </cell>
        </row>
        <row r="84">
          <cell r="B84" t="str">
            <v>11.7</v>
          </cell>
          <cell r="C84" t="str">
            <v>Suministro, transporte e instalación de bajante de aguas lluvias PVC-ALL 2". Incluye todo lo requerido para su correcta instalación como codos, soportes y demás elementos necesarios.</v>
          </cell>
          <cell r="D84" t="str">
            <v>m</v>
          </cell>
          <cell r="E84">
            <v>6.6</v>
          </cell>
          <cell r="F84">
            <v>18656</v>
          </cell>
          <cell r="G84">
            <v>123130</v>
          </cell>
          <cell r="H84">
            <v>1477560</v>
          </cell>
        </row>
        <row r="85">
          <cell r="B85" t="str">
            <v>11.8</v>
          </cell>
          <cell r="C85" t="str">
            <v>Sistema de aprovechamiento de agua lluvia según diseño. Incluye tanque de polietileno de 500l, tubería PVC-Px2", Tubería PVC-Px1", válvula de bola PVC-P 2", codos PVC-P 90°X 2", codos PVC-P 90°X 1", Tee PVC-P 90°X 2", Tee PVC-P 90°X 1", unión universal PVC-P X 2", unión universal PVC-P X 1", soporte metálico, llave boca manguera para lavadero y llave boca manguera para poceta.</v>
          </cell>
          <cell r="D85" t="str">
            <v>un</v>
          </cell>
          <cell r="E85">
            <v>1</v>
          </cell>
          <cell r="F85">
            <v>701701</v>
          </cell>
          <cell r="G85">
            <v>701701</v>
          </cell>
          <cell r="H85">
            <v>8420412</v>
          </cell>
        </row>
        <row r="86">
          <cell r="C86" t="str">
            <v>TOTAL COSTO DIRECTO</v>
          </cell>
          <cell r="G86">
            <v>49968797</v>
          </cell>
          <cell r="H86">
            <v>599625564</v>
          </cell>
          <cell r="I86">
            <v>599625564</v>
          </cell>
        </row>
        <row r="88">
          <cell r="B88" t="str">
            <v>URBANISMO</v>
          </cell>
        </row>
        <row r="90">
          <cell r="B90">
            <v>13</v>
          </cell>
          <cell r="C90" t="str">
            <v xml:space="preserve">RED AGUAS LLUVIAS </v>
          </cell>
          <cell r="I90">
            <v>60865705</v>
          </cell>
        </row>
        <row r="91">
          <cell r="B91" t="str">
            <v>13.1</v>
          </cell>
          <cell r="C91" t="str">
            <v>LOCALIZACIÓN, TRAZADO Y REPLANTEO. Se utilizará personal experto con equipo de precisión. Se hará con la frecuencia que lo indique la interventoría. Incluye demarcación con pintura, línea de trazado, corte de piso, libretas y planos.</v>
          </cell>
          <cell r="D91" t="str">
            <v>dia</v>
          </cell>
          <cell r="E91">
            <v>3</v>
          </cell>
          <cell r="F91">
            <v>623922.02357482666</v>
          </cell>
          <cell r="G91">
            <v>1871766</v>
          </cell>
          <cell r="H91">
            <v>1871766</v>
          </cell>
        </row>
        <row r="92">
          <cell r="B92" t="str">
            <v>13.2</v>
          </cell>
          <cell r="C92" t="str">
            <v>EXCAVACIÓN MANUAL de material heterogéneo DE 0-2 m., bajo cualquier grado de humedad. Incluye: roca descompuesta, bolas de roca de volumen inferior a 0.35 m³., el cargue, transporte interno donde lo indique la interventoría, su medida será en el sitio. No incluye entibado  ni botada.</v>
          </cell>
          <cell r="D92" t="str">
            <v>m3</v>
          </cell>
          <cell r="E92">
            <v>199.09</v>
          </cell>
          <cell r="F92">
            <v>50971.820807278942</v>
          </cell>
          <cell r="G92">
            <v>10147980</v>
          </cell>
          <cell r="H92">
            <v>10147980</v>
          </cell>
        </row>
        <row r="93">
          <cell r="B93" t="str">
            <v>13.3</v>
          </cell>
          <cell r="C93" t="str">
            <v>EXCAVACIÓN MECÁNICA de material heterogéneo DE 0-2 m, bajo cualquier grado de humedad. Incluye: roca descompuesta, bolas de roca de volumen inferior a 0.35 m³., el cargue, transporte interno y botada de material proveniente de las excavaciones en los sitios donde lo indique la interventoría dentro del predio y su medida será en el sitio. No incluye entibado.</v>
          </cell>
          <cell r="D93" t="str">
            <v>m3</v>
          </cell>
          <cell r="E93">
            <v>0</v>
          </cell>
          <cell r="F93">
            <v>49626.90497484267</v>
          </cell>
          <cell r="G93">
            <v>0</v>
          </cell>
          <cell r="H93">
            <v>0</v>
          </cell>
        </row>
        <row r="94">
          <cell r="B94" t="str">
            <v>13.4</v>
          </cell>
          <cell r="C94" t="str">
            <v>LLENOS EN MATERIAL PROVENIENTE DE LA EXCAVACIÓN, compactados mecánicamente hasta obtener una densidad del 95% de la máxima obtenida en el ensayo del próctor modificado. Incluye transporte interno. Su medida será en sitio ya compactado.</v>
          </cell>
          <cell r="D94" t="str">
            <v>m3</v>
          </cell>
          <cell r="E94">
            <v>117</v>
          </cell>
          <cell r="F94">
            <v>45607.784282965338</v>
          </cell>
          <cell r="G94">
            <v>5336111</v>
          </cell>
          <cell r="H94">
            <v>5336111</v>
          </cell>
        </row>
        <row r="95">
          <cell r="B95" t="str">
            <v>13.5</v>
          </cell>
          <cell r="C95"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D95" t="str">
            <v>m3</v>
          </cell>
          <cell r="E95">
            <v>37.450000000000003</v>
          </cell>
          <cell r="F95">
            <v>101857.12899807574</v>
          </cell>
          <cell r="G95">
            <v>3814549</v>
          </cell>
          <cell r="H95">
            <v>3814549</v>
          </cell>
        </row>
        <row r="96">
          <cell r="B96" t="str">
            <v>13.6</v>
          </cell>
          <cell r="C96" t="str">
            <v>Construcción de CUNETA EN "V" en concreto de 21 Mpa., DESARROLLO DE 0.30 m., tirante de 0.05m, espesor de concreto de 0,10m. Incluye suministro, transporte y colocación del concreto, nivelación, conformación y compactación del terreno,  acero de refuerzo en diametro 3/8 de acuerdo a diseño y todos los demás elementos necesarios para su correcta construcción. Según diseño.</v>
          </cell>
          <cell r="D96" t="str">
            <v>ml</v>
          </cell>
          <cell r="E96">
            <v>0</v>
          </cell>
          <cell r="F96">
            <v>54199.670259468803</v>
          </cell>
          <cell r="G96">
            <v>0</v>
          </cell>
          <cell r="H96">
            <v>0</v>
          </cell>
        </row>
        <row r="97">
          <cell r="B97" t="str">
            <v>13.7</v>
          </cell>
          <cell r="C97" t="str">
            <v>Instalación de GEOTEXTIL NT 1600 tipo Pavco para filtro o equivalente. Incluye suministro y transporte de los materiales, traslapos, costuras y todos los elementos necesarios para su correcta instalación y funcionamiento. Según diseño.</v>
          </cell>
          <cell r="D97" t="str">
            <v>m2</v>
          </cell>
          <cell r="E97">
            <v>456.46</v>
          </cell>
          <cell r="F97">
            <v>6643.9637514690976</v>
          </cell>
          <cell r="G97">
            <v>3032704</v>
          </cell>
          <cell r="H97">
            <v>3032704</v>
          </cell>
        </row>
        <row r="98">
          <cell r="B98" t="str">
            <v>13.8</v>
          </cell>
          <cell r="C98" t="str">
            <v>Colocación de MATERIAL GRANULAR limpio de 3/4"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D98" t="str">
            <v>m3</v>
          </cell>
          <cell r="E98">
            <v>35.57</v>
          </cell>
          <cell r="F98">
            <v>197203.27899807572</v>
          </cell>
          <cell r="G98">
            <v>7014521</v>
          </cell>
          <cell r="H98">
            <v>7014521</v>
          </cell>
        </row>
        <row r="99">
          <cell r="B99" t="str">
            <v>13.9</v>
          </cell>
          <cell r="C99" t="str">
            <v>Instalación de TUBERÍA DE FILTRO PERFORADA DE Ø=4" para drenajes (filtro). Incluye suministro, transporte y colocación de tubería, las respectivas conexiones y accesorios y todo lo necesario para su correcta instalación y funcionamiento.</v>
          </cell>
          <cell r="D99" t="str">
            <v>ml</v>
          </cell>
          <cell r="E99">
            <v>113</v>
          </cell>
          <cell r="F99">
            <v>32920.720961482672</v>
          </cell>
          <cell r="G99">
            <v>3720041</v>
          </cell>
          <cell r="H99">
            <v>3720041</v>
          </cell>
        </row>
        <row r="100">
          <cell r="B100" t="str">
            <v>13.10</v>
          </cell>
          <cell r="C100" t="str">
            <v>Construcción de CAÑUELA EN CONCRETO PARA FILTRO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D100" t="str">
            <v>ml</v>
          </cell>
          <cell r="E100">
            <v>198</v>
          </cell>
          <cell r="F100">
            <v>39708.689929383661</v>
          </cell>
          <cell r="G100">
            <v>7862321</v>
          </cell>
          <cell r="H100">
            <v>7862321</v>
          </cell>
        </row>
        <row r="101">
          <cell r="B101" t="str">
            <v>13.11</v>
          </cell>
          <cell r="C101" t="str">
            <v>Construcción de cajas de registro de 80 x 80 x altura hasta 200cm. en concreto de 28Mpa.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D101" t="str">
            <v>Un</v>
          </cell>
          <cell r="E101">
            <v>5</v>
          </cell>
          <cell r="F101">
            <v>1073389.7962399023</v>
          </cell>
          <cell r="G101">
            <v>5366949</v>
          </cell>
          <cell r="H101">
            <v>5366949</v>
          </cell>
        </row>
        <row r="102">
          <cell r="B102" t="str">
            <v>13.12</v>
          </cell>
          <cell r="C102" t="str">
            <v>Construcción de SUMIDERO de aguas lluvias (0,4m x 0.6m medidas internas) y prof=1.00m e=0.15m,  en concreto de 28 Mpa. Incluye suministro, transporte y colocación del concreto, reja metálica y  marco de colrejillas o equivalente, formaleta, vibrado y todo lo necesario para su correcta construcción y funcionamiento, según diseño y especificaciones de E.P.M. La excavación, llenos y entresuelo se pagarán en su ítem respectivo.</v>
          </cell>
          <cell r="D102" t="str">
            <v>Un</v>
          </cell>
          <cell r="E102">
            <v>0</v>
          </cell>
          <cell r="F102">
            <v>994192.74470962526</v>
          </cell>
          <cell r="G102">
            <v>0</v>
          </cell>
          <cell r="H102">
            <v>0</v>
          </cell>
        </row>
        <row r="103">
          <cell r="B103" t="str">
            <v>13.13</v>
          </cell>
          <cell r="C103" t="str">
            <v>Suministro, transporte e instalación de TUBERÍA PVC-SANITARIA 4" DIÁMETRO DE 100 mm. Incluye suministro y transporte de los materiales, bocas, accesorios, acondicionador de superficie  y todos los elementos necesarios para su correcta instalación y funcionamiento. La excavación, encamado, atraques y los llenos se pagaran en su ítem respectivo.</v>
          </cell>
          <cell r="D103" t="str">
            <v>ml</v>
          </cell>
          <cell r="E103">
            <v>145</v>
          </cell>
          <cell r="F103">
            <v>51495.049411720538</v>
          </cell>
          <cell r="G103">
            <v>7466782</v>
          </cell>
          <cell r="H103">
            <v>7466782</v>
          </cell>
        </row>
        <row r="104">
          <cell r="B104" t="str">
            <v>13.14</v>
          </cell>
          <cell r="C104" t="str">
            <v>Especie vegetal Philodendro-balazo-monstera deliciosa para amortiguar efectos de la escorrentia y contribuir a la infiltración. 2 por m.</v>
          </cell>
          <cell r="D104" t="str">
            <v>ml</v>
          </cell>
          <cell r="E104">
            <v>190</v>
          </cell>
          <cell r="F104">
            <v>27536.742657860268</v>
          </cell>
          <cell r="G104">
            <v>5231981</v>
          </cell>
          <cell r="H104">
            <v>5231981</v>
          </cell>
        </row>
        <row r="105">
          <cell r="B105">
            <v>14</v>
          </cell>
          <cell r="C105" t="str">
            <v xml:space="preserve">RED HIDRAULICA </v>
          </cell>
          <cell r="I105">
            <v>22209456</v>
          </cell>
        </row>
        <row r="106">
          <cell r="B106" t="str">
            <v>14.1</v>
          </cell>
          <cell r="C106" t="str">
            <v>Suministro e instalacion de tuberia PVC de 2" incluye termofusion, accesorios y prueba de presion.</v>
          </cell>
          <cell r="D106" t="str">
            <v>ml</v>
          </cell>
          <cell r="E106">
            <v>314.7</v>
          </cell>
          <cell r="F106">
            <v>47004.346724326409</v>
          </cell>
          <cell r="G106">
            <v>14792268</v>
          </cell>
          <cell r="H106">
            <v>14792268</v>
          </cell>
        </row>
        <row r="107">
          <cell r="B107" t="str">
            <v>14.2</v>
          </cell>
          <cell r="C107" t="str">
            <v>Suministro e instalacion de tuberia   PF+ UAE de 1/2", incluye , accesorios y prueba de presion.</v>
          </cell>
          <cell r="D107" t="str">
            <v>ml</v>
          </cell>
          <cell r="E107">
            <v>21.5</v>
          </cell>
          <cell r="F107">
            <v>13951.473390993066</v>
          </cell>
          <cell r="G107">
            <v>299957</v>
          </cell>
          <cell r="H107">
            <v>299957</v>
          </cell>
        </row>
        <row r="108">
          <cell r="B108" t="str">
            <v>14.3</v>
          </cell>
          <cell r="C108" t="str">
            <v>Suministro, transporte e instalación de  acometida de 1/2" (el ítem no incluye la tubería de acometida pues está en otro ítem) incluye, tee partida o collar de derivación según como se requiera, válvula de incorporación,, llave de corte universal, universal,válvula de paso, cheque y accesorios necesarios para su adecuada instalación . Todos los accesorios serán en 1/2".  La rotura de pavimento, cargue, transporte,  botada de escombros y pavimentación o parcheo no están incluidas pues se tendrán en cuenta en su ítem respectivo.</v>
          </cell>
          <cell r="D108" t="str">
            <v>un</v>
          </cell>
          <cell r="E108">
            <v>12</v>
          </cell>
          <cell r="F108">
            <v>198036.61238741336</v>
          </cell>
          <cell r="G108">
            <v>2376439</v>
          </cell>
          <cell r="H108">
            <v>2376439</v>
          </cell>
        </row>
        <row r="109">
          <cell r="B109" t="str">
            <v>14.4</v>
          </cell>
          <cell r="C109" t="str">
            <v>Contruccion de CAJA PARA MEDIDOR DE 1/2" (CAJA DE CONEXION ACOMETIDA)en bloque de concreto de 10cm, incluye tapa en hierro fundido y cama de triturado espesor 5cm.</v>
          </cell>
          <cell r="D109" t="str">
            <v>un</v>
          </cell>
          <cell r="E109">
            <v>12</v>
          </cell>
          <cell r="F109">
            <v>196749.10318741333</v>
          </cell>
          <cell r="G109">
            <v>2360989</v>
          </cell>
          <cell r="H109">
            <v>2360989</v>
          </cell>
        </row>
        <row r="110">
          <cell r="B110" t="str">
            <v>14.5</v>
          </cell>
          <cell r="C110" t="str">
            <v>Suministro, transporte e instalación de válvula compuerta marca RW 2" o equivalente. Se entregará debidamente instalada sin presencia de fugas ni fisuras, sometida al sistema ya presurizado. Incluye todos los elementos requeridos para su correcta instalación y funcionamiento.</v>
          </cell>
          <cell r="D110" t="str">
            <v>un</v>
          </cell>
          <cell r="E110">
            <v>4</v>
          </cell>
          <cell r="F110">
            <v>258343.43390993067</v>
          </cell>
          <cell r="G110">
            <v>1033374</v>
          </cell>
          <cell r="H110">
            <v>1033374</v>
          </cell>
        </row>
        <row r="111">
          <cell r="B111" t="str">
            <v>14.6</v>
          </cell>
          <cell r="C111" t="str">
            <v>Construcción de caja para válvula de 0.40 x0.40 x0.70x0.15m. en concreto de 21 Mpa profundidad 0,5. Incluye suministro  transporte e instalación de los materiales, tapa metálica en lamina de 6.35mm, base de concreto de 0.132x 0.40 x 0.15m. y todos los elementos necesarios para su correcta construcción y funcionamiento.</v>
          </cell>
          <cell r="D111" t="str">
            <v>un</v>
          </cell>
          <cell r="E111">
            <v>4</v>
          </cell>
          <cell r="F111">
            <v>241026.35209986134</v>
          </cell>
          <cell r="G111">
            <v>964105</v>
          </cell>
          <cell r="H111">
            <v>964105</v>
          </cell>
        </row>
        <row r="112">
          <cell r="B112" t="str">
            <v>14.7</v>
          </cell>
          <cell r="C112" t="str">
            <v>Construcción de ATRAQUE O CAMA EN CONCRETO DE 21 Mpa PARA TUBERÍA EN CONCRETO O PVC. Incluye el suministro y el transporte del concreto y todos los demás elementos necesarios para su correcta construcción, incluye acarreo interno. Según diseño.</v>
          </cell>
          <cell r="D112" t="str">
            <v>m3</v>
          </cell>
          <cell r="E112">
            <v>0.5</v>
          </cell>
          <cell r="F112">
            <v>764648.17629734403</v>
          </cell>
          <cell r="G112">
            <v>382324</v>
          </cell>
          <cell r="H112">
            <v>382324</v>
          </cell>
        </row>
        <row r="113">
          <cell r="B113">
            <v>15</v>
          </cell>
          <cell r="C113" t="str">
            <v xml:space="preserve">RED SANITARIA </v>
          </cell>
          <cell r="I113">
            <v>55939923</v>
          </cell>
        </row>
        <row r="114">
          <cell r="B114" t="str">
            <v>15.1</v>
          </cell>
          <cell r="C114" t="str">
            <v>LOCALIZACIÓN, TRAZADO Y REPLANTEO. Se utilizará personal experto con equipo de precisión. Se hará con la frecuencia que lo indique la interventoría. Incluye demarcación con pintura, línea de trazado, corte de piso, libretas y planos.</v>
          </cell>
          <cell r="D114" t="str">
            <v>dia</v>
          </cell>
          <cell r="E114">
            <v>4</v>
          </cell>
          <cell r="F114">
            <v>623922.02357482666</v>
          </cell>
          <cell r="G114">
            <v>2495688</v>
          </cell>
          <cell r="H114">
            <v>2495688</v>
          </cell>
        </row>
        <row r="115">
          <cell r="B115" t="str">
            <v>15.2</v>
          </cell>
          <cell r="C115" t="str">
            <v>EXCAVACIÓN MECÁNICA de material heterogéneo DE 0-2 m, bajo cualquier grado de humedad. Incluye: roca descompuesta, bolas de roca de volumen inferior a 0.35 m³., el cargue, transporte interno y botada de material proveniente de las excavaciones en los sitios donde lo indique la interventoría dentro del predio y su medida será en el sitio. No incluye entibado.</v>
          </cell>
          <cell r="D115" t="str">
            <v>m3</v>
          </cell>
          <cell r="E115">
            <v>239.74</v>
          </cell>
          <cell r="F115">
            <v>49523.104887782407</v>
          </cell>
          <cell r="G115">
            <v>11872669</v>
          </cell>
          <cell r="H115">
            <v>11872669</v>
          </cell>
        </row>
        <row r="116">
          <cell r="B116" t="str">
            <v>15.3</v>
          </cell>
          <cell r="C11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D116" t="str">
            <v>m3</v>
          </cell>
          <cell r="E116">
            <v>65.64</v>
          </cell>
          <cell r="F116">
            <v>101857.12899807574</v>
          </cell>
          <cell r="G116">
            <v>6685902</v>
          </cell>
          <cell r="H116">
            <v>6685902</v>
          </cell>
        </row>
        <row r="117">
          <cell r="B117" t="str">
            <v>15.4</v>
          </cell>
          <cell r="C117" t="str">
            <v>LLENOS EN MATERIAL PROVENIENTE DE LA EXCAVACIÓN, compactados mecánicamente hasta obtener una densidad del 95% de la máxima obtenida en el ensayo del próctor modificado. Incluye transporte interno. Su medida será en sitio ya compactado.</v>
          </cell>
          <cell r="D117" t="str">
            <v>m3</v>
          </cell>
          <cell r="E117">
            <v>158.43</v>
          </cell>
          <cell r="F117">
            <v>27013.968131868449</v>
          </cell>
          <cell r="G117">
            <v>4279823</v>
          </cell>
          <cell r="H117">
            <v>4279823</v>
          </cell>
        </row>
        <row r="118">
          <cell r="B118" t="str">
            <v>15.5</v>
          </cell>
          <cell r="C118" t="str">
            <v xml:space="preserve">Red sanitaria de piso en tubería PVC-S 4", incluye accesorios y todo lo necesario para su correcta instalación. </v>
          </cell>
          <cell r="D118" t="str">
            <v>m</v>
          </cell>
          <cell r="E118">
            <v>72.819999999999993</v>
          </cell>
          <cell r="F118">
            <v>43820.108282993067</v>
          </cell>
          <cell r="G118">
            <v>3190980</v>
          </cell>
          <cell r="H118">
            <v>3190980</v>
          </cell>
        </row>
        <row r="119">
          <cell r="B119" t="str">
            <v>15.6</v>
          </cell>
          <cell r="C119" t="str">
            <v>Suministro, transporte e instalación de TUBERÍA PVC-NOVAFORT, con un DIÁMETRO DE 6".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D119" t="str">
            <v>ml</v>
          </cell>
          <cell r="E119">
            <v>206.31</v>
          </cell>
          <cell r="F119">
            <v>71912.954550720548</v>
          </cell>
          <cell r="G119">
            <v>14836362</v>
          </cell>
          <cell r="H119">
            <v>14836362</v>
          </cell>
        </row>
        <row r="120">
          <cell r="B120" t="str">
            <v>15.7</v>
          </cell>
          <cell r="C120" t="str">
            <v>Construcción de caja de inspección y/o empalme de 30x30x0,80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ell>
          <cell r="D120" t="str">
            <v>un</v>
          </cell>
          <cell r="E120">
            <v>9</v>
          </cell>
          <cell r="F120">
            <v>335277.39497961407</v>
          </cell>
          <cell r="G120">
            <v>3017497</v>
          </cell>
          <cell r="H120">
            <v>3017497</v>
          </cell>
        </row>
        <row r="121">
          <cell r="B121" t="str">
            <v>15.8</v>
          </cell>
          <cell r="C121" t="str">
            <v>Construcción de cajas de registro de 60 x 60 x altura hasta 120 cm. en concreto de 28Mpa.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D121" t="str">
            <v>Un</v>
          </cell>
          <cell r="E121">
            <v>13</v>
          </cell>
          <cell r="F121">
            <v>685806.24209415389</v>
          </cell>
          <cell r="G121">
            <v>8915481</v>
          </cell>
          <cell r="H121">
            <v>8915481</v>
          </cell>
        </row>
        <row r="122">
          <cell r="B122" t="str">
            <v>15.9</v>
          </cell>
          <cell r="C122" t="str">
            <v>Suministro e instslacion de Silla Yee 160 x110 mm</v>
          </cell>
          <cell r="D122" t="str">
            <v>un</v>
          </cell>
          <cell r="E122">
            <v>4</v>
          </cell>
          <cell r="F122">
            <v>161380.1903459584</v>
          </cell>
          <cell r="G122">
            <v>645521</v>
          </cell>
          <cell r="H122">
            <v>645521</v>
          </cell>
        </row>
        <row r="123">
          <cell r="B123" t="str">
            <v>15.1</v>
          </cell>
          <cell r="C123" t="str">
            <v>ZONA DE INFILTRACIÓN</v>
          </cell>
          <cell r="I123">
            <v>4112728</v>
          </cell>
        </row>
        <row r="124">
          <cell r="B124" t="str">
            <v>15.1.1</v>
          </cell>
          <cell r="C124" t="str">
            <v>Colocación de MATERIAL GRANULAR limpio de 1 a 2.5cm para zona de infiltración. Incluye el suministro y transporte interno y externo del material y todo lo necesario para su correcta instalación según diseño y especificaciones de la interventoría. Su medida será en sitio.</v>
          </cell>
          <cell r="D124" t="str">
            <v>m3</v>
          </cell>
          <cell r="E124">
            <v>3.24</v>
          </cell>
          <cell r="F124">
            <v>197203.27899807572</v>
          </cell>
          <cell r="G124">
            <v>638939</v>
          </cell>
          <cell r="H124">
            <v>638939</v>
          </cell>
        </row>
        <row r="125">
          <cell r="B125" t="str">
            <v>15.1.2</v>
          </cell>
          <cell r="C125" t="str">
            <v>Colocación de MATERIAL GRANULAR limpio de 2.5 a 5.0cm para zona de infiltración. Incluye el suministro y transporte interno y externo del material y todo lo necesario para su correcta instalación según diseño y especificaciones de la interventoría. Su medida será en sitio.</v>
          </cell>
          <cell r="D125" t="str">
            <v>m3</v>
          </cell>
          <cell r="E125">
            <v>8.1</v>
          </cell>
          <cell r="F125">
            <v>192203.27899807572</v>
          </cell>
          <cell r="G125">
            <v>1556847</v>
          </cell>
          <cell r="H125">
            <v>1556847</v>
          </cell>
        </row>
        <row r="126">
          <cell r="B126" t="str">
            <v>15.1.3</v>
          </cell>
          <cell r="C126" t="str">
            <v>Instalación de TUBERÍA PERFORADA DE Ø=4" para drenajes (filtros, Zona de infitracion). Incluye suministro, transporte y colocación de tubería, las respectivas conexiones y accesorios y todo lo necesario para su correcta instalación y funcionamiento.</v>
          </cell>
          <cell r="D126" t="str">
            <v>ml</v>
          </cell>
          <cell r="E126">
            <v>36</v>
          </cell>
          <cell r="F126">
            <v>32920.720961482672</v>
          </cell>
          <cell r="G126">
            <v>1185146</v>
          </cell>
          <cell r="H126">
            <v>1185146</v>
          </cell>
        </row>
        <row r="127">
          <cell r="B127" t="str">
            <v>15.1.4</v>
          </cell>
          <cell r="C127" t="str">
            <v xml:space="preserve">Red sanitaria de piso en tubería PVC-S 4", incluye accesorios y todo lo necesario para su correcta instalación. </v>
          </cell>
          <cell r="D127" t="str">
            <v>m</v>
          </cell>
          <cell r="E127">
            <v>16.7</v>
          </cell>
          <cell r="F127">
            <v>43820.108282993067</v>
          </cell>
          <cell r="G127">
            <v>731796</v>
          </cell>
          <cell r="H127">
            <v>731796</v>
          </cell>
        </row>
        <row r="128">
          <cell r="B128" t="str">
            <v>15.2</v>
          </cell>
          <cell r="C128" t="str">
            <v>SISTEMA SÉPTICO</v>
          </cell>
          <cell r="I128">
            <v>32143202</v>
          </cell>
        </row>
        <row r="129">
          <cell r="B129" t="str">
            <v>15.2.1</v>
          </cell>
          <cell r="C129" t="str">
            <v>Sistema séptico integrado de 15,000 lts con dimesiones 390x 245mx230 cm, en polietileno color negro, incluye excavación, instalacion, transporte hasta el lugar de intalación, accesorios  y todas las herraminetas para la correcta instalación del sistema .</v>
          </cell>
          <cell r="D129" t="str">
            <v>un</v>
          </cell>
          <cell r="E129">
            <v>1</v>
          </cell>
          <cell r="F129">
            <v>32143202</v>
          </cell>
          <cell r="G129">
            <v>32143202</v>
          </cell>
          <cell r="H129">
            <v>32143202</v>
          </cell>
        </row>
        <row r="130">
          <cell r="B130">
            <v>16</v>
          </cell>
          <cell r="C130" t="str">
            <v xml:space="preserve">ANDENES </v>
          </cell>
          <cell r="I130">
            <v>60993496</v>
          </cell>
        </row>
        <row r="131">
          <cell r="B131" t="str">
            <v>16.1</v>
          </cell>
          <cell r="C131" t="str">
            <v>EXCAVACIÓN MECÁNICA de material heterogéneo DE 0-2 m, bajo cualquier grado de humedad. Incluye: roca descompuesta, bolas de roca de volumen inferior a 0.35 m³., el cargue, transporte interno y botada de material proveniente de las excavaciones en los sitios donde lo indique la interventoría dentro del predio y su medida será en el sitio. No incluye entibado.</v>
          </cell>
          <cell r="D131" t="str">
            <v>m3</v>
          </cell>
          <cell r="E131">
            <v>119.7</v>
          </cell>
          <cell r="F131">
            <v>50971.820807278942</v>
          </cell>
          <cell r="G131">
            <v>6101327</v>
          </cell>
          <cell r="H131">
            <v>6101327</v>
          </cell>
        </row>
        <row r="132">
          <cell r="B132" t="str">
            <v>16.2</v>
          </cell>
          <cell r="C132" t="str">
            <v>Suministro, transporte y colocación de base granular de máximo Ø 1½", reacomodado con medios manuales y compactado al  95% mínimo del ensayo del proctor modificado, Incluye transporte, compactador y todo lo necesario para su correcta construcción y funcionamiento. Su medida será tomada en sitio ya compactado.</v>
          </cell>
          <cell r="D132" t="str">
            <v>m3</v>
          </cell>
          <cell r="E132">
            <v>79.8</v>
          </cell>
          <cell r="F132">
            <v>173453.08428296534</v>
          </cell>
          <cell r="G132">
            <v>13841556</v>
          </cell>
          <cell r="H132">
            <v>13841556</v>
          </cell>
        </row>
        <row r="133">
          <cell r="B133" t="str">
            <v>16.3</v>
          </cell>
          <cell r="C133" t="str">
            <v>Construcción de ANDÉN O PLACAS en concreto de 21 Mpa, espesor de 0.10 m., pendientado y llaneado, vaciado alternado (en cuadros no superiores de 1.5 x 1.5 m). Incluye suministro y transporte de los materiales, nivelación  del terreno y adecuación de la superficie, , curado y todo lo necesario para su correcta construcción y funcionamiento. Según diseño. Las excavaciones o descapotes se pagarán en su ítem respectivo.</v>
          </cell>
          <cell r="D133" t="str">
            <v>m2</v>
          </cell>
          <cell r="E133">
            <v>406.8</v>
          </cell>
          <cell r="F133">
            <v>100911.04458695147</v>
          </cell>
          <cell r="G133">
            <v>41050613</v>
          </cell>
          <cell r="H133">
            <v>41050613</v>
          </cell>
        </row>
        <row r="134">
          <cell r="C134" t="str">
            <v xml:space="preserve">TOTAL COSTO DIRECTO URBANISMO </v>
          </cell>
          <cell r="G134">
            <v>236264510</v>
          </cell>
          <cell r="H134">
            <v>236264510</v>
          </cell>
          <cell r="I134">
            <v>236264510</v>
          </cell>
        </row>
      </sheetData>
      <sheetData sheetId="5" refreshError="1"/>
      <sheetData sheetId="6" refreshError="1"/>
      <sheetData sheetId="7">
        <row r="5">
          <cell r="B5" t="str">
            <v>ITEM</v>
          </cell>
          <cell r="C5" t="str">
            <v>DESCRIPCION</v>
          </cell>
          <cell r="D5" t="str">
            <v>UN</v>
          </cell>
          <cell r="E5" t="str">
            <v>CANTIDAD</v>
          </cell>
          <cell r="F5" t="str">
            <v>%</v>
          </cell>
          <cell r="G5" t="str">
            <v>VR. UNIT.</v>
          </cell>
          <cell r="H5" t="str">
            <v>VR. TOTAL</v>
          </cell>
        </row>
        <row r="6">
          <cell r="B6" t="str">
            <v>1.</v>
          </cell>
          <cell r="C6" t="str">
            <v>PRELIMINARES</v>
          </cell>
          <cell r="D6" t="str">
            <v/>
          </cell>
          <cell r="G6" t="str">
            <v/>
          </cell>
          <cell r="H6" t="str">
            <v/>
          </cell>
        </row>
        <row r="7">
          <cell r="B7" t="str">
            <v>1.1</v>
          </cell>
          <cell r="C7" t="str">
            <v>Localización, trazado y replanteo. Se utilizará personal experto con equipo de precisión. Se hará con la frecuencia que lo indique la interventoría. Incluye demarcación con pintura, línea de trazado, corte de piso, libretas y planos.</v>
          </cell>
          <cell r="D7" t="str">
            <v>m2</v>
          </cell>
          <cell r="E7">
            <v>54.06</v>
          </cell>
          <cell r="G7" t="str">
            <v/>
          </cell>
          <cell r="H7">
            <v>3264</v>
          </cell>
        </row>
        <row r="8">
          <cell r="B8" t="str">
            <v>I. EQUIPO Y HERRAMIENTA</v>
          </cell>
          <cell r="H8">
            <v>97.893838267733344</v>
          </cell>
        </row>
        <row r="9">
          <cell r="B9" t="str">
            <v>HTAMNR</v>
          </cell>
          <cell r="C9" t="str">
            <v>Herramienta y equipo menor</v>
          </cell>
          <cell r="D9" t="str">
            <v>%</v>
          </cell>
          <cell r="F9">
            <v>0.05</v>
          </cell>
          <cell r="G9">
            <v>1957.8767653546668</v>
          </cell>
          <cell r="H9">
            <v>97.893838267733344</v>
          </cell>
        </row>
        <row r="10">
          <cell r="B10" t="str">
            <v>II. MATERIALES</v>
          </cell>
          <cell r="H10">
            <v>1156</v>
          </cell>
        </row>
        <row r="11">
          <cell r="B11" t="str">
            <v>MAT1170</v>
          </cell>
          <cell r="C11" t="str">
            <v>Liston 2" x 2" x 3 m</v>
          </cell>
          <cell r="D11" t="str">
            <v>un</v>
          </cell>
          <cell r="E11">
            <v>0.08</v>
          </cell>
          <cell r="G11">
            <v>9500</v>
          </cell>
          <cell r="H11">
            <v>760</v>
          </cell>
        </row>
        <row r="12">
          <cell r="B12" t="str">
            <v>MAT1095</v>
          </cell>
          <cell r="C12" t="str">
            <v>Clavo común 37.5 a 100 mm</v>
          </cell>
          <cell r="D12" t="str">
            <v>lb</v>
          </cell>
          <cell r="E12">
            <v>0.04</v>
          </cell>
          <cell r="G12">
            <v>9900</v>
          </cell>
          <cell r="H12">
            <v>396</v>
          </cell>
        </row>
        <row r="13">
          <cell r="B13" t="str">
            <v>III. TRANSPORTES</v>
          </cell>
          <cell r="E13" t="str">
            <v>Km</v>
          </cell>
          <cell r="F13" t="str">
            <v>PESO</v>
          </cell>
          <cell r="G13" t="str">
            <v>T/KM</v>
          </cell>
          <cell r="H13">
            <v>52.299000000000007</v>
          </cell>
        </row>
        <row r="14">
          <cell r="B14" t="str">
            <v>TR1070</v>
          </cell>
          <cell r="C14" t="str">
            <v xml:space="preserve">Transporte de materiales varios </v>
          </cell>
          <cell r="D14" t="str">
            <v>T/km</v>
          </cell>
          <cell r="E14">
            <v>130</v>
          </cell>
          <cell r="F14">
            <v>4.4700000000000008E-4</v>
          </cell>
          <cell r="G14">
            <v>900</v>
          </cell>
          <cell r="H14">
            <v>52.299000000000007</v>
          </cell>
        </row>
        <row r="15">
          <cell r="B15" t="str">
            <v>IV. MANO DE OBRA</v>
          </cell>
          <cell r="H15">
            <v>1957.8767653546668</v>
          </cell>
        </row>
        <row r="16">
          <cell r="B16" t="str">
            <v>MOCAD1</v>
          </cell>
          <cell r="C16" t="str">
            <v>Mo cadenero 1</v>
          </cell>
          <cell r="D16" t="str">
            <v>día</v>
          </cell>
          <cell r="E16">
            <v>1.4999999999999999E-2</v>
          </cell>
          <cell r="G16">
            <v>130525.11769031112</v>
          </cell>
          <cell r="H16">
            <v>1957.8767653546668</v>
          </cell>
        </row>
        <row r="17">
          <cell r="B17" t="str">
            <v>1.2</v>
          </cell>
          <cell r="C17" t="str">
            <v>Nivelación del terreno por método manual. Incluye herramienta para apisonado.</v>
          </cell>
          <cell r="D17" t="str">
            <v>m2</v>
          </cell>
          <cell r="E17">
            <v>54.06</v>
          </cell>
          <cell r="G17" t="str">
            <v/>
          </cell>
          <cell r="H17">
            <v>1909</v>
          </cell>
        </row>
        <row r="18">
          <cell r="B18" t="str">
            <v>I. EQUIPO Y HERRAMIENTA</v>
          </cell>
          <cell r="H18">
            <v>155.68139929031111</v>
          </cell>
        </row>
        <row r="19">
          <cell r="B19" t="str">
            <v>HTAMNR</v>
          </cell>
          <cell r="C19" t="str">
            <v>Herramienta y equipo menor</v>
          </cell>
          <cell r="D19" t="str">
            <v>%</v>
          </cell>
          <cell r="F19">
            <v>0.05</v>
          </cell>
          <cell r="G19">
            <v>1753.6279858062221</v>
          </cell>
          <cell r="H19">
            <v>87.681399290311106</v>
          </cell>
        </row>
        <row r="20">
          <cell r="B20" t="str">
            <v>EQ1001</v>
          </cell>
          <cell r="C20" t="str">
            <v>Apisonador manual</v>
          </cell>
          <cell r="D20" t="str">
            <v>día</v>
          </cell>
          <cell r="E20">
            <v>0.04</v>
          </cell>
          <cell r="G20">
            <v>1700</v>
          </cell>
          <cell r="H20">
            <v>68</v>
          </cell>
        </row>
        <row r="21">
          <cell r="B21" t="str">
            <v>II. MATERIALES</v>
          </cell>
          <cell r="H21">
            <v>0</v>
          </cell>
        </row>
        <row r="22">
          <cell r="C22" t="str">
            <v xml:space="preserve"> </v>
          </cell>
          <cell r="D22" t="str">
            <v xml:space="preserve"> </v>
          </cell>
          <cell r="G22" t="str">
            <v xml:space="preserve"> </v>
          </cell>
          <cell r="H22" t="str">
            <v/>
          </cell>
        </row>
        <row r="23">
          <cell r="B23" t="str">
            <v>III. TRANSPORTES</v>
          </cell>
          <cell r="E23" t="str">
            <v>Km</v>
          </cell>
          <cell r="F23" t="str">
            <v>PESO</v>
          </cell>
          <cell r="G23" t="str">
            <v>T/KM</v>
          </cell>
          <cell r="H23">
            <v>0</v>
          </cell>
        </row>
        <row r="25">
          <cell r="B25" t="str">
            <v>IV. MANO DE OBRA</v>
          </cell>
          <cell r="H25">
            <v>1753.6279858062221</v>
          </cell>
        </row>
        <row r="26">
          <cell r="B26" t="str">
            <v>MOAYUDA</v>
          </cell>
          <cell r="C26" t="str">
            <v>Mo ayudante entendido</v>
          </cell>
          <cell r="D26" t="str">
            <v>día</v>
          </cell>
          <cell r="E26">
            <v>0.02</v>
          </cell>
          <cell r="G26">
            <v>87681.399290311107</v>
          </cell>
          <cell r="H26">
            <v>1753.6279858062221</v>
          </cell>
        </row>
        <row r="27">
          <cell r="B27" t="str">
            <v>2.</v>
          </cell>
          <cell r="C27" t="str">
            <v>EXCAVACIONES Y CIMENTACIONES</v>
          </cell>
          <cell r="D27" t="str">
            <v/>
          </cell>
          <cell r="G27" t="str">
            <v/>
          </cell>
          <cell r="H27" t="str">
            <v/>
          </cell>
        </row>
        <row r="28">
          <cell r="B28" t="str">
            <v>2.1</v>
          </cell>
          <cell r="C28" t="str">
            <v>Descapote a mano. Incluye el desenraice si es necesario, cargue transporte y botada de material sobrante en botaderos oficiales. Medido en sitio.</v>
          </cell>
          <cell r="D28" t="str">
            <v>m3</v>
          </cell>
          <cell r="E28">
            <v>0</v>
          </cell>
          <cell r="G28" t="str">
            <v/>
          </cell>
          <cell r="H28">
            <v>21041</v>
          </cell>
        </row>
        <row r="29">
          <cell r="B29" t="str">
            <v>I. EQUIPO Y HERRAMIENTA</v>
          </cell>
          <cell r="H29">
            <v>344.932361784889</v>
          </cell>
        </row>
        <row r="30">
          <cell r="B30" t="str">
            <v>HTAMNR</v>
          </cell>
          <cell r="C30" t="str">
            <v>Herramienta y equipo menor</v>
          </cell>
          <cell r="D30" t="str">
            <v>%</v>
          </cell>
          <cell r="F30">
            <v>0.05</v>
          </cell>
          <cell r="G30">
            <v>6898.6472356977793</v>
          </cell>
          <cell r="H30">
            <v>344.932361784889</v>
          </cell>
        </row>
        <row r="31">
          <cell r="B31" t="str">
            <v>II. MATERIALES</v>
          </cell>
          <cell r="H31">
            <v>0</v>
          </cell>
        </row>
        <row r="33">
          <cell r="B33" t="str">
            <v>III. TRANSPORTES</v>
          </cell>
          <cell r="H33">
            <v>13797</v>
          </cell>
        </row>
        <row r="34">
          <cell r="B34" t="str">
            <v>TR1080</v>
          </cell>
          <cell r="C34" t="str">
            <v>Transporte interno materiales</v>
          </cell>
          <cell r="D34" t="str">
            <v>viaje</v>
          </cell>
          <cell r="E34">
            <v>1</v>
          </cell>
          <cell r="G34">
            <v>13797</v>
          </cell>
          <cell r="H34">
            <v>13797</v>
          </cell>
        </row>
        <row r="35">
          <cell r="B35" t="str">
            <v>IV. MANO DE OBRA</v>
          </cell>
          <cell r="H35">
            <v>6898.6472356977793</v>
          </cell>
        </row>
        <row r="36">
          <cell r="B36" t="str">
            <v>MOAYUDR</v>
          </cell>
          <cell r="C36" t="str">
            <v>Mo ayudante raso</v>
          </cell>
          <cell r="D36" t="str">
            <v>día</v>
          </cell>
          <cell r="E36">
            <v>0.05</v>
          </cell>
          <cell r="G36">
            <v>68986.472356977785</v>
          </cell>
          <cell r="H36">
            <v>3449.3236178488896</v>
          </cell>
        </row>
        <row r="37">
          <cell r="B37" t="str">
            <v>MOAYUDR</v>
          </cell>
          <cell r="C37" t="str">
            <v>Mo ayudante raso</v>
          </cell>
          <cell r="D37" t="str">
            <v>día</v>
          </cell>
          <cell r="E37">
            <v>0.05</v>
          </cell>
          <cell r="G37">
            <v>68986.472356977785</v>
          </cell>
          <cell r="H37">
            <v>3449.3236178488896</v>
          </cell>
        </row>
        <row r="38">
          <cell r="B38" t="str">
            <v>2.2</v>
          </cell>
          <cell r="C38"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38" t="str">
            <v>m3</v>
          </cell>
          <cell r="E38">
            <v>13.28</v>
          </cell>
          <cell r="G38" t="str">
            <v/>
          </cell>
          <cell r="H38">
            <v>28284</v>
          </cell>
        </row>
        <row r="39">
          <cell r="B39" t="str">
            <v>I. EQUIPO Y HERRAMIENTA</v>
          </cell>
          <cell r="H39">
            <v>689.86472356977799</v>
          </cell>
        </row>
        <row r="40">
          <cell r="B40" t="str">
            <v>HTAMNR</v>
          </cell>
          <cell r="C40" t="str">
            <v>Herramienta y equipo menor</v>
          </cell>
          <cell r="D40" t="str">
            <v>%</v>
          </cell>
          <cell r="F40">
            <v>0.05</v>
          </cell>
          <cell r="G40">
            <v>13797.294471395559</v>
          </cell>
          <cell r="H40">
            <v>689.86472356977799</v>
          </cell>
        </row>
        <row r="41">
          <cell r="B41" t="str">
            <v>II. MATERIALES</v>
          </cell>
          <cell r="H41">
            <v>0</v>
          </cell>
        </row>
        <row r="43">
          <cell r="B43" t="str">
            <v>III. TRANSPORTES</v>
          </cell>
          <cell r="H43">
            <v>13797</v>
          </cell>
        </row>
        <row r="44">
          <cell r="B44" t="str">
            <v>TR1080</v>
          </cell>
          <cell r="C44" t="str">
            <v>Transporte interno materiales</v>
          </cell>
          <cell r="D44" t="str">
            <v>viaje</v>
          </cell>
          <cell r="E44">
            <v>1</v>
          </cell>
          <cell r="G44">
            <v>13797</v>
          </cell>
          <cell r="H44">
            <v>13797</v>
          </cell>
        </row>
        <row r="45">
          <cell r="B45" t="str">
            <v>IV. MANO DE OBRA</v>
          </cell>
          <cell r="H45">
            <v>13797.294471395559</v>
          </cell>
        </row>
        <row r="46">
          <cell r="B46" t="str">
            <v>MOAYUDR</v>
          </cell>
          <cell r="C46" t="str">
            <v>Mo ayudante raso</v>
          </cell>
          <cell r="D46" t="str">
            <v>día</v>
          </cell>
          <cell r="E46">
            <v>0.1</v>
          </cell>
          <cell r="G46">
            <v>68986.472356977785</v>
          </cell>
          <cell r="H46">
            <v>6898.6472356977793</v>
          </cell>
        </row>
        <row r="47">
          <cell r="B47" t="str">
            <v>MOAYUDR</v>
          </cell>
          <cell r="C47" t="str">
            <v>Mo ayudante raso</v>
          </cell>
          <cell r="D47" t="str">
            <v>día</v>
          </cell>
          <cell r="E47">
            <v>0.1</v>
          </cell>
          <cell r="G47">
            <v>68986.472356977785</v>
          </cell>
          <cell r="H47">
            <v>6898.6472356977793</v>
          </cell>
        </row>
        <row r="48">
          <cell r="B48" t="str">
            <v>2.3</v>
          </cell>
          <cell r="C48" t="str">
            <v>Vaciado de viga de fundación en concreto de 21MPa a nivel de cimentación, de sección 0.20x0.20m. Incluye formaleta, equipo y todo lo necesario para su correcta colocación y funcionamiento.</v>
          </cell>
          <cell r="D48" t="str">
            <v>m</v>
          </cell>
          <cell r="E48">
            <v>7.61</v>
          </cell>
          <cell r="G48" t="str">
            <v/>
          </cell>
          <cell r="H48">
            <v>46335</v>
          </cell>
        </row>
        <row r="49">
          <cell r="B49" t="str">
            <v>I. EQUIPO Y HERRAMIENTA</v>
          </cell>
          <cell r="H49">
            <v>985.09732898702237</v>
          </cell>
        </row>
        <row r="50">
          <cell r="B50" t="str">
            <v>HTAMNR</v>
          </cell>
          <cell r="C50" t="str">
            <v>Herramienta y equipo menor</v>
          </cell>
          <cell r="D50" t="str">
            <v>%</v>
          </cell>
          <cell r="F50">
            <v>0.05</v>
          </cell>
          <cell r="G50">
            <v>13275.946579740446</v>
          </cell>
          <cell r="H50">
            <v>663.79732898702241</v>
          </cell>
        </row>
        <row r="51">
          <cell r="B51" t="str">
            <v>EQ1220</v>
          </cell>
          <cell r="C51" t="str">
            <v>Vibrador a gasolina</v>
          </cell>
          <cell r="D51" t="str">
            <v>día</v>
          </cell>
          <cell r="E51">
            <v>0.01</v>
          </cell>
          <cell r="G51">
            <v>32130</v>
          </cell>
          <cell r="H51">
            <v>321.3</v>
          </cell>
        </row>
        <row r="52">
          <cell r="B52" t="str">
            <v>II. MATERIALES</v>
          </cell>
          <cell r="H52">
            <v>23338.36</v>
          </cell>
        </row>
        <row r="53">
          <cell r="B53" t="str">
            <v>CT210KG</v>
          </cell>
          <cell r="C53" t="str">
            <v>Concreto 210kg/cm² 1:2:3</v>
          </cell>
          <cell r="D53" t="str">
            <v>m3</v>
          </cell>
          <cell r="E53">
            <v>0.04</v>
          </cell>
          <cell r="G53">
            <v>583459</v>
          </cell>
          <cell r="H53">
            <v>23338.36</v>
          </cell>
        </row>
        <row r="54">
          <cell r="B54" t="str">
            <v>III. TRANSPORTES</v>
          </cell>
          <cell r="E54" t="str">
            <v>Km</v>
          </cell>
          <cell r="F54" t="str">
            <v>PESO</v>
          </cell>
          <cell r="G54" t="str">
            <v>T/KM</v>
          </cell>
          <cell r="H54">
            <v>8736</v>
          </cell>
        </row>
        <row r="55">
          <cell r="B55" t="str">
            <v>TR1070</v>
          </cell>
          <cell r="C55" t="str">
            <v xml:space="preserve">Transporte de materiales varios </v>
          </cell>
          <cell r="D55" t="str">
            <v>T/km</v>
          </cell>
          <cell r="E55">
            <v>130</v>
          </cell>
          <cell r="F55">
            <v>9.6000000000000002E-2</v>
          </cell>
          <cell r="G55">
            <v>700</v>
          </cell>
          <cell r="H55">
            <v>8736</v>
          </cell>
        </row>
        <row r="56">
          <cell r="B56" t="str">
            <v>IV. MANO DE OBRA</v>
          </cell>
          <cell r="H56">
            <v>13275.946579740446</v>
          </cell>
        </row>
        <row r="57">
          <cell r="B57" t="str">
            <v>MOFICIAL</v>
          </cell>
          <cell r="C57" t="str">
            <v>Mo oficial</v>
          </cell>
          <cell r="D57" t="str">
            <v>día</v>
          </cell>
          <cell r="E57">
            <v>7.0000000000000007E-2</v>
          </cell>
          <cell r="G57">
            <v>130525.11769031112</v>
          </cell>
          <cell r="H57">
            <v>9136.7582383217796</v>
          </cell>
        </row>
        <row r="58">
          <cell r="B58" t="str">
            <v>MOAYUDR</v>
          </cell>
          <cell r="C58" t="str">
            <v>Mo ayudante raso</v>
          </cell>
          <cell r="D58" t="str">
            <v>día</v>
          </cell>
          <cell r="E58">
            <v>0.06</v>
          </cell>
          <cell r="G58">
            <v>68986.472356977785</v>
          </cell>
          <cell r="H58">
            <v>4139.1883414186668</v>
          </cell>
        </row>
        <row r="59">
          <cell r="B59" t="str">
            <v>2.4</v>
          </cell>
          <cell r="C59" t="str">
            <v>Vaciado de viga de fundación en concreto de 21MPa a nivel de cimentación, de sección 0.25x0.20m. Incluye formaleta, equipo y todo lo necesario para su correcta colocación y funcionamiento.</v>
          </cell>
          <cell r="D59" t="str">
            <v>m</v>
          </cell>
          <cell r="E59">
            <v>50.25</v>
          </cell>
          <cell r="G59" t="str">
            <v/>
          </cell>
          <cell r="H59">
            <v>48202</v>
          </cell>
        </row>
        <row r="60">
          <cell r="B60" t="str">
            <v>I. EQUIPO Y HERRAMIENTA</v>
          </cell>
          <cell r="H60">
            <v>985.09732898702237</v>
          </cell>
        </row>
        <row r="61">
          <cell r="B61" t="str">
            <v>HTAMNR</v>
          </cell>
          <cell r="C61" t="str">
            <v>Herramienta y equipo menor</v>
          </cell>
          <cell r="D61" t="str">
            <v>%</v>
          </cell>
          <cell r="F61">
            <v>0.05</v>
          </cell>
          <cell r="G61">
            <v>13275.946579740446</v>
          </cell>
          <cell r="H61">
            <v>663.79732898702241</v>
          </cell>
        </row>
        <row r="62">
          <cell r="B62" t="str">
            <v>EQ1220</v>
          </cell>
          <cell r="C62" t="str">
            <v>Vibrador a gasolina</v>
          </cell>
          <cell r="D62" t="str">
            <v>día</v>
          </cell>
          <cell r="E62">
            <v>0.01</v>
          </cell>
          <cell r="G62">
            <v>32130</v>
          </cell>
          <cell r="H62">
            <v>321.3</v>
          </cell>
        </row>
        <row r="63">
          <cell r="B63" t="str">
            <v>II. MATERIALES</v>
          </cell>
          <cell r="H63">
            <v>25205.428800000005</v>
          </cell>
        </row>
        <row r="64">
          <cell r="B64" t="str">
            <v>CT210KG</v>
          </cell>
          <cell r="C64" t="str">
            <v>Concreto 210kg/cm² 1:2:3</v>
          </cell>
          <cell r="D64" t="str">
            <v>m3</v>
          </cell>
          <cell r="E64">
            <v>4.0000000000000008E-2</v>
          </cell>
          <cell r="F64">
            <v>0.08</v>
          </cell>
          <cell r="G64">
            <v>583459</v>
          </cell>
          <cell r="H64">
            <v>25205.428800000005</v>
          </cell>
        </row>
        <row r="65">
          <cell r="B65" t="str">
            <v>III. TRANSPORTES</v>
          </cell>
          <cell r="E65" t="str">
            <v>Km</v>
          </cell>
          <cell r="F65" t="str">
            <v>PESO</v>
          </cell>
          <cell r="G65" t="str">
            <v>T/KM</v>
          </cell>
          <cell r="H65">
            <v>8736.0000000000018</v>
          </cell>
        </row>
        <row r="66">
          <cell r="B66" t="str">
            <v>TR1070</v>
          </cell>
          <cell r="C66" t="str">
            <v xml:space="preserve">Transporte de materiales varios </v>
          </cell>
          <cell r="D66" t="str">
            <v>T/km</v>
          </cell>
          <cell r="E66">
            <v>130</v>
          </cell>
          <cell r="F66">
            <v>9.6000000000000016E-2</v>
          </cell>
          <cell r="G66">
            <v>700</v>
          </cell>
          <cell r="H66">
            <v>8736.0000000000018</v>
          </cell>
        </row>
        <row r="67">
          <cell r="B67" t="str">
            <v>IV. MANO DE OBRA</v>
          </cell>
          <cell r="H67">
            <v>13275.946579740446</v>
          </cell>
        </row>
        <row r="68">
          <cell r="B68" t="str">
            <v>MOFICIAL</v>
          </cell>
          <cell r="C68" t="str">
            <v>Mo oficial</v>
          </cell>
          <cell r="D68" t="str">
            <v>día</v>
          </cell>
          <cell r="E68">
            <v>7.0000000000000007E-2</v>
          </cell>
          <cell r="G68">
            <v>130525.11769031112</v>
          </cell>
          <cell r="H68">
            <v>9136.7582383217796</v>
          </cell>
        </row>
        <row r="69">
          <cell r="B69" t="str">
            <v>MOAYUDR</v>
          </cell>
          <cell r="C69" t="str">
            <v>Mo ayudante raso</v>
          </cell>
          <cell r="D69" t="str">
            <v>día</v>
          </cell>
          <cell r="E69">
            <v>0.06</v>
          </cell>
          <cell r="G69">
            <v>68986.472356977785</v>
          </cell>
          <cell r="H69">
            <v>4139.1883414186668</v>
          </cell>
        </row>
        <row r="70">
          <cell r="B70" t="str">
            <v>2.5</v>
          </cell>
          <cell r="C70" t="str">
            <v>Vaciado de sobrecimiento en concreto de 21MPa 0.12x0.30m. Incluye formaleta, equipo, impermeabilización y todo lo necesario para su correcta instalación y funcionamiento. El acero de refuerzo se pagará por el respectivo ítem.</v>
          </cell>
          <cell r="D70" t="str">
            <v>m</v>
          </cell>
          <cell r="E70">
            <v>56.04</v>
          </cell>
          <cell r="G70" t="str">
            <v/>
          </cell>
          <cell r="H70">
            <v>48210</v>
          </cell>
        </row>
        <row r="71">
          <cell r="B71" t="str">
            <v>I. EQUIPO Y HERRAMIENTA</v>
          </cell>
          <cell r="H71">
            <v>919.83477014186678</v>
          </cell>
        </row>
        <row r="72">
          <cell r="B72" t="str">
            <v>HTAMNR</v>
          </cell>
          <cell r="C72" t="str">
            <v>Herramienta y equipo menor</v>
          </cell>
          <cell r="D72" t="str">
            <v>%</v>
          </cell>
          <cell r="F72">
            <v>0.05</v>
          </cell>
          <cell r="G72">
            <v>11970.695402837333</v>
          </cell>
          <cell r="H72">
            <v>598.53477014186672</v>
          </cell>
        </row>
        <row r="73">
          <cell r="B73" t="str">
            <v>EQ1220</v>
          </cell>
          <cell r="C73" t="str">
            <v>Vibrador a gasolina</v>
          </cell>
          <cell r="D73" t="str">
            <v>día</v>
          </cell>
          <cell r="E73">
            <v>0.01</v>
          </cell>
          <cell r="G73">
            <v>32130</v>
          </cell>
          <cell r="H73">
            <v>321.3</v>
          </cell>
        </row>
        <row r="74">
          <cell r="B74" t="str">
            <v>II. MATERIALES</v>
          </cell>
          <cell r="H74">
            <v>27184.931999999997</v>
          </cell>
        </row>
        <row r="75">
          <cell r="B75" t="str">
            <v>CT210KG</v>
          </cell>
          <cell r="C75" t="str">
            <v>Concreto 210kg/cm² 1:2:3</v>
          </cell>
          <cell r="D75" t="str">
            <v>m3</v>
          </cell>
          <cell r="E75">
            <v>3.5999999999999997E-2</v>
          </cell>
          <cell r="G75">
            <v>583459</v>
          </cell>
          <cell r="H75">
            <v>21004.523999999998</v>
          </cell>
        </row>
        <row r="76">
          <cell r="B76" t="str">
            <v>MAT1170</v>
          </cell>
          <cell r="C76" t="str">
            <v>Liston 2" x 2" x 3 m</v>
          </cell>
          <cell r="D76" t="str">
            <v>un</v>
          </cell>
          <cell r="E76">
            <v>0.25</v>
          </cell>
          <cell r="G76">
            <v>9500</v>
          </cell>
          <cell r="H76">
            <v>2375</v>
          </cell>
        </row>
        <row r="77">
          <cell r="B77" t="str">
            <v>MAT1095</v>
          </cell>
          <cell r="C77" t="str">
            <v>Clavo común 37.5 a 100 mm</v>
          </cell>
          <cell r="D77" t="str">
            <v>lb</v>
          </cell>
          <cell r="E77">
            <v>0.05</v>
          </cell>
          <cell r="G77">
            <v>9900</v>
          </cell>
          <cell r="H77">
            <v>495</v>
          </cell>
        </row>
        <row r="78">
          <cell r="B78" t="str">
            <v>MAT1295</v>
          </cell>
          <cell r="C78" t="str">
            <v>Tabla madera común 1x8" 3m</v>
          </cell>
          <cell r="D78" t="str">
            <v>un</v>
          </cell>
          <cell r="E78">
            <v>0.25</v>
          </cell>
          <cell r="G78">
            <v>13000</v>
          </cell>
          <cell r="H78">
            <v>3250</v>
          </cell>
        </row>
        <row r="79">
          <cell r="B79" t="str">
            <v>AD1221</v>
          </cell>
          <cell r="C79" t="str">
            <v>Impermeabilizante con base en cemento tipo Broncosil o similar</v>
          </cell>
          <cell r="D79" t="str">
            <v>kg</v>
          </cell>
          <cell r="E79">
            <v>1.7999999999999999E-2</v>
          </cell>
          <cell r="G79">
            <v>3356</v>
          </cell>
          <cell r="H79">
            <v>60.407999999999994</v>
          </cell>
        </row>
        <row r="80">
          <cell r="B80" t="str">
            <v>III. TRANSPORTES</v>
          </cell>
          <cell r="E80" t="str">
            <v>Km</v>
          </cell>
          <cell r="F80" t="str">
            <v>PESO</v>
          </cell>
          <cell r="G80" t="str">
            <v>T/KM</v>
          </cell>
          <cell r="H80">
            <v>8134.7629999999999</v>
          </cell>
        </row>
        <row r="81">
          <cell r="B81" t="str">
            <v>TR1070</v>
          </cell>
          <cell r="C81" t="str">
            <v xml:space="preserve">Transporte de materiales varios </v>
          </cell>
          <cell r="D81" t="str">
            <v>T/km</v>
          </cell>
          <cell r="E81">
            <v>130</v>
          </cell>
          <cell r="F81">
            <v>8.9393E-2</v>
          </cell>
          <cell r="G81">
            <v>700</v>
          </cell>
          <cell r="H81">
            <v>8134.7629999999999</v>
          </cell>
        </row>
        <row r="82">
          <cell r="B82" t="str">
            <v>IV. MANO DE OBRA</v>
          </cell>
          <cell r="H82">
            <v>11970.695402837333</v>
          </cell>
        </row>
        <row r="83">
          <cell r="B83" t="str">
            <v>MOFICIAL</v>
          </cell>
          <cell r="C83" t="str">
            <v>Mo oficial</v>
          </cell>
          <cell r="D83" t="str">
            <v>día</v>
          </cell>
          <cell r="E83">
            <v>0.06</v>
          </cell>
          <cell r="G83">
            <v>130525.11769031112</v>
          </cell>
          <cell r="H83">
            <v>7831.507061418667</v>
          </cell>
        </row>
        <row r="84">
          <cell r="B84" t="str">
            <v>MOAYUDR</v>
          </cell>
          <cell r="C84" t="str">
            <v>Mo ayudante raso</v>
          </cell>
          <cell r="D84" t="str">
            <v>día</v>
          </cell>
          <cell r="E84">
            <v>0.06</v>
          </cell>
          <cell r="G84">
            <v>68986.472356977785</v>
          </cell>
          <cell r="H84">
            <v>4139.1883414186668</v>
          </cell>
        </row>
        <row r="85">
          <cell r="B85" t="str">
            <v>3.</v>
          </cell>
          <cell r="C85" t="str">
            <v>ELEMENTOS ESTRUCTURALES</v>
          </cell>
          <cell r="D85" t="str">
            <v/>
          </cell>
          <cell r="G85" t="str">
            <v/>
          </cell>
          <cell r="H85" t="str">
            <v/>
          </cell>
        </row>
        <row r="86">
          <cell r="B86" t="str">
            <v>3.1</v>
          </cell>
          <cell r="C86" t="str">
            <v>Vaciado de viga de amarre superior en concreto a la vista de 21MPa sobre mampostería de sección 0.12x0.20m. Incluye formaleta, equipo y todo lo necesario para su correcta colocación y funcionamiento.</v>
          </cell>
          <cell r="D86" t="str">
            <v>m</v>
          </cell>
          <cell r="E86">
            <v>44.32</v>
          </cell>
          <cell r="G86" t="str">
            <v/>
          </cell>
          <cell r="H86">
            <v>44273</v>
          </cell>
        </row>
        <row r="87">
          <cell r="B87" t="str">
            <v>I. EQUIPO Y HERRAMIENTA</v>
          </cell>
          <cell r="H87">
            <v>1924.8531240106668</v>
          </cell>
        </row>
        <row r="88">
          <cell r="B88" t="str">
            <v>HTAMNR</v>
          </cell>
          <cell r="C88" t="str">
            <v>Herramienta y equipo menor</v>
          </cell>
          <cell r="D88" t="str">
            <v>%</v>
          </cell>
          <cell r="F88">
            <v>0.05</v>
          </cell>
          <cell r="G88">
            <v>15271.062480213335</v>
          </cell>
          <cell r="H88">
            <v>763.55312401066681</v>
          </cell>
        </row>
        <row r="89">
          <cell r="B89" t="str">
            <v>EQ1220</v>
          </cell>
          <cell r="C89" t="str">
            <v>Vibrador a gasolina</v>
          </cell>
          <cell r="D89" t="str">
            <v>día</v>
          </cell>
          <cell r="E89">
            <v>0.01</v>
          </cell>
          <cell r="G89">
            <v>32130</v>
          </cell>
          <cell r="H89">
            <v>321.3</v>
          </cell>
        </row>
        <row r="90">
          <cell r="B90" t="str">
            <v>MAT1290</v>
          </cell>
          <cell r="C90" t="str">
            <v>Sección completa andamio 1.20x1.50m</v>
          </cell>
          <cell r="D90" t="str">
            <v>día</v>
          </cell>
          <cell r="E90">
            <v>0.6</v>
          </cell>
          <cell r="G90">
            <v>1400</v>
          </cell>
          <cell r="H90">
            <v>840</v>
          </cell>
        </row>
        <row r="91">
          <cell r="B91" t="str">
            <v>II. MATERIALES</v>
          </cell>
          <cell r="H91">
            <v>21673.016</v>
          </cell>
        </row>
        <row r="92">
          <cell r="B92" t="str">
            <v>CT210KG</v>
          </cell>
          <cell r="C92" t="str">
            <v>Concreto 210kg/cm² 1:2:3</v>
          </cell>
          <cell r="D92" t="str">
            <v>m3</v>
          </cell>
          <cell r="E92">
            <v>2.4E-2</v>
          </cell>
          <cell r="G92">
            <v>583459</v>
          </cell>
          <cell r="H92">
            <v>14003.016</v>
          </cell>
        </row>
        <row r="93">
          <cell r="B93" t="str">
            <v>MAT1170</v>
          </cell>
          <cell r="C93" t="str">
            <v>Liston 2" x 2" x 3 m</v>
          </cell>
          <cell r="D93" t="str">
            <v>un</v>
          </cell>
          <cell r="E93">
            <v>0.25</v>
          </cell>
          <cell r="G93">
            <v>9500</v>
          </cell>
          <cell r="H93">
            <v>2375</v>
          </cell>
        </row>
        <row r="94">
          <cell r="B94" t="str">
            <v>MAT1095</v>
          </cell>
          <cell r="C94" t="str">
            <v>Clavo común 37.5 a 100 mm</v>
          </cell>
          <cell r="D94" t="str">
            <v>lb</v>
          </cell>
          <cell r="E94">
            <v>0.05</v>
          </cell>
          <cell r="G94">
            <v>9900</v>
          </cell>
          <cell r="H94">
            <v>495</v>
          </cell>
        </row>
        <row r="95">
          <cell r="B95" t="str">
            <v>MAT1300</v>
          </cell>
          <cell r="C95" t="str">
            <v>Formaleta Supert 15mm 183X244.</v>
          </cell>
          <cell r="D95" t="str">
            <v>m2</v>
          </cell>
          <cell r="E95">
            <v>0.1</v>
          </cell>
          <cell r="G95">
            <v>45900</v>
          </cell>
          <cell r="H95">
            <v>4590</v>
          </cell>
        </row>
        <row r="96">
          <cell r="B96" t="str">
            <v>AD1220</v>
          </cell>
          <cell r="C96" t="str">
            <v>Separol - N (20K) o similar</v>
          </cell>
          <cell r="D96" t="str">
            <v>kg</v>
          </cell>
          <cell r="E96">
            <v>1.2E-2</v>
          </cell>
          <cell r="G96">
            <v>17500</v>
          </cell>
          <cell r="H96">
            <v>210</v>
          </cell>
        </row>
        <row r="97">
          <cell r="B97" t="str">
            <v>III. TRANSPORTES</v>
          </cell>
          <cell r="E97" t="str">
            <v>Km</v>
          </cell>
          <cell r="F97" t="str">
            <v>PESO</v>
          </cell>
          <cell r="G97" t="str">
            <v>T/KM</v>
          </cell>
          <cell r="H97">
            <v>5404.1199920272329</v>
          </cell>
        </row>
        <row r="98">
          <cell r="B98" t="str">
            <v>TR1070</v>
          </cell>
          <cell r="C98" t="str">
            <v xml:space="preserve">Transporte de materiales varios </v>
          </cell>
          <cell r="D98" t="str">
            <v>T/km</v>
          </cell>
          <cell r="E98">
            <v>130</v>
          </cell>
          <cell r="F98">
            <v>5.9385933978321238E-2</v>
          </cell>
          <cell r="G98">
            <v>700</v>
          </cell>
          <cell r="H98">
            <v>5404.1199920272329</v>
          </cell>
        </row>
        <row r="99">
          <cell r="B99" t="str">
            <v>IV. MANO DE OBRA</v>
          </cell>
          <cell r="H99">
            <v>15271.062480213335</v>
          </cell>
        </row>
        <row r="100">
          <cell r="B100" t="str">
            <v>MOFICIAL</v>
          </cell>
          <cell r="C100" t="str">
            <v>Mo oficial</v>
          </cell>
          <cell r="D100" t="str">
            <v>día</v>
          </cell>
          <cell r="E100">
            <v>0.08</v>
          </cell>
          <cell r="G100">
            <v>130525.11769031112</v>
          </cell>
          <cell r="H100">
            <v>10442.009415224889</v>
          </cell>
        </row>
        <row r="101">
          <cell r="B101" t="str">
            <v>MOAYUDR</v>
          </cell>
          <cell r="C101" t="str">
            <v>Mo ayudante raso</v>
          </cell>
          <cell r="D101" t="str">
            <v>día</v>
          </cell>
          <cell r="E101">
            <v>7.0000000000000007E-2</v>
          </cell>
          <cell r="G101">
            <v>68986.472356977785</v>
          </cell>
          <cell r="H101">
            <v>4829.0530649884458</v>
          </cell>
        </row>
        <row r="102">
          <cell r="B102" t="str">
            <v>3.2</v>
          </cell>
          <cell r="C102" t="str">
            <v>Vaciado de viga cinta en concreto a la vista de 21MPa sobre mampostería de sección 0.12x0.10m. Incluye formaleta, equipo y todo lo necesario para su correcta colocación y funcionamiento.</v>
          </cell>
          <cell r="D102" t="str">
            <v>m</v>
          </cell>
          <cell r="E102">
            <v>39.68</v>
          </cell>
          <cell r="G102" t="str">
            <v/>
          </cell>
          <cell r="H102">
            <v>29676</v>
          </cell>
        </row>
        <row r="103">
          <cell r="B103" t="str">
            <v>I. EQUIPO Y HERRAMIENTA</v>
          </cell>
          <cell r="H103">
            <v>1924.8531240106668</v>
          </cell>
        </row>
        <row r="104">
          <cell r="B104" t="str">
            <v>HTAMNR</v>
          </cell>
          <cell r="C104" t="str">
            <v>Herramienta y equipo menor</v>
          </cell>
          <cell r="D104" t="str">
            <v>%</v>
          </cell>
          <cell r="F104">
            <v>0.05</v>
          </cell>
          <cell r="G104">
            <v>15271.062480213335</v>
          </cell>
          <cell r="H104">
            <v>763.55312401066681</v>
          </cell>
        </row>
        <row r="105">
          <cell r="B105" t="str">
            <v>EQ1220</v>
          </cell>
          <cell r="C105" t="str">
            <v>Vibrador a gasolina</v>
          </cell>
          <cell r="D105" t="str">
            <v>día</v>
          </cell>
          <cell r="E105">
            <v>0.01</v>
          </cell>
          <cell r="G105">
            <v>32130</v>
          </cell>
          <cell r="H105">
            <v>321.3</v>
          </cell>
        </row>
        <row r="106">
          <cell r="B106" t="str">
            <v>MAT1290</v>
          </cell>
          <cell r="C106" t="str">
            <v>Sección completa andamio 1.20x1.50m</v>
          </cell>
          <cell r="D106" t="str">
            <v>día</v>
          </cell>
          <cell r="E106">
            <v>0.6</v>
          </cell>
          <cell r="G106">
            <v>1400</v>
          </cell>
          <cell r="H106">
            <v>840</v>
          </cell>
        </row>
        <row r="107">
          <cell r="B107" t="str">
            <v>II. MATERIALES</v>
          </cell>
          <cell r="H107">
            <v>12376.508</v>
          </cell>
        </row>
        <row r="108">
          <cell r="B108" t="str">
            <v>CT210KG</v>
          </cell>
          <cell r="C108" t="str">
            <v>Concreto 210kg/cm² 1:2:3</v>
          </cell>
          <cell r="D108" t="str">
            <v>m3</v>
          </cell>
          <cell r="E108">
            <v>1.2E-2</v>
          </cell>
          <cell r="G108">
            <v>583459</v>
          </cell>
          <cell r="H108">
            <v>7001.5079999999998</v>
          </cell>
        </row>
        <row r="109">
          <cell r="B109" t="str">
            <v>MAT1170</v>
          </cell>
          <cell r="C109" t="str">
            <v>Liston 2" x 2" x 3 m</v>
          </cell>
          <cell r="D109" t="str">
            <v>un</v>
          </cell>
          <cell r="E109">
            <v>0.25</v>
          </cell>
          <cell r="G109">
            <v>9500</v>
          </cell>
          <cell r="H109">
            <v>2375</v>
          </cell>
        </row>
        <row r="110">
          <cell r="B110" t="str">
            <v>MAT1095</v>
          </cell>
          <cell r="C110" t="str">
            <v>Clavo común 37.5 a 100 mm</v>
          </cell>
          <cell r="D110" t="str">
            <v>lb</v>
          </cell>
          <cell r="E110">
            <v>0.05</v>
          </cell>
          <cell r="G110">
            <v>9900</v>
          </cell>
          <cell r="H110">
            <v>495</v>
          </cell>
        </row>
        <row r="111">
          <cell r="B111" t="str">
            <v>MAT1300</v>
          </cell>
          <cell r="C111" t="str">
            <v>Formaleta Supert 15mm 183X244.</v>
          </cell>
          <cell r="D111" t="str">
            <v>m2</v>
          </cell>
          <cell r="E111">
            <v>0.05</v>
          </cell>
          <cell r="G111">
            <v>45900</v>
          </cell>
          <cell r="H111">
            <v>2295</v>
          </cell>
        </row>
        <row r="112">
          <cell r="B112" t="str">
            <v>AD1220</v>
          </cell>
          <cell r="C112" t="str">
            <v>Separol - N (20K) o similar</v>
          </cell>
          <cell r="D112" t="str">
            <v>kg</v>
          </cell>
          <cell r="E112">
            <v>1.2E-2</v>
          </cell>
          <cell r="G112">
            <v>17500</v>
          </cell>
          <cell r="H112">
            <v>210</v>
          </cell>
        </row>
        <row r="113">
          <cell r="B113" t="str">
            <v>III. TRANSPORTES</v>
          </cell>
          <cell r="E113" t="str">
            <v>Km</v>
          </cell>
          <cell r="F113" t="str">
            <v>PESO</v>
          </cell>
          <cell r="G113" t="str">
            <v>T/KM</v>
          </cell>
          <cell r="H113">
            <v>103.41849601361642</v>
          </cell>
        </row>
        <row r="114">
          <cell r="B114" t="str">
            <v>TR1070</v>
          </cell>
          <cell r="C114" t="str">
            <v xml:space="preserve">Transporte de materiales varios </v>
          </cell>
          <cell r="D114" t="str">
            <v>T/km</v>
          </cell>
          <cell r="E114">
            <v>130</v>
          </cell>
          <cell r="F114">
            <v>1.13646698916062E-3</v>
          </cell>
          <cell r="G114">
            <v>700</v>
          </cell>
          <cell r="H114">
            <v>103.41849601361642</v>
          </cell>
        </row>
        <row r="115">
          <cell r="B115" t="str">
            <v>IV. MANO DE OBRA</v>
          </cell>
          <cell r="H115">
            <v>15271.062480213335</v>
          </cell>
        </row>
        <row r="116">
          <cell r="B116" t="str">
            <v>MOFICIAL</v>
          </cell>
          <cell r="C116" t="str">
            <v>Mo oficial</v>
          </cell>
          <cell r="D116" t="str">
            <v>día</v>
          </cell>
          <cell r="E116">
            <v>0.08</v>
          </cell>
          <cell r="G116">
            <v>130525.11769031112</v>
          </cell>
          <cell r="H116">
            <v>10442.009415224889</v>
          </cell>
        </row>
        <row r="117">
          <cell r="B117" t="str">
            <v>MOAYUDR</v>
          </cell>
          <cell r="C117" t="str">
            <v>Mo ayudante raso</v>
          </cell>
          <cell r="D117" t="str">
            <v>día</v>
          </cell>
          <cell r="E117">
            <v>7.0000000000000007E-2</v>
          </cell>
          <cell r="G117">
            <v>68986.472356977785</v>
          </cell>
          <cell r="H117">
            <v>4829.0530649884458</v>
          </cell>
        </row>
        <row r="118">
          <cell r="B118" t="str">
            <v>3.3</v>
          </cell>
          <cell r="C118" t="str">
            <v>Vaciado de columna de confinamiento en concreto a la vista de 21MPa de sección 0.12x0.20m. Deberá ser vaciada una vez los muros estén construidos. Incluye formaleta, equipo y todo lo necesario para su correcta colocación y funcionamiento.</v>
          </cell>
          <cell r="D118" t="str">
            <v>m</v>
          </cell>
          <cell r="E118">
            <v>87.9</v>
          </cell>
          <cell r="G118" t="str">
            <v/>
          </cell>
          <cell r="H118">
            <v>39031</v>
          </cell>
        </row>
        <row r="119">
          <cell r="B119" t="str">
            <v>I. EQUIPO Y HERRAMIENTA</v>
          </cell>
          <cell r="H119">
            <v>1924.8531240106668</v>
          </cell>
        </row>
        <row r="120">
          <cell r="B120" t="str">
            <v>HTAMNR</v>
          </cell>
          <cell r="C120" t="str">
            <v>Herramienta y equipo menor</v>
          </cell>
          <cell r="D120" t="str">
            <v>%</v>
          </cell>
          <cell r="F120">
            <v>0.05</v>
          </cell>
          <cell r="G120">
            <v>15271.062480213335</v>
          </cell>
          <cell r="H120">
            <v>763.55312401066681</v>
          </cell>
        </row>
        <row r="121">
          <cell r="B121" t="str">
            <v>EQ1220</v>
          </cell>
          <cell r="C121" t="str">
            <v>Vibrador a gasolina</v>
          </cell>
          <cell r="D121" t="str">
            <v>día</v>
          </cell>
          <cell r="E121">
            <v>0.01</v>
          </cell>
          <cell r="G121">
            <v>32130</v>
          </cell>
          <cell r="H121">
            <v>321.3</v>
          </cell>
        </row>
        <row r="122">
          <cell r="B122" t="str">
            <v>MAT1290</v>
          </cell>
          <cell r="C122" t="str">
            <v>Sección completa andamio 1.20x1.50m</v>
          </cell>
          <cell r="D122" t="str">
            <v>día</v>
          </cell>
          <cell r="E122">
            <v>0.6</v>
          </cell>
          <cell r="G122">
            <v>1400</v>
          </cell>
          <cell r="H122">
            <v>840</v>
          </cell>
        </row>
        <row r="123">
          <cell r="B123" t="str">
            <v>II. MATERIALES</v>
          </cell>
          <cell r="H123">
            <v>21673.016</v>
          </cell>
        </row>
        <row r="124">
          <cell r="B124" t="str">
            <v>CT210KG</v>
          </cell>
          <cell r="C124" t="str">
            <v>Concreto 210kg/cm² 1:2:3</v>
          </cell>
          <cell r="D124" t="str">
            <v>m3</v>
          </cell>
          <cell r="E124">
            <v>2.4E-2</v>
          </cell>
          <cell r="G124">
            <v>583459</v>
          </cell>
          <cell r="H124">
            <v>14003.016</v>
          </cell>
        </row>
        <row r="125">
          <cell r="B125" t="str">
            <v>MAT1170</v>
          </cell>
          <cell r="C125" t="str">
            <v>Liston 2" x 2" x 3 m</v>
          </cell>
          <cell r="D125" t="str">
            <v>un</v>
          </cell>
          <cell r="E125">
            <v>0.25</v>
          </cell>
          <cell r="G125">
            <v>9500</v>
          </cell>
          <cell r="H125">
            <v>2375</v>
          </cell>
        </row>
        <row r="126">
          <cell r="B126" t="str">
            <v>MAT1095</v>
          </cell>
          <cell r="C126" t="str">
            <v>Clavo común 37.5 a 100 mm</v>
          </cell>
          <cell r="D126" t="str">
            <v>lb</v>
          </cell>
          <cell r="E126">
            <v>0.05</v>
          </cell>
          <cell r="G126">
            <v>9900</v>
          </cell>
          <cell r="H126">
            <v>495</v>
          </cell>
        </row>
        <row r="127">
          <cell r="B127" t="str">
            <v>MAT1300</v>
          </cell>
          <cell r="C127" t="str">
            <v>Formaleta Supert 15mm 183X244.</v>
          </cell>
          <cell r="D127" t="str">
            <v>m2</v>
          </cell>
          <cell r="E127">
            <v>0.1</v>
          </cell>
          <cell r="G127">
            <v>45900</v>
          </cell>
          <cell r="H127">
            <v>4590</v>
          </cell>
        </row>
        <row r="128">
          <cell r="B128" t="str">
            <v>AD1220</v>
          </cell>
          <cell r="C128" t="str">
            <v>Separol - N (20K) o similar</v>
          </cell>
          <cell r="D128" t="str">
            <v>kg</v>
          </cell>
          <cell r="E128">
            <v>1.2E-2</v>
          </cell>
          <cell r="G128">
            <v>17500</v>
          </cell>
          <cell r="H128">
            <v>210</v>
          </cell>
        </row>
        <row r="129">
          <cell r="B129" t="str">
            <v>III. TRANSPORTES</v>
          </cell>
          <cell r="E129" t="str">
            <v>Km</v>
          </cell>
          <cell r="F129" t="str">
            <v>PESO</v>
          </cell>
          <cell r="G129" t="str">
            <v>T/KM</v>
          </cell>
          <cell r="H129">
            <v>162.5199920272328</v>
          </cell>
        </row>
        <row r="130">
          <cell r="B130" t="str">
            <v>TR1070</v>
          </cell>
          <cell r="C130" t="str">
            <v xml:space="preserve">Transporte de materiales varios </v>
          </cell>
          <cell r="D130" t="str">
            <v>T/km</v>
          </cell>
          <cell r="E130">
            <v>130</v>
          </cell>
          <cell r="F130">
            <v>1.7859339783212397E-3</v>
          </cell>
          <cell r="G130">
            <v>700</v>
          </cell>
          <cell r="H130">
            <v>162.5199920272328</v>
          </cell>
        </row>
        <row r="131">
          <cell r="B131" t="str">
            <v>IV. MANO DE OBRA</v>
          </cell>
          <cell r="H131">
            <v>15271.062480213335</v>
          </cell>
        </row>
        <row r="132">
          <cell r="B132" t="str">
            <v>MOFICIAL</v>
          </cell>
          <cell r="C132" t="str">
            <v>Mo oficial</v>
          </cell>
          <cell r="D132" t="str">
            <v>día</v>
          </cell>
          <cell r="E132">
            <v>0.08</v>
          </cell>
          <cell r="G132">
            <v>130525.11769031112</v>
          </cell>
          <cell r="H132">
            <v>10442.009415224889</v>
          </cell>
        </row>
        <row r="133">
          <cell r="B133" t="str">
            <v>MOAYUDR</v>
          </cell>
          <cell r="C133" t="str">
            <v>Mo ayudante raso</v>
          </cell>
          <cell r="D133" t="str">
            <v>día</v>
          </cell>
          <cell r="E133">
            <v>7.0000000000000007E-2</v>
          </cell>
          <cell r="G133">
            <v>68986.472356977785</v>
          </cell>
          <cell r="H133">
            <v>4829.0530649884458</v>
          </cell>
        </row>
        <row r="134">
          <cell r="B134" t="str">
            <v>3.4</v>
          </cell>
          <cell r="C134"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134" t="str">
            <v>m2</v>
          </cell>
          <cell r="E134">
            <v>47.85</v>
          </cell>
          <cell r="G134" t="str">
            <v/>
          </cell>
          <cell r="H134">
            <v>109057</v>
          </cell>
        </row>
        <row r="135">
          <cell r="B135" t="str">
            <v>I. EQUIPO Y HERRAMIENTA</v>
          </cell>
          <cell r="H135">
            <v>1746.8830679267558</v>
          </cell>
        </row>
        <row r="136">
          <cell r="B136" t="str">
            <v>HTAMNR</v>
          </cell>
          <cell r="C136" t="str">
            <v>Herramienta y equipo menor</v>
          </cell>
          <cell r="D136" t="str">
            <v>%</v>
          </cell>
          <cell r="F136">
            <v>0.05</v>
          </cell>
          <cell r="G136">
            <v>22561.661358535115</v>
          </cell>
          <cell r="H136">
            <v>1128.0830679267558</v>
          </cell>
        </row>
        <row r="137">
          <cell r="B137" t="str">
            <v>EQ1010</v>
          </cell>
          <cell r="C137" t="str">
            <v>Vibrocompactador tipo rana</v>
          </cell>
          <cell r="D137" t="str">
            <v>día</v>
          </cell>
          <cell r="E137">
            <v>0.01</v>
          </cell>
          <cell r="G137">
            <v>29750</v>
          </cell>
          <cell r="H137">
            <v>297.5</v>
          </cell>
        </row>
        <row r="138">
          <cell r="B138" t="str">
            <v>EQ1220</v>
          </cell>
          <cell r="C138" t="str">
            <v>Vibrador a gasolina</v>
          </cell>
          <cell r="D138" t="str">
            <v>día</v>
          </cell>
          <cell r="E138">
            <v>0.01</v>
          </cell>
          <cell r="G138">
            <v>32130</v>
          </cell>
          <cell r="H138">
            <v>321.3</v>
          </cell>
        </row>
        <row r="139">
          <cell r="B139" t="str">
            <v>II. MATERIALES</v>
          </cell>
          <cell r="H139">
            <v>68866.900000000009</v>
          </cell>
        </row>
        <row r="140">
          <cell r="B140" t="str">
            <v>CT210KG</v>
          </cell>
          <cell r="C140" t="str">
            <v>Concreto 210kg/cm² 1:2:3</v>
          </cell>
          <cell r="D140" t="str">
            <v>m3</v>
          </cell>
          <cell r="E140">
            <v>0.1</v>
          </cell>
          <cell r="G140">
            <v>583459</v>
          </cell>
          <cell r="H140">
            <v>58345.9</v>
          </cell>
        </row>
        <row r="141">
          <cell r="B141" t="str">
            <v>MAT1295</v>
          </cell>
          <cell r="C141" t="str">
            <v>Tabla madera común 1x8" 3m</v>
          </cell>
          <cell r="D141" t="str">
            <v>un</v>
          </cell>
          <cell r="E141">
            <v>0.02</v>
          </cell>
          <cell r="G141">
            <v>13000</v>
          </cell>
          <cell r="H141">
            <v>260</v>
          </cell>
        </row>
        <row r="142">
          <cell r="B142" t="str">
            <v>EL1140</v>
          </cell>
          <cell r="C142" t="str">
            <v>Polietileno negro</v>
          </cell>
          <cell r="D142" t="str">
            <v>m2</v>
          </cell>
          <cell r="E142">
            <v>1</v>
          </cell>
          <cell r="G142">
            <v>2050</v>
          </cell>
          <cell r="H142">
            <v>2050</v>
          </cell>
        </row>
        <row r="143">
          <cell r="B143" t="str">
            <v>MAT1095</v>
          </cell>
          <cell r="C143" t="str">
            <v>Clavo común 37.5 a 100 mm</v>
          </cell>
          <cell r="D143" t="str">
            <v>lb</v>
          </cell>
          <cell r="E143">
            <v>0.05</v>
          </cell>
          <cell r="G143">
            <v>9900</v>
          </cell>
          <cell r="H143">
            <v>495</v>
          </cell>
        </row>
        <row r="144">
          <cell r="B144" t="str">
            <v>MAT1270</v>
          </cell>
          <cell r="C144" t="str">
            <v>Recebo B-200</v>
          </cell>
          <cell r="D144" t="str">
            <v>m3</v>
          </cell>
          <cell r="E144">
            <v>0.12000000000000001</v>
          </cell>
          <cell r="G144">
            <v>64300</v>
          </cell>
          <cell r="H144">
            <v>7716.0000000000009</v>
          </cell>
        </row>
        <row r="145">
          <cell r="B145" t="str">
            <v>III. TRANSPORTES</v>
          </cell>
          <cell r="E145" t="str">
            <v>Km</v>
          </cell>
          <cell r="F145" t="str">
            <v>PESO</v>
          </cell>
          <cell r="G145" t="str">
            <v>T/KM</v>
          </cell>
          <cell r="H145">
            <v>15881.775000000003</v>
          </cell>
        </row>
        <row r="146">
          <cell r="B146" t="str">
            <v>TR1070</v>
          </cell>
          <cell r="C146" t="str">
            <v xml:space="preserve">Transporte de materiales varios </v>
          </cell>
          <cell r="D146" t="str">
            <v>T/km</v>
          </cell>
          <cell r="E146">
            <v>130</v>
          </cell>
          <cell r="F146">
            <v>0.17452500000000004</v>
          </cell>
          <cell r="G146">
            <v>700</v>
          </cell>
          <cell r="H146">
            <v>15881.775000000003</v>
          </cell>
        </row>
        <row r="147">
          <cell r="B147" t="str">
            <v>IV. MANO DE OBRA</v>
          </cell>
          <cell r="H147">
            <v>22561.661358535115</v>
          </cell>
        </row>
        <row r="148">
          <cell r="B148" t="str">
            <v>MOFICIAL</v>
          </cell>
          <cell r="C148" t="str">
            <v>Mo oficial</v>
          </cell>
          <cell r="D148" t="str">
            <v>día</v>
          </cell>
          <cell r="E148">
            <v>0.12</v>
          </cell>
          <cell r="G148">
            <v>130525.11769031112</v>
          </cell>
          <cell r="H148">
            <v>15663.014122837334</v>
          </cell>
        </row>
        <row r="149">
          <cell r="B149" t="str">
            <v>MOAYUDR</v>
          </cell>
          <cell r="C149" t="str">
            <v>Mo ayudante raso</v>
          </cell>
          <cell r="D149" t="str">
            <v>día</v>
          </cell>
          <cell r="E149">
            <v>0.1</v>
          </cell>
          <cell r="G149">
            <v>68986.472356977785</v>
          </cell>
          <cell r="H149">
            <v>6898.6472356977793</v>
          </cell>
        </row>
        <row r="150">
          <cell r="B150" t="str">
            <v>3.5</v>
          </cell>
          <cell r="C150"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150" t="str">
            <v>m2</v>
          </cell>
          <cell r="E150">
            <v>1.1399999999999999</v>
          </cell>
          <cell r="G150" t="str">
            <v/>
          </cell>
          <cell r="H150">
            <v>109057</v>
          </cell>
        </row>
        <row r="151">
          <cell r="B151" t="str">
            <v>I. EQUIPO Y HERRAMIENTA</v>
          </cell>
          <cell r="H151">
            <v>1746.8830679267558</v>
          </cell>
        </row>
        <row r="152">
          <cell r="B152" t="str">
            <v>HTAMNR</v>
          </cell>
          <cell r="C152" t="str">
            <v>Herramienta y equipo menor</v>
          </cell>
          <cell r="D152" t="str">
            <v>%</v>
          </cell>
          <cell r="F152">
            <v>0.05</v>
          </cell>
          <cell r="G152">
            <v>22561.661358535115</v>
          </cell>
          <cell r="H152">
            <v>1128.0830679267558</v>
          </cell>
        </row>
        <row r="153">
          <cell r="B153" t="str">
            <v>EQ1010</v>
          </cell>
          <cell r="C153" t="str">
            <v>Vibrocompactador tipo rana</v>
          </cell>
          <cell r="D153" t="str">
            <v>día</v>
          </cell>
          <cell r="E153">
            <v>0.01</v>
          </cell>
          <cell r="G153">
            <v>29750</v>
          </cell>
          <cell r="H153">
            <v>297.5</v>
          </cell>
        </row>
        <row r="154">
          <cell r="B154" t="str">
            <v>EQ1220</v>
          </cell>
          <cell r="C154" t="str">
            <v>Vibrador a gasolina</v>
          </cell>
          <cell r="D154" t="str">
            <v>día</v>
          </cell>
          <cell r="E154">
            <v>0.01</v>
          </cell>
          <cell r="G154">
            <v>32130</v>
          </cell>
          <cell r="H154">
            <v>321.3</v>
          </cell>
        </row>
        <row r="155">
          <cell r="B155" t="str">
            <v>II. MATERIALES</v>
          </cell>
          <cell r="H155">
            <v>68866.900000000009</v>
          </cell>
        </row>
        <row r="156">
          <cell r="B156" t="str">
            <v>CT210KG</v>
          </cell>
          <cell r="C156" t="str">
            <v>Concreto 210kg/cm² 1:2:3</v>
          </cell>
          <cell r="D156" t="str">
            <v>m3</v>
          </cell>
          <cell r="E156">
            <v>0.1</v>
          </cell>
          <cell r="G156">
            <v>583459</v>
          </cell>
          <cell r="H156">
            <v>58345.9</v>
          </cell>
        </row>
        <row r="157">
          <cell r="B157" t="str">
            <v>MAT1295</v>
          </cell>
          <cell r="C157" t="str">
            <v>Tabla madera común 1x8" 3m</v>
          </cell>
          <cell r="D157" t="str">
            <v>un</v>
          </cell>
          <cell r="E157">
            <v>0.02</v>
          </cell>
          <cell r="G157">
            <v>13000</v>
          </cell>
          <cell r="H157">
            <v>260</v>
          </cell>
        </row>
        <row r="158">
          <cell r="B158" t="str">
            <v>EL1140</v>
          </cell>
          <cell r="C158" t="str">
            <v>Polietileno negro</v>
          </cell>
          <cell r="D158" t="str">
            <v>m2</v>
          </cell>
          <cell r="E158">
            <v>1</v>
          </cell>
          <cell r="G158">
            <v>2050</v>
          </cell>
          <cell r="H158">
            <v>2050</v>
          </cell>
        </row>
        <row r="159">
          <cell r="B159" t="str">
            <v>MAT1095</v>
          </cell>
          <cell r="C159" t="str">
            <v>Clavo común 37.5 a 100 mm</v>
          </cell>
          <cell r="D159" t="str">
            <v>lb</v>
          </cell>
          <cell r="E159">
            <v>0.05</v>
          </cell>
          <cell r="G159">
            <v>9900</v>
          </cell>
          <cell r="H159">
            <v>495</v>
          </cell>
        </row>
        <row r="160">
          <cell r="B160" t="str">
            <v>MAT1270</v>
          </cell>
          <cell r="C160" t="str">
            <v>Recebo B-200</v>
          </cell>
          <cell r="D160" t="str">
            <v>m3</v>
          </cell>
          <cell r="E160">
            <v>0.12000000000000001</v>
          </cell>
          <cell r="G160">
            <v>64300</v>
          </cell>
          <cell r="H160">
            <v>7716.0000000000009</v>
          </cell>
        </row>
        <row r="161">
          <cell r="B161" t="str">
            <v>III. TRANSPORTES</v>
          </cell>
          <cell r="E161" t="str">
            <v>Km</v>
          </cell>
          <cell r="F161" t="str">
            <v>PESO</v>
          </cell>
          <cell r="G161" t="str">
            <v>T/KM</v>
          </cell>
          <cell r="H161">
            <v>15881.775000000001</v>
          </cell>
        </row>
        <row r="162">
          <cell r="B162" t="str">
            <v>TR1070</v>
          </cell>
          <cell r="C162" t="str">
            <v xml:space="preserve">Transporte de materiales varios </v>
          </cell>
          <cell r="D162" t="str">
            <v>T/km</v>
          </cell>
          <cell r="E162">
            <v>130</v>
          </cell>
          <cell r="F162">
            <v>0.17452500000000001</v>
          </cell>
          <cell r="G162">
            <v>700</v>
          </cell>
          <cell r="H162">
            <v>15881.775000000001</v>
          </cell>
        </row>
        <row r="163">
          <cell r="B163" t="str">
            <v>IV. MANO DE OBRA</v>
          </cell>
          <cell r="H163">
            <v>22561.661358535115</v>
          </cell>
        </row>
        <row r="164">
          <cell r="B164" t="str">
            <v>MOFICIAL</v>
          </cell>
          <cell r="C164" t="str">
            <v>Mo oficial</v>
          </cell>
          <cell r="D164" t="str">
            <v>día</v>
          </cell>
          <cell r="E164">
            <v>0.12</v>
          </cell>
          <cell r="G164">
            <v>130525.11769031112</v>
          </cell>
          <cell r="H164">
            <v>15663.014122837334</v>
          </cell>
        </row>
        <row r="165">
          <cell r="B165" t="str">
            <v>MOAYUDR</v>
          </cell>
          <cell r="C165" t="str">
            <v>Mo ayudante raso</v>
          </cell>
          <cell r="D165" t="str">
            <v>día</v>
          </cell>
          <cell r="E165">
            <v>0.1</v>
          </cell>
          <cell r="G165">
            <v>68986.472356977785</v>
          </cell>
          <cell r="H165">
            <v>6898.6472356977793</v>
          </cell>
        </row>
        <row r="166">
          <cell r="B166" t="str">
            <v>3.6</v>
          </cell>
          <cell r="C166"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166" t="str">
            <v>m</v>
          </cell>
          <cell r="E166">
            <v>2.5</v>
          </cell>
          <cell r="G166" t="str">
            <v/>
          </cell>
          <cell r="H166">
            <v>198692</v>
          </cell>
        </row>
        <row r="167">
          <cell r="B167" t="str">
            <v>I. EQUIPO Y HERRAMIENTA</v>
          </cell>
          <cell r="H167">
            <v>1449.3830679267558</v>
          </cell>
        </row>
        <row r="168">
          <cell r="B168" t="str">
            <v>HTAMNR</v>
          </cell>
          <cell r="C168" t="str">
            <v>Herramienta y equipo menor</v>
          </cell>
          <cell r="D168" t="str">
            <v>%</v>
          </cell>
          <cell r="F168">
            <v>0.05</v>
          </cell>
          <cell r="G168">
            <v>22561.661358535115</v>
          </cell>
          <cell r="H168">
            <v>1128.0830679267558</v>
          </cell>
        </row>
        <row r="169">
          <cell r="B169" t="str">
            <v>EQ1220</v>
          </cell>
          <cell r="C169" t="str">
            <v>Vibrador a gasolina</v>
          </cell>
          <cell r="D169" t="str">
            <v>día</v>
          </cell>
          <cell r="E169">
            <v>0.01</v>
          </cell>
          <cell r="G169">
            <v>32130</v>
          </cell>
          <cell r="H169">
            <v>321.3</v>
          </cell>
        </row>
        <row r="170">
          <cell r="B170" t="str">
            <v>II. MATERIALES</v>
          </cell>
          <cell r="H170">
            <v>163381.16500000001</v>
          </cell>
        </row>
        <row r="171">
          <cell r="B171" t="str">
            <v>CT210KG</v>
          </cell>
          <cell r="C171" t="str">
            <v>Concreto 210kg/cm² 1:2:3</v>
          </cell>
          <cell r="D171" t="str">
            <v>m3</v>
          </cell>
          <cell r="E171">
            <v>5.5E-2</v>
          </cell>
          <cell r="G171">
            <v>583459</v>
          </cell>
          <cell r="H171">
            <v>32090.244999999999</v>
          </cell>
        </row>
        <row r="172">
          <cell r="B172" t="str">
            <v>MAT1300</v>
          </cell>
          <cell r="C172" t="str">
            <v>Formaleta Supert 15mm 183X244.</v>
          </cell>
          <cell r="D172" t="str">
            <v>m2</v>
          </cell>
          <cell r="E172">
            <v>0.75</v>
          </cell>
          <cell r="G172">
            <v>45900</v>
          </cell>
          <cell r="H172">
            <v>34425</v>
          </cell>
        </row>
        <row r="173">
          <cell r="B173" t="str">
            <v>MAT1095</v>
          </cell>
          <cell r="C173" t="str">
            <v>Clavo común 37.5 a 100 mm</v>
          </cell>
          <cell r="D173" t="str">
            <v>lb</v>
          </cell>
          <cell r="E173">
            <v>0.05</v>
          </cell>
          <cell r="G173">
            <v>9900</v>
          </cell>
          <cell r="H173">
            <v>495</v>
          </cell>
        </row>
        <row r="174">
          <cell r="B174" t="str">
            <v>AD1220</v>
          </cell>
          <cell r="C174" t="str">
            <v>Separol - N (20K) o similar</v>
          </cell>
          <cell r="D174" t="str">
            <v>kg</v>
          </cell>
          <cell r="E174">
            <v>1.2E-2</v>
          </cell>
          <cell r="G174">
            <v>17500</v>
          </cell>
          <cell r="H174">
            <v>210</v>
          </cell>
        </row>
        <row r="175">
          <cell r="B175" t="str">
            <v>MAT1245</v>
          </cell>
          <cell r="C175" t="str">
            <v>Pozuelo en acero inoxidable de 50x35 cm</v>
          </cell>
          <cell r="D175" t="str">
            <v>un</v>
          </cell>
          <cell r="E175">
            <v>0.4</v>
          </cell>
          <cell r="G175">
            <v>80000</v>
          </cell>
          <cell r="H175">
            <v>32000</v>
          </cell>
        </row>
        <row r="176">
          <cell r="B176" t="str">
            <v>MAT1135</v>
          </cell>
          <cell r="C176" t="str">
            <v>Grifería lavaplatos pico cisne tipo Dalia de Grival o similar</v>
          </cell>
          <cell r="D176" t="str">
            <v>un</v>
          </cell>
          <cell r="E176">
            <v>0.4</v>
          </cell>
          <cell r="G176">
            <v>57000</v>
          </cell>
          <cell r="H176">
            <v>22800</v>
          </cell>
        </row>
        <row r="177">
          <cell r="B177" t="str">
            <v>MAT1070</v>
          </cell>
          <cell r="C177" t="str">
            <v>Bloque de concreto 12x20x40 - 13 Mpa</v>
          </cell>
          <cell r="D177" t="str">
            <v>un</v>
          </cell>
          <cell r="E177">
            <v>9.6</v>
          </cell>
          <cell r="G177">
            <v>3200</v>
          </cell>
          <cell r="H177">
            <v>30720</v>
          </cell>
        </row>
        <row r="178">
          <cell r="B178" t="str">
            <v>CTM143</v>
          </cell>
          <cell r="C178" t="str">
            <v>Mortero de pega - SUBANALISIS</v>
          </cell>
          <cell r="D178" t="str">
            <v>m3</v>
          </cell>
          <cell r="E178">
            <v>0.02</v>
          </cell>
          <cell r="G178">
            <v>532046</v>
          </cell>
          <cell r="H178">
            <v>10640.92</v>
          </cell>
        </row>
        <row r="179">
          <cell r="B179" t="str">
            <v>III. TRANSPORTES</v>
          </cell>
          <cell r="E179" t="str">
            <v>Km</v>
          </cell>
          <cell r="F179" t="str">
            <v>PESO</v>
          </cell>
          <cell r="G179" t="str">
            <v>T/KM</v>
          </cell>
          <cell r="H179">
            <v>11300.289440204246</v>
          </cell>
        </row>
        <row r="180">
          <cell r="B180" t="str">
            <v>TR1070</v>
          </cell>
          <cell r="C180" t="str">
            <v xml:space="preserve">Transporte de materiales varios </v>
          </cell>
          <cell r="D180" t="str">
            <v>T/km</v>
          </cell>
          <cell r="E180">
            <v>130</v>
          </cell>
          <cell r="F180">
            <v>0.12417900483740929</v>
          </cell>
          <cell r="G180">
            <v>700</v>
          </cell>
          <cell r="H180">
            <v>11300.289440204246</v>
          </cell>
        </row>
        <row r="181">
          <cell r="B181" t="str">
            <v>IV. MANO DE OBRA</v>
          </cell>
          <cell r="H181">
            <v>22561.661358535115</v>
          </cell>
        </row>
        <row r="182">
          <cell r="B182" t="str">
            <v>MOFICIAL</v>
          </cell>
          <cell r="C182" t="str">
            <v>Mo oficial</v>
          </cell>
          <cell r="D182" t="str">
            <v>día</v>
          </cell>
          <cell r="E182">
            <v>0.12</v>
          </cell>
          <cell r="G182">
            <v>130525.11769031112</v>
          </cell>
          <cell r="H182">
            <v>15663.014122837334</v>
          </cell>
        </row>
        <row r="183">
          <cell r="B183" t="str">
            <v>MOAYUDR</v>
          </cell>
          <cell r="C183" t="str">
            <v>Mo ayudante raso</v>
          </cell>
          <cell r="D183" t="str">
            <v>día</v>
          </cell>
          <cell r="E183">
            <v>0.1</v>
          </cell>
          <cell r="G183">
            <v>68986.472356977785</v>
          </cell>
          <cell r="H183">
            <v>6898.6472356977793</v>
          </cell>
        </row>
        <row r="184">
          <cell r="B184" t="str">
            <v>3.7</v>
          </cell>
          <cell r="C184" t="str">
            <v>Construcción de mesón en concreto de 21MPa de ancho 0.60m, espesor 0.10m, altura 0.90m. La superficie debe de quedar pulida con llana metálica. Incluye muros de apoyo en mampostería en bloque de concreto formato 0,12x0,20x0,40m.</v>
          </cell>
          <cell r="D184" t="str">
            <v>m</v>
          </cell>
          <cell r="E184" t="e">
            <v>#N/A</v>
          </cell>
          <cell r="G184" t="str">
            <v/>
          </cell>
          <cell r="H184">
            <v>132592</v>
          </cell>
        </row>
        <row r="185">
          <cell r="B185" t="str">
            <v>I. EQUIPO Y HERRAMIENTA</v>
          </cell>
          <cell r="H185">
            <v>1449.3830679267558</v>
          </cell>
        </row>
        <row r="186">
          <cell r="B186" t="str">
            <v>HTAMNR</v>
          </cell>
          <cell r="C186" t="str">
            <v>Herramienta y equipo menor</v>
          </cell>
          <cell r="D186" t="str">
            <v>%</v>
          </cell>
          <cell r="F186">
            <v>0.05</v>
          </cell>
          <cell r="G186">
            <v>22561.661358535115</v>
          </cell>
          <cell r="H186">
            <v>1128.0830679267558</v>
          </cell>
        </row>
        <row r="187">
          <cell r="B187" t="str">
            <v>EQ1220</v>
          </cell>
          <cell r="C187" t="str">
            <v>Vibrador a gasolina</v>
          </cell>
          <cell r="D187" t="str">
            <v>día</v>
          </cell>
          <cell r="E187">
            <v>0.01</v>
          </cell>
          <cell r="G187">
            <v>32130</v>
          </cell>
          <cell r="H187">
            <v>321.3</v>
          </cell>
        </row>
        <row r="188">
          <cell r="B188" t="str">
            <v>II. MATERIALES</v>
          </cell>
          <cell r="H188">
            <v>108581.16499999999</v>
          </cell>
        </row>
        <row r="189">
          <cell r="B189" t="str">
            <v>CT210KG</v>
          </cell>
          <cell r="C189" t="str">
            <v>Concreto 210kg/cm² 1:2:3</v>
          </cell>
          <cell r="D189" t="str">
            <v>m3</v>
          </cell>
          <cell r="E189">
            <v>5.5E-2</v>
          </cell>
          <cell r="G189">
            <v>583459</v>
          </cell>
          <cell r="H189">
            <v>32090.244999999999</v>
          </cell>
        </row>
        <row r="190">
          <cell r="B190" t="str">
            <v>MAT1300</v>
          </cell>
          <cell r="C190" t="str">
            <v>Formaleta Supert 15mm 183X244.</v>
          </cell>
          <cell r="D190" t="str">
            <v>m2</v>
          </cell>
          <cell r="E190">
            <v>0.75</v>
          </cell>
          <cell r="G190">
            <v>45900</v>
          </cell>
          <cell r="H190">
            <v>34425</v>
          </cell>
        </row>
        <row r="191">
          <cell r="B191" t="str">
            <v>MAT1095</v>
          </cell>
          <cell r="C191" t="str">
            <v>Clavo común 37.5 a 100 mm</v>
          </cell>
          <cell r="D191" t="str">
            <v>lb</v>
          </cell>
          <cell r="E191">
            <v>0.05</v>
          </cell>
          <cell r="G191">
            <v>9900</v>
          </cell>
          <cell r="H191">
            <v>495</v>
          </cell>
        </row>
        <row r="192">
          <cell r="B192" t="str">
            <v>AD1220</v>
          </cell>
          <cell r="C192" t="str">
            <v>Separol - N (20K) o similar</v>
          </cell>
          <cell r="D192" t="str">
            <v>kg</v>
          </cell>
          <cell r="E192">
            <v>1.2E-2</v>
          </cell>
          <cell r="G192">
            <v>17500</v>
          </cell>
          <cell r="H192">
            <v>210</v>
          </cell>
        </row>
        <row r="193">
          <cell r="B193" t="str">
            <v>MAT1070</v>
          </cell>
          <cell r="C193" t="str">
            <v>Bloque de concreto 12x20x40 - 13 Mpa</v>
          </cell>
          <cell r="D193" t="str">
            <v>un</v>
          </cell>
          <cell r="E193">
            <v>9.6</v>
          </cell>
          <cell r="G193">
            <v>3200</v>
          </cell>
          <cell r="H193">
            <v>30720</v>
          </cell>
        </row>
        <row r="194">
          <cell r="B194" t="str">
            <v>CTM143</v>
          </cell>
          <cell r="C194" t="str">
            <v>Mortero de pega - SUBANALISIS</v>
          </cell>
          <cell r="D194" t="str">
            <v>m3</v>
          </cell>
          <cell r="E194">
            <v>0.02</v>
          </cell>
          <cell r="G194">
            <v>532046</v>
          </cell>
          <cell r="H194">
            <v>10640.92</v>
          </cell>
        </row>
        <row r="195">
          <cell r="B195" t="str">
            <v>III. TRANSPORTES</v>
          </cell>
          <cell r="E195" t="str">
            <v>Km</v>
          </cell>
          <cell r="F195" t="str">
            <v>PESO</v>
          </cell>
          <cell r="G195" t="str">
            <v>T/KM</v>
          </cell>
          <cell r="H195">
            <v>0</v>
          </cell>
        </row>
        <row r="196">
          <cell r="B196" t="str">
            <v>TR1070</v>
          </cell>
          <cell r="C196" t="str">
            <v xml:space="preserve">Transporte de materiales varios </v>
          </cell>
          <cell r="D196" t="str">
            <v>T/km</v>
          </cell>
          <cell r="E196">
            <v>130</v>
          </cell>
          <cell r="F196" t="e">
            <v>#N/A</v>
          </cell>
          <cell r="G196">
            <v>700</v>
          </cell>
          <cell r="H196" t="str">
            <v/>
          </cell>
        </row>
        <row r="197">
          <cell r="B197" t="str">
            <v>IV. MANO DE OBRA</v>
          </cell>
          <cell r="H197">
            <v>22561.661358535115</v>
          </cell>
        </row>
        <row r="198">
          <cell r="B198" t="str">
            <v>MOFICIAL</v>
          </cell>
          <cell r="C198" t="str">
            <v>Mo oficial</v>
          </cell>
          <cell r="D198" t="str">
            <v>día</v>
          </cell>
          <cell r="E198">
            <v>0.12</v>
          </cell>
          <cell r="G198">
            <v>130525.11769031112</v>
          </cell>
          <cell r="H198">
            <v>15663.014122837334</v>
          </cell>
        </row>
        <row r="199">
          <cell r="B199" t="str">
            <v>MOAYUDR</v>
          </cell>
          <cell r="C199" t="str">
            <v>Mo ayudante raso</v>
          </cell>
          <cell r="D199" t="str">
            <v>día</v>
          </cell>
          <cell r="E199">
            <v>0.1</v>
          </cell>
          <cell r="G199">
            <v>68986.472356977785</v>
          </cell>
          <cell r="H199">
            <v>6898.6472356977793</v>
          </cell>
        </row>
        <row r="200">
          <cell r="B200" t="str">
            <v>3.8</v>
          </cell>
          <cell r="C200" t="str">
            <v>Vaciado de viga sillar en concreto de 21MPa vaciada al interior de unidad de mampostería en U. Incluye todo lo necesario para su correcta instalación. El acero se paga en el ítem respectivo.</v>
          </cell>
          <cell r="D200" t="str">
            <v>m</v>
          </cell>
          <cell r="E200">
            <v>10</v>
          </cell>
          <cell r="G200" t="str">
            <v/>
          </cell>
          <cell r="H200">
            <v>46187</v>
          </cell>
        </row>
        <row r="201">
          <cell r="B201" t="str">
            <v>I. EQUIPO Y HERRAMIENTA</v>
          </cell>
          <cell r="H201">
            <v>985.09732898702237</v>
          </cell>
        </row>
        <row r="202">
          <cell r="B202" t="str">
            <v>HTAMNR</v>
          </cell>
          <cell r="C202" t="str">
            <v>Herramienta y equipo menor</v>
          </cell>
          <cell r="D202" t="str">
            <v>%</v>
          </cell>
          <cell r="F202">
            <v>0.05</v>
          </cell>
          <cell r="G202">
            <v>13275.946579740446</v>
          </cell>
          <cell r="H202">
            <v>663.79732898702241</v>
          </cell>
        </row>
        <row r="203">
          <cell r="B203" t="str">
            <v>EQ1220</v>
          </cell>
          <cell r="C203" t="str">
            <v>Vibrador a gasolina</v>
          </cell>
          <cell r="D203" t="str">
            <v>día</v>
          </cell>
          <cell r="E203">
            <v>0.01</v>
          </cell>
          <cell r="G203">
            <v>32130</v>
          </cell>
          <cell r="H203">
            <v>321.3</v>
          </cell>
        </row>
        <row r="204">
          <cell r="B204" t="str">
            <v>II. MATERIALES</v>
          </cell>
          <cell r="H204">
            <v>23892.050999999999</v>
          </cell>
        </row>
        <row r="205">
          <cell r="B205" t="str">
            <v>CT210KG</v>
          </cell>
          <cell r="C205" t="str">
            <v>Concreto 210kg/cm² 1:2:3</v>
          </cell>
          <cell r="D205" t="str">
            <v>m3</v>
          </cell>
          <cell r="E205">
            <v>8.9999999999999993E-3</v>
          </cell>
          <cell r="G205">
            <v>583459</v>
          </cell>
          <cell r="H205">
            <v>5251.1309999999994</v>
          </cell>
        </row>
        <row r="206">
          <cell r="B206" t="str">
            <v>MAT1070</v>
          </cell>
          <cell r="C206" t="str">
            <v>Bloque de concreto 12x20x40 - 13 Mpa</v>
          </cell>
          <cell r="D206" t="str">
            <v>un</v>
          </cell>
          <cell r="E206">
            <v>2.5</v>
          </cell>
          <cell r="G206">
            <v>3200</v>
          </cell>
          <cell r="H206">
            <v>8000</v>
          </cell>
        </row>
        <row r="207">
          <cell r="B207" t="str">
            <v>CTM143</v>
          </cell>
          <cell r="C207" t="str">
            <v>Mortero de pega - SUBANALISIS</v>
          </cell>
          <cell r="D207" t="str">
            <v>m3</v>
          </cell>
          <cell r="E207">
            <v>0.02</v>
          </cell>
          <cell r="G207">
            <v>532046</v>
          </cell>
          <cell r="H207">
            <v>10640.92</v>
          </cell>
        </row>
        <row r="208">
          <cell r="B208" t="str">
            <v>III. TRANSPORTES</v>
          </cell>
          <cell r="E208" t="str">
            <v>Km</v>
          </cell>
          <cell r="F208" t="str">
            <v>PESO</v>
          </cell>
          <cell r="G208" t="str">
            <v>T/KM</v>
          </cell>
          <cell r="H208">
            <v>8033.48</v>
          </cell>
        </row>
        <row r="209">
          <cell r="B209" t="str">
            <v>TR1070</v>
          </cell>
          <cell r="C209" t="str">
            <v xml:space="preserve">Transporte de materiales varios </v>
          </cell>
          <cell r="D209" t="str">
            <v>T/km</v>
          </cell>
          <cell r="E209">
            <v>130</v>
          </cell>
          <cell r="F209">
            <v>8.8279999999999997E-2</v>
          </cell>
          <cell r="G209">
            <v>700</v>
          </cell>
          <cell r="H209">
            <v>8033.48</v>
          </cell>
        </row>
        <row r="210">
          <cell r="B210" t="str">
            <v>IV. MANO DE OBRA</v>
          </cell>
          <cell r="H210">
            <v>13275.946579740446</v>
          </cell>
        </row>
        <row r="211">
          <cell r="B211" t="str">
            <v>MOFICIAL</v>
          </cell>
          <cell r="C211" t="str">
            <v>Mo oficial</v>
          </cell>
          <cell r="D211" t="str">
            <v>día</v>
          </cell>
          <cell r="E211">
            <v>7.0000000000000007E-2</v>
          </cell>
          <cell r="G211">
            <v>130525.11769031112</v>
          </cell>
          <cell r="H211">
            <v>9136.7582383217796</v>
          </cell>
        </row>
        <row r="212">
          <cell r="B212" t="str">
            <v>MOAYUDR</v>
          </cell>
          <cell r="C212" t="str">
            <v>Mo ayudante raso</v>
          </cell>
          <cell r="D212" t="str">
            <v>día</v>
          </cell>
          <cell r="E212">
            <v>0.06</v>
          </cell>
          <cell r="G212">
            <v>68986.472356977785</v>
          </cell>
          <cell r="H212">
            <v>4139.1883414186668</v>
          </cell>
        </row>
        <row r="213">
          <cell r="B213" t="str">
            <v>3.9</v>
          </cell>
          <cell r="C213" t="str">
            <v>Construcción de losa aérea en concreto de 21MPa para soporte de tanque de agua, acabado escobillado, e=0.08m, doble malla electrosoldada D106. Incluye formaleta, equipo y todo lo necesario para su correcta colocación y funcionamiento. El acero se paga en el ítem respectivo.</v>
          </cell>
          <cell r="D213" t="str">
            <v>m2</v>
          </cell>
          <cell r="E213">
            <v>1.2</v>
          </cell>
          <cell r="G213" t="str">
            <v/>
          </cell>
          <cell r="H213">
            <v>101799</v>
          </cell>
        </row>
        <row r="214">
          <cell r="B214" t="str">
            <v>I. EQUIPO Y HERRAMIENTA</v>
          </cell>
          <cell r="H214">
            <v>985.09732898702237</v>
          </cell>
        </row>
        <row r="215">
          <cell r="B215" t="str">
            <v>HTAMNR</v>
          </cell>
          <cell r="C215" t="str">
            <v>Herramienta y equipo menor</v>
          </cell>
          <cell r="D215" t="str">
            <v>%</v>
          </cell>
          <cell r="F215">
            <v>0.05</v>
          </cell>
          <cell r="G215">
            <v>13275.946579740446</v>
          </cell>
          <cell r="H215">
            <v>663.79732898702241</v>
          </cell>
        </row>
        <row r="216">
          <cell r="B216" t="str">
            <v>EQ1220</v>
          </cell>
          <cell r="C216" t="str">
            <v>Vibrador a gasolina</v>
          </cell>
          <cell r="D216" t="str">
            <v>día</v>
          </cell>
          <cell r="E216">
            <v>0.01</v>
          </cell>
          <cell r="G216">
            <v>32130</v>
          </cell>
          <cell r="H216">
            <v>321.3</v>
          </cell>
        </row>
        <row r="217">
          <cell r="B217" t="str">
            <v>II. MATERIALES</v>
          </cell>
          <cell r="H217">
            <v>68553.72</v>
          </cell>
        </row>
        <row r="218">
          <cell r="B218" t="str">
            <v>CT210KG</v>
          </cell>
          <cell r="C218" t="str">
            <v>Concreto 210kg/cm² 1:2:3</v>
          </cell>
          <cell r="D218" t="str">
            <v>m3</v>
          </cell>
          <cell r="E218">
            <v>0.08</v>
          </cell>
          <cell r="G218">
            <v>583459</v>
          </cell>
          <cell r="H218">
            <v>46676.72</v>
          </cell>
        </row>
        <row r="219">
          <cell r="B219" t="str">
            <v>MAT1295</v>
          </cell>
          <cell r="C219" t="str">
            <v>Tabla madera común 1x8" 3m</v>
          </cell>
          <cell r="D219" t="str">
            <v>un</v>
          </cell>
          <cell r="E219">
            <v>1.66</v>
          </cell>
          <cell r="G219">
            <v>13000</v>
          </cell>
          <cell r="H219">
            <v>21580</v>
          </cell>
        </row>
        <row r="220">
          <cell r="B220" t="str">
            <v>MAT1095</v>
          </cell>
          <cell r="C220" t="str">
            <v>Clavo común 37.5 a 100 mm</v>
          </cell>
          <cell r="D220" t="str">
            <v>lb</v>
          </cell>
          <cell r="E220">
            <v>0.03</v>
          </cell>
          <cell r="G220">
            <v>9900</v>
          </cell>
          <cell r="H220">
            <v>297</v>
          </cell>
        </row>
        <row r="221">
          <cell r="B221" t="str">
            <v>III. TRANSPORTES</v>
          </cell>
          <cell r="E221" t="str">
            <v>Km</v>
          </cell>
          <cell r="F221" t="str">
            <v>PESO</v>
          </cell>
          <cell r="G221" t="str">
            <v>T/KM</v>
          </cell>
          <cell r="H221">
            <v>18983.965000000004</v>
          </cell>
        </row>
        <row r="222">
          <cell r="B222" t="str">
            <v>TR1070</v>
          </cell>
          <cell r="C222" t="str">
            <v xml:space="preserve">Transporte de materiales varios </v>
          </cell>
          <cell r="D222" t="str">
            <v>T/km</v>
          </cell>
          <cell r="E222">
            <v>130</v>
          </cell>
          <cell r="F222">
            <v>0.20861500000000002</v>
          </cell>
          <cell r="G222">
            <v>700</v>
          </cell>
          <cell r="H222">
            <v>18983.965000000004</v>
          </cell>
        </row>
        <row r="223">
          <cell r="B223" t="str">
            <v>IV. MANO DE OBRA</v>
          </cell>
          <cell r="H223">
            <v>13275.946579740446</v>
          </cell>
        </row>
        <row r="224">
          <cell r="B224" t="str">
            <v>MOFICIAL</v>
          </cell>
          <cell r="C224" t="str">
            <v>Mo oficial</v>
          </cell>
          <cell r="D224" t="str">
            <v>día</v>
          </cell>
          <cell r="E224">
            <v>7.0000000000000007E-2</v>
          </cell>
          <cell r="G224">
            <v>130525.11769031112</v>
          </cell>
          <cell r="H224">
            <v>9136.7582383217796</v>
          </cell>
        </row>
        <row r="225">
          <cell r="B225" t="str">
            <v>MOAYUDR</v>
          </cell>
          <cell r="C225" t="str">
            <v>Mo ayudante raso</v>
          </cell>
          <cell r="D225" t="str">
            <v>día</v>
          </cell>
          <cell r="E225">
            <v>0.06</v>
          </cell>
          <cell r="G225">
            <v>68986.472356977785</v>
          </cell>
          <cell r="H225">
            <v>4139.1883414186668</v>
          </cell>
        </row>
        <row r="226">
          <cell r="B226" t="str">
            <v>4.</v>
          </cell>
          <cell r="C226" t="str">
            <v>ACERO DE REFUERZO</v>
          </cell>
          <cell r="D226" t="str">
            <v/>
          </cell>
          <cell r="G226" t="str">
            <v/>
          </cell>
          <cell r="H226" t="str">
            <v/>
          </cell>
        </row>
        <row r="227">
          <cell r="B227" t="str">
            <v>4.1</v>
          </cell>
          <cell r="C227"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27" t="str">
            <v>kg</v>
          </cell>
          <cell r="E227">
            <v>985.53</v>
          </cell>
          <cell r="G227" t="str">
            <v/>
          </cell>
          <cell r="H227">
            <v>6385</v>
          </cell>
        </row>
        <row r="228">
          <cell r="B228" t="str">
            <v>I. EQUIPO Y HERRAMIENTA</v>
          </cell>
          <cell r="H228">
            <v>26.105023538062227</v>
          </cell>
        </row>
        <row r="229">
          <cell r="B229" t="str">
            <v>HTAMNR</v>
          </cell>
          <cell r="C229" t="str">
            <v>Herramienta y equipo menor</v>
          </cell>
          <cell r="D229" t="str">
            <v>%</v>
          </cell>
          <cell r="F229">
            <v>0.05</v>
          </cell>
          <cell r="G229">
            <v>522.10047076124454</v>
          </cell>
          <cell r="H229">
            <v>26.105023538062227</v>
          </cell>
        </row>
        <row r="230">
          <cell r="B230" t="str">
            <v>II. MATERIALES</v>
          </cell>
          <cell r="H230">
            <v>5685</v>
          </cell>
        </row>
        <row r="231">
          <cell r="B231" t="str">
            <v>RF1005</v>
          </cell>
          <cell r="C231" t="str">
            <v>Acero G-60 Figurado</v>
          </cell>
          <cell r="D231" t="str">
            <v>Kg</v>
          </cell>
          <cell r="E231">
            <v>1</v>
          </cell>
          <cell r="G231">
            <v>5490</v>
          </cell>
          <cell r="H231">
            <v>5490</v>
          </cell>
        </row>
        <row r="232">
          <cell r="B232" t="str">
            <v>RF1000</v>
          </cell>
          <cell r="C232" t="str">
            <v>Alambre negro recocido</v>
          </cell>
          <cell r="D232" t="str">
            <v>kg</v>
          </cell>
          <cell r="E232">
            <v>0.03</v>
          </cell>
          <cell r="G232">
            <v>6500</v>
          </cell>
          <cell r="H232">
            <v>195</v>
          </cell>
        </row>
        <row r="233">
          <cell r="B233" t="str">
            <v>III. TRANSPORTES</v>
          </cell>
          <cell r="E233" t="str">
            <v>Km</v>
          </cell>
          <cell r="F233" t="str">
            <v>PESO</v>
          </cell>
          <cell r="G233" t="str">
            <v>T/KM</v>
          </cell>
          <cell r="H233">
            <v>151.41000000000003</v>
          </cell>
        </row>
        <row r="234">
          <cell r="B234" t="str">
            <v>TR1070</v>
          </cell>
          <cell r="C234" t="str">
            <v xml:space="preserve">Transporte de materiales varios </v>
          </cell>
          <cell r="D234" t="str">
            <v>T/km</v>
          </cell>
          <cell r="E234">
            <v>210</v>
          </cell>
          <cell r="F234">
            <v>1.0300000000000001E-3</v>
          </cell>
          <cell r="G234">
            <v>700</v>
          </cell>
          <cell r="H234">
            <v>151.41000000000003</v>
          </cell>
        </row>
        <row r="235">
          <cell r="B235" t="str">
            <v>IV. MANO DE OBRA</v>
          </cell>
          <cell r="H235">
            <v>522.10047076124454</v>
          </cell>
        </row>
        <row r="236">
          <cell r="B236" t="str">
            <v>MOFICIAL</v>
          </cell>
          <cell r="C236" t="str">
            <v>Mo oficial</v>
          </cell>
          <cell r="D236" t="str">
            <v>día</v>
          </cell>
          <cell r="E236">
            <v>4.0000000000000001E-3</v>
          </cell>
          <cell r="G236">
            <v>130525.11769031112</v>
          </cell>
          <cell r="H236">
            <v>522.10047076124454</v>
          </cell>
        </row>
        <row r="237">
          <cell r="B237" t="str">
            <v>4.2</v>
          </cell>
          <cell r="C237" t="str">
            <v>Colocación de malla electrosoldada D106 o equivalente. Incluye el suministro y el transporte del material y todos los elementos necesarios para su correcta colocación.</v>
          </cell>
          <cell r="D237" t="str">
            <v>m2</v>
          </cell>
          <cell r="E237">
            <v>52.75</v>
          </cell>
          <cell r="G237" t="str">
            <v/>
          </cell>
          <cell r="H237">
            <v>9416</v>
          </cell>
        </row>
        <row r="238">
          <cell r="B238" t="str">
            <v>I. EQUIPO Y HERRAMIENTA</v>
          </cell>
          <cell r="H238">
            <v>26.105023538062227</v>
          </cell>
        </row>
        <row r="239">
          <cell r="B239" t="str">
            <v>HTAMNR</v>
          </cell>
          <cell r="C239" t="str">
            <v>Herramienta y equipo menor</v>
          </cell>
          <cell r="D239" t="str">
            <v>%</v>
          </cell>
          <cell r="F239">
            <v>0.05</v>
          </cell>
          <cell r="G239">
            <v>522.10047076124454</v>
          </cell>
          <cell r="H239">
            <v>26.105023538062227</v>
          </cell>
        </row>
        <row r="240">
          <cell r="B240" t="str">
            <v>II. MATERIALES</v>
          </cell>
          <cell r="H240">
            <v>8753.732</v>
          </cell>
        </row>
        <row r="241">
          <cell r="B241" t="str">
            <v>RF1100</v>
          </cell>
          <cell r="C241" t="str">
            <v>Malla electrosoldada D-106 (2,35m x 6m)</v>
          </cell>
          <cell r="D241" t="str">
            <v>un</v>
          </cell>
          <cell r="E241">
            <v>7.0999999999999994E-2</v>
          </cell>
          <cell r="G241">
            <v>123292</v>
          </cell>
          <cell r="H241">
            <v>8753.732</v>
          </cell>
        </row>
        <row r="242">
          <cell r="B242" t="str">
            <v>III. TRANSPORTES</v>
          </cell>
          <cell r="E242" t="str">
            <v>Km</v>
          </cell>
          <cell r="F242" t="str">
            <v>PESO</v>
          </cell>
          <cell r="G242" t="str">
            <v>T/KM</v>
          </cell>
          <cell r="H242">
            <v>113.71359999999999</v>
          </cell>
        </row>
        <row r="243">
          <cell r="B243" t="str">
            <v>TR1070</v>
          </cell>
          <cell r="C243" t="str">
            <v xml:space="preserve">Transporte de materiales varios </v>
          </cell>
          <cell r="D243" t="str">
            <v>T/km</v>
          </cell>
          <cell r="E243">
            <v>130</v>
          </cell>
          <cell r="F243">
            <v>1.2495999999999998E-3</v>
          </cell>
          <cell r="G243">
            <v>700</v>
          </cell>
          <cell r="H243">
            <v>113.71359999999999</v>
          </cell>
        </row>
        <row r="244">
          <cell r="B244" t="str">
            <v>IV. MANO DE OBRA</v>
          </cell>
          <cell r="H244">
            <v>522.10047076124454</v>
          </cell>
        </row>
        <row r="245">
          <cell r="B245" t="str">
            <v>MOFICIAL</v>
          </cell>
          <cell r="C245" t="str">
            <v>Mo oficial</v>
          </cell>
          <cell r="D245" t="str">
            <v>día</v>
          </cell>
          <cell r="E245">
            <v>4.0000000000000001E-3</v>
          </cell>
          <cell r="G245">
            <v>130525.11769031112</v>
          </cell>
          <cell r="H245">
            <v>522.10047076124454</v>
          </cell>
        </row>
        <row r="246">
          <cell r="B246" t="str">
            <v>5.</v>
          </cell>
          <cell r="C246" t="str">
            <v>MAMPOSTERIA Y ELEMENTOS NO ESTRUCTURALES</v>
          </cell>
          <cell r="D246" t="str">
            <v/>
          </cell>
          <cell r="G246" t="str">
            <v/>
          </cell>
        </row>
        <row r="247">
          <cell r="B247" t="str">
            <v>5.1</v>
          </cell>
          <cell r="C247"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47" t="str">
            <v>m2</v>
          </cell>
          <cell r="E247">
            <v>70.95</v>
          </cell>
          <cell r="G247" t="str">
            <v/>
          </cell>
          <cell r="H247">
            <v>83963</v>
          </cell>
        </row>
        <row r="248">
          <cell r="B248" t="str">
            <v>I. EQUIPO Y HERRAMIENTA</v>
          </cell>
          <cell r="H248">
            <v>1319.8292104988445</v>
          </cell>
        </row>
        <row r="249">
          <cell r="B249" t="str">
            <v>HTAMNR</v>
          </cell>
          <cell r="C249" t="str">
            <v>Herramienta y equipo menor</v>
          </cell>
          <cell r="D249" t="str">
            <v>%</v>
          </cell>
          <cell r="F249">
            <v>0.05</v>
          </cell>
          <cell r="G249">
            <v>15196.584209976891</v>
          </cell>
          <cell r="H249">
            <v>759.82921049884453</v>
          </cell>
        </row>
        <row r="250">
          <cell r="B250" t="str">
            <v>MAT1290</v>
          </cell>
          <cell r="C250" t="str">
            <v>Sección completa andamio 1.20x1.50m</v>
          </cell>
          <cell r="D250" t="str">
            <v>día</v>
          </cell>
          <cell r="E250">
            <v>0.4</v>
          </cell>
          <cell r="G250">
            <v>1400</v>
          </cell>
          <cell r="H250">
            <v>560</v>
          </cell>
        </row>
        <row r="251">
          <cell r="B251" t="str">
            <v>II. MATERIALES</v>
          </cell>
          <cell r="H251">
            <v>50640.92</v>
          </cell>
        </row>
        <row r="252">
          <cell r="B252" t="str">
            <v>MAT1070</v>
          </cell>
          <cell r="C252" t="str">
            <v>Bloque de concreto 12x20x40 - 13 Mpa</v>
          </cell>
          <cell r="D252" t="str">
            <v>un</v>
          </cell>
          <cell r="E252">
            <v>12.5</v>
          </cell>
          <cell r="G252">
            <v>3200</v>
          </cell>
          <cell r="H252">
            <v>40000</v>
          </cell>
        </row>
        <row r="253">
          <cell r="B253" t="str">
            <v>CTM143</v>
          </cell>
          <cell r="C253" t="str">
            <v>Mortero de pega - SUBANALISIS</v>
          </cell>
          <cell r="D253" t="str">
            <v>m3</v>
          </cell>
          <cell r="E253">
            <v>0.02</v>
          </cell>
          <cell r="G253">
            <v>532046</v>
          </cell>
          <cell r="H253">
            <v>10640.92</v>
          </cell>
        </row>
        <row r="254">
          <cell r="B254" t="str">
            <v>III. TRANSPORTES</v>
          </cell>
          <cell r="E254" t="str">
            <v>Km</v>
          </cell>
          <cell r="F254" t="str">
            <v>PESO</v>
          </cell>
          <cell r="G254" t="str">
            <v>T/KM</v>
          </cell>
          <cell r="H254">
            <v>16805.88</v>
          </cell>
        </row>
        <row r="255">
          <cell r="B255" t="str">
            <v>TR1070</v>
          </cell>
          <cell r="C255" t="str">
            <v xml:space="preserve">Transporte de materiales varios </v>
          </cell>
          <cell r="D255" t="str">
            <v>T/km</v>
          </cell>
          <cell r="E255">
            <v>130</v>
          </cell>
          <cell r="F255">
            <v>0.18468000000000001</v>
          </cell>
          <cell r="G255">
            <v>700</v>
          </cell>
          <cell r="H255">
            <v>16805.88</v>
          </cell>
        </row>
        <row r="256">
          <cell r="B256" t="str">
            <v>IV. MANO DE OBRA</v>
          </cell>
          <cell r="H256">
            <v>15196.584209976891</v>
          </cell>
        </row>
        <row r="257">
          <cell r="B257" t="str">
            <v>MOFICIAL</v>
          </cell>
          <cell r="C257" t="str">
            <v>Mo oficial</v>
          </cell>
          <cell r="D257" t="str">
            <v>día</v>
          </cell>
          <cell r="E257">
            <v>0.09</v>
          </cell>
          <cell r="G257">
            <v>130525.11769031112</v>
          </cell>
          <cell r="H257">
            <v>11747.260592128001</v>
          </cell>
        </row>
        <row r="258">
          <cell r="B258" t="str">
            <v>MOAYUDR</v>
          </cell>
          <cell r="C258" t="str">
            <v>Mo ayudante raso</v>
          </cell>
          <cell r="D258" t="str">
            <v>día</v>
          </cell>
          <cell r="E258">
            <v>0.05</v>
          </cell>
          <cell r="G258">
            <v>68986.472356977785</v>
          </cell>
          <cell r="H258">
            <v>3449.3236178488896</v>
          </cell>
        </row>
        <row r="259">
          <cell r="B259" t="str">
            <v>5.2</v>
          </cell>
          <cell r="C259"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259" t="str">
            <v>m2</v>
          </cell>
          <cell r="E259">
            <v>2.72</v>
          </cell>
          <cell r="G259" t="str">
            <v/>
          </cell>
          <cell r="H259">
            <v>100503</v>
          </cell>
        </row>
        <row r="260">
          <cell r="B260" t="str">
            <v>I. EQUIPO Y HERRAMIENTA</v>
          </cell>
          <cell r="H260">
            <v>1289.059887832178</v>
          </cell>
        </row>
        <row r="261">
          <cell r="B261" t="str">
            <v>HTAMNR</v>
          </cell>
          <cell r="C261" t="str">
            <v>Herramienta y equipo menor</v>
          </cell>
          <cell r="D261" t="str">
            <v>%</v>
          </cell>
          <cell r="F261">
            <v>0.05</v>
          </cell>
          <cell r="G261">
            <v>14581.197756643556</v>
          </cell>
          <cell r="H261">
            <v>729.05988783217788</v>
          </cell>
        </row>
        <row r="262">
          <cell r="B262" t="str">
            <v>MAT1290</v>
          </cell>
          <cell r="C262" t="str">
            <v>Sección completa andamio 1.20x1.50m</v>
          </cell>
          <cell r="D262" t="str">
            <v>día</v>
          </cell>
          <cell r="E262">
            <v>0.4</v>
          </cell>
          <cell r="G262">
            <v>1400</v>
          </cell>
          <cell r="H262">
            <v>560</v>
          </cell>
        </row>
        <row r="263">
          <cell r="B263" t="str">
            <v>II. MATERIALES</v>
          </cell>
          <cell r="H263">
            <v>73740.92</v>
          </cell>
        </row>
        <row r="264">
          <cell r="B264" t="str">
            <v>MAT1060</v>
          </cell>
          <cell r="C264" t="str">
            <v>Bloque calado 10x20x20</v>
          </cell>
          <cell r="D264" t="str">
            <v>un</v>
          </cell>
          <cell r="E264">
            <v>25</v>
          </cell>
          <cell r="G264">
            <v>2300</v>
          </cell>
          <cell r="H264">
            <v>57500</v>
          </cell>
        </row>
        <row r="265">
          <cell r="B265" t="str">
            <v>CTM143</v>
          </cell>
          <cell r="C265" t="str">
            <v>Mortero de pega - SUBANALISIS</v>
          </cell>
          <cell r="D265" t="str">
            <v>m3</v>
          </cell>
          <cell r="E265">
            <v>0.02</v>
          </cell>
          <cell r="G265">
            <v>532046</v>
          </cell>
          <cell r="H265">
            <v>10640.92</v>
          </cell>
        </row>
        <row r="266">
          <cell r="B266" t="str">
            <v>MAT1398</v>
          </cell>
          <cell r="C266" t="str">
            <v xml:space="preserve">Angeo plastico Gris </v>
          </cell>
          <cell r="D266" t="str">
            <v>m2</v>
          </cell>
          <cell r="E266">
            <v>1</v>
          </cell>
          <cell r="G266">
            <v>5600</v>
          </cell>
          <cell r="H266">
            <v>5600</v>
          </cell>
        </row>
        <row r="267">
          <cell r="B267" t="str">
            <v>III. TRANSPORTES</v>
          </cell>
          <cell r="E267" t="str">
            <v>Km</v>
          </cell>
          <cell r="F267" t="str">
            <v>PESO</v>
          </cell>
          <cell r="G267" t="str">
            <v>T/KM</v>
          </cell>
          <cell r="H267">
            <v>10891.79</v>
          </cell>
        </row>
        <row r="268">
          <cell r="B268" t="str">
            <v>TR1070</v>
          </cell>
          <cell r="C268" t="str">
            <v xml:space="preserve">Transporte de materiales varios </v>
          </cell>
          <cell r="D268" t="str">
            <v>T/km</v>
          </cell>
          <cell r="E268">
            <v>130</v>
          </cell>
          <cell r="F268">
            <v>0.11969000000000002</v>
          </cell>
          <cell r="G268">
            <v>700</v>
          </cell>
          <cell r="H268">
            <v>10891.79</v>
          </cell>
        </row>
        <row r="269">
          <cell r="B269" t="str">
            <v>IV. MANO DE OBRA</v>
          </cell>
          <cell r="H269">
            <v>14581.197756643556</v>
          </cell>
        </row>
        <row r="270">
          <cell r="B270" t="str">
            <v>MOFICIAL</v>
          </cell>
          <cell r="C270" t="str">
            <v>Mo oficial</v>
          </cell>
          <cell r="D270" t="str">
            <v>día</v>
          </cell>
          <cell r="E270">
            <v>0.08</v>
          </cell>
          <cell r="G270">
            <v>130525.11769031112</v>
          </cell>
          <cell r="H270">
            <v>10442.009415224889</v>
          </cell>
        </row>
        <row r="271">
          <cell r="B271" t="str">
            <v>MOAYUDR</v>
          </cell>
          <cell r="C271" t="str">
            <v>Mo ayudante raso</v>
          </cell>
          <cell r="D271" t="str">
            <v>día</v>
          </cell>
          <cell r="E271">
            <v>0.06</v>
          </cell>
          <cell r="G271">
            <v>68986.472356977785</v>
          </cell>
          <cell r="H271">
            <v>4139.1883414186668</v>
          </cell>
        </row>
        <row r="272">
          <cell r="B272" t="str">
            <v>5.3</v>
          </cell>
          <cell r="C272" t="str">
            <v>Revoque para adecuación de superficie para instalación de enchape en zona de baño y lavadero.</v>
          </cell>
          <cell r="D272" t="str">
            <v>m2</v>
          </cell>
          <cell r="E272">
            <v>6.44</v>
          </cell>
          <cell r="G272" t="str">
            <v/>
          </cell>
          <cell r="H272">
            <v>22239</v>
          </cell>
        </row>
        <row r="273">
          <cell r="B273" t="str">
            <v>I. EQUIPO Y HERRAMIENTA</v>
          </cell>
          <cell r="H273">
            <v>924.529943916089</v>
          </cell>
        </row>
        <row r="274">
          <cell r="B274" t="str">
            <v>HTAMNR</v>
          </cell>
          <cell r="C274" t="str">
            <v>Herramienta y equipo menor</v>
          </cell>
          <cell r="D274" t="str">
            <v>%</v>
          </cell>
          <cell r="F274">
            <v>0.05</v>
          </cell>
          <cell r="G274">
            <v>7290.5988783217781</v>
          </cell>
          <cell r="H274">
            <v>364.52994391608894</v>
          </cell>
        </row>
        <row r="275">
          <cell r="B275" t="str">
            <v>MAT1290</v>
          </cell>
          <cell r="C275" t="str">
            <v>Sección completa andamio 1.20x1.50m</v>
          </cell>
          <cell r="D275" t="str">
            <v>día</v>
          </cell>
          <cell r="E275">
            <v>0.4</v>
          </cell>
          <cell r="G275">
            <v>1400</v>
          </cell>
          <cell r="H275">
            <v>560</v>
          </cell>
        </row>
        <row r="276">
          <cell r="B276" t="str">
            <v>II. MATERIALES</v>
          </cell>
          <cell r="H276">
            <v>10640.92</v>
          </cell>
        </row>
        <row r="277">
          <cell r="B277" t="str">
            <v>CTM144</v>
          </cell>
          <cell r="C277" t="str">
            <v>Mortero de revoque 1:4 - SUBANALISIS</v>
          </cell>
          <cell r="D277" t="str">
            <v>m3</v>
          </cell>
          <cell r="E277">
            <v>0.02</v>
          </cell>
          <cell r="G277">
            <v>532046</v>
          </cell>
          <cell r="H277">
            <v>10640.92</v>
          </cell>
        </row>
        <row r="278">
          <cell r="B278" t="str">
            <v>III. TRANSPORTES</v>
          </cell>
          <cell r="E278" t="str">
            <v>Km</v>
          </cell>
          <cell r="F278" t="str">
            <v>PESO</v>
          </cell>
          <cell r="G278" t="str">
            <v>T/KM</v>
          </cell>
          <cell r="H278">
            <v>3383.3799999999997</v>
          </cell>
        </row>
        <row r="279">
          <cell r="B279" t="str">
            <v>TR1070</v>
          </cell>
          <cell r="C279" t="str">
            <v xml:space="preserve">Transporte de materiales varios </v>
          </cell>
          <cell r="D279" t="str">
            <v>T/km</v>
          </cell>
          <cell r="E279">
            <v>130</v>
          </cell>
          <cell r="F279">
            <v>3.7179999999999998E-2</v>
          </cell>
          <cell r="G279">
            <v>700</v>
          </cell>
          <cell r="H279">
            <v>3383.3799999999997</v>
          </cell>
        </row>
        <row r="280">
          <cell r="B280" t="str">
            <v>IV. MANO DE OBRA</v>
          </cell>
          <cell r="H280">
            <v>7290.5988783217781</v>
          </cell>
        </row>
        <row r="281">
          <cell r="B281" t="str">
            <v>MOFICIAL</v>
          </cell>
          <cell r="C281" t="str">
            <v>Mo oficial</v>
          </cell>
          <cell r="D281" t="str">
            <v>día</v>
          </cell>
          <cell r="E281">
            <v>0.04</v>
          </cell>
          <cell r="G281">
            <v>130525.11769031112</v>
          </cell>
          <cell r="H281">
            <v>5221.0047076124447</v>
          </cell>
        </row>
        <row r="282">
          <cell r="B282" t="str">
            <v>MOAYUDR</v>
          </cell>
          <cell r="C282" t="str">
            <v>Mo ayudante raso</v>
          </cell>
          <cell r="D282" t="str">
            <v>día</v>
          </cell>
          <cell r="E282">
            <v>0.03</v>
          </cell>
          <cell r="G282">
            <v>68986.472356977785</v>
          </cell>
          <cell r="H282">
            <v>2069.5941707093334</v>
          </cell>
        </row>
        <row r="283">
          <cell r="B283" t="str">
            <v>6.</v>
          </cell>
          <cell r="C283" t="str">
            <v>INSTALACIONES HIDRÁULICAS E HIDROSANITARIAS</v>
          </cell>
          <cell r="D283" t="str">
            <v/>
          </cell>
          <cell r="G283" t="str">
            <v/>
          </cell>
        </row>
        <row r="284">
          <cell r="B284" t="str">
            <v>6.1</v>
          </cell>
          <cell r="C284" t="str">
            <v>Suministro, transporte e instalación de punto hidráulico en PVC-P 1/2" RDE-13.5, incluye tubería presión, accesorios, limpiador, soldadura y todos los elementos necesarios para su correcta instalación.</v>
          </cell>
          <cell r="D284" t="str">
            <v>Un</v>
          </cell>
          <cell r="E284">
            <v>7</v>
          </cell>
          <cell r="G284" t="str">
            <v/>
          </cell>
          <cell r="H284">
            <v>21930</v>
          </cell>
        </row>
        <row r="285">
          <cell r="B285" t="str">
            <v>I. EQUIPO Y HERRAMIENTA</v>
          </cell>
          <cell r="H285">
            <v>326.31279422577785</v>
          </cell>
        </row>
        <row r="286">
          <cell r="B286" t="str">
            <v>HTAMNR</v>
          </cell>
          <cell r="C286" t="str">
            <v>Herramienta y equipo menor</v>
          </cell>
          <cell r="D286" t="str">
            <v>%</v>
          </cell>
          <cell r="F286">
            <v>0.05</v>
          </cell>
          <cell r="G286">
            <v>6526.2558845155563</v>
          </cell>
          <cell r="H286">
            <v>326.31279422577785</v>
          </cell>
        </row>
        <row r="287">
          <cell r="B287" t="str">
            <v>II. MATERIALES</v>
          </cell>
          <cell r="H287">
            <v>15063.72</v>
          </cell>
        </row>
        <row r="288">
          <cell r="B288" t="str">
            <v>TB1365</v>
          </cell>
          <cell r="C288" t="str">
            <v>Tubería PVC-P RDE-13.5 1/2" (13mm)</v>
          </cell>
          <cell r="D288" t="str">
            <v>m</v>
          </cell>
          <cell r="E288">
            <v>1.5</v>
          </cell>
          <cell r="G288">
            <v>4200</v>
          </cell>
          <cell r="H288">
            <v>6300</v>
          </cell>
        </row>
        <row r="289">
          <cell r="B289" t="str">
            <v>TB1415</v>
          </cell>
          <cell r="C289" t="str">
            <v>Unión PVC-P 13 mm (1/2")</v>
          </cell>
          <cell r="D289" t="str">
            <v>un</v>
          </cell>
          <cell r="E289">
            <v>1</v>
          </cell>
          <cell r="G289">
            <v>500</v>
          </cell>
          <cell r="H289">
            <v>500</v>
          </cell>
        </row>
        <row r="290">
          <cell r="B290" t="str">
            <v>AD1110</v>
          </cell>
          <cell r="C290" t="str">
            <v>Limpiador PVC 760 gramos (1/4 gal) o similar</v>
          </cell>
          <cell r="D290" t="str">
            <v>un</v>
          </cell>
          <cell r="E290">
            <v>0.03</v>
          </cell>
          <cell r="G290">
            <v>49900</v>
          </cell>
          <cell r="H290">
            <v>1497</v>
          </cell>
        </row>
        <row r="291">
          <cell r="B291" t="str">
            <v>AD1280</v>
          </cell>
          <cell r="C291" t="str">
            <v>Soldadura PVC 1/4 gal o similar</v>
          </cell>
          <cell r="D291" t="str">
            <v>gal</v>
          </cell>
          <cell r="E291">
            <v>0.03</v>
          </cell>
          <cell r="G291">
            <v>105524</v>
          </cell>
          <cell r="H291">
            <v>3165.72</v>
          </cell>
        </row>
        <row r="292">
          <cell r="B292" t="str">
            <v>TB1205</v>
          </cell>
          <cell r="C292" t="str">
            <v>Codo PVC-P 90° 13 mm (1/2")</v>
          </cell>
          <cell r="D292" t="str">
            <v>un</v>
          </cell>
          <cell r="E292">
            <v>2</v>
          </cell>
          <cell r="G292">
            <v>780</v>
          </cell>
          <cell r="H292">
            <v>1560</v>
          </cell>
        </row>
        <row r="293">
          <cell r="B293" t="str">
            <v>TB1330</v>
          </cell>
          <cell r="C293" t="str">
            <v>Tee PVC-P 13 mm (1/2")</v>
          </cell>
          <cell r="D293" t="str">
            <v>un</v>
          </cell>
          <cell r="E293">
            <v>1</v>
          </cell>
          <cell r="G293">
            <v>1033</v>
          </cell>
          <cell r="H293">
            <v>1033</v>
          </cell>
        </row>
        <row r="294">
          <cell r="B294" t="str">
            <v>TB1140</v>
          </cell>
          <cell r="C294" t="str">
            <v>Adaptador macho PVC-P 1/2''</v>
          </cell>
          <cell r="D294" t="str">
            <v>un</v>
          </cell>
          <cell r="E294">
            <v>1</v>
          </cell>
          <cell r="G294">
            <v>458</v>
          </cell>
          <cell r="H294">
            <v>458</v>
          </cell>
        </row>
        <row r="295">
          <cell r="B295" t="str">
            <v>TB1110</v>
          </cell>
          <cell r="C295" t="str">
            <v>Adaptador hembra PVC-P 1/2''</v>
          </cell>
          <cell r="D295" t="str">
            <v>un</v>
          </cell>
          <cell r="E295">
            <v>1</v>
          </cell>
          <cell r="G295">
            <v>550</v>
          </cell>
          <cell r="H295">
            <v>550</v>
          </cell>
        </row>
        <row r="296">
          <cell r="B296" t="str">
            <v>III. TRANSPORTES</v>
          </cell>
          <cell r="E296" t="str">
            <v>Km</v>
          </cell>
          <cell r="F296" t="str">
            <v>PESO</v>
          </cell>
          <cell r="G296" t="str">
            <v>T/KM</v>
          </cell>
          <cell r="H296">
            <v>13.3497</v>
          </cell>
        </row>
        <row r="297">
          <cell r="B297" t="str">
            <v>TR1070</v>
          </cell>
          <cell r="C297" t="str">
            <v xml:space="preserve">Transporte de materiales varios </v>
          </cell>
          <cell r="D297" t="str">
            <v>T/km</v>
          </cell>
          <cell r="E297">
            <v>30</v>
          </cell>
          <cell r="F297">
            <v>6.357E-4</v>
          </cell>
          <cell r="G297">
            <v>700</v>
          </cell>
          <cell r="H297">
            <v>13.3497</v>
          </cell>
        </row>
        <row r="298">
          <cell r="B298" t="str">
            <v>IV. MANO DE OBRA</v>
          </cell>
          <cell r="H298">
            <v>6526.2558845155563</v>
          </cell>
        </row>
        <row r="299">
          <cell r="B299" t="str">
            <v>MOFICIAL</v>
          </cell>
          <cell r="C299" t="str">
            <v>Mo oficial</v>
          </cell>
          <cell r="D299" t="str">
            <v>día</v>
          </cell>
          <cell r="E299">
            <v>0.05</v>
          </cell>
          <cell r="G299">
            <v>130525.11769031112</v>
          </cell>
          <cell r="H299">
            <v>6526.2558845155563</v>
          </cell>
        </row>
        <row r="300">
          <cell r="B300" t="str">
            <v>6.2</v>
          </cell>
          <cell r="C300" t="str">
            <v>Suministro, transporte e instalación de tubería PVC-P x 1/2" RDE-13.5, incluye tubería presión, accesorios , limpiador, soldadura y todos los elementos necesarios para su correcta instalación.</v>
          </cell>
          <cell r="D300" t="str">
            <v>m</v>
          </cell>
          <cell r="E300">
            <v>11.6</v>
          </cell>
          <cell r="G300" t="str">
            <v/>
          </cell>
          <cell r="H300">
            <v>12138</v>
          </cell>
        </row>
        <row r="301">
          <cell r="B301" t="str">
            <v>I. EQUIPO Y HERRAMIENTA</v>
          </cell>
          <cell r="H301">
            <v>195.78767653546669</v>
          </cell>
        </row>
        <row r="302">
          <cell r="B302" t="str">
            <v>HTAMNR</v>
          </cell>
          <cell r="C302" t="str">
            <v>Herramienta y equipo menor</v>
          </cell>
          <cell r="D302" t="str">
            <v>%</v>
          </cell>
          <cell r="F302">
            <v>0.05</v>
          </cell>
          <cell r="G302">
            <v>3915.7535307093335</v>
          </cell>
          <cell r="H302">
            <v>195.78767653546669</v>
          </cell>
        </row>
        <row r="303">
          <cell r="B303" t="str">
            <v>II. MATERIALES</v>
          </cell>
          <cell r="H303">
            <v>8021.2419047619042</v>
          </cell>
        </row>
        <row r="304">
          <cell r="B304" t="str">
            <v>TB1365</v>
          </cell>
          <cell r="C304" t="str">
            <v>Tubería PVC-P RDE-13.5 1/2" (13mm)</v>
          </cell>
          <cell r="D304" t="str">
            <v>m</v>
          </cell>
          <cell r="E304">
            <v>1</v>
          </cell>
          <cell r="G304">
            <v>4200</v>
          </cell>
          <cell r="H304">
            <v>4200</v>
          </cell>
        </row>
        <row r="305">
          <cell r="B305" t="str">
            <v>TB1415</v>
          </cell>
          <cell r="C305" t="str">
            <v>Unión PVC-P 13 mm (1/2")</v>
          </cell>
          <cell r="D305" t="str">
            <v>un</v>
          </cell>
          <cell r="E305">
            <v>0.16666666666666666</v>
          </cell>
          <cell r="G305">
            <v>500</v>
          </cell>
          <cell r="H305">
            <v>83.333333333333329</v>
          </cell>
        </row>
        <row r="306">
          <cell r="B306" t="str">
            <v>TB1330</v>
          </cell>
          <cell r="C306" t="str">
            <v>Tee PVC-P 13 mm (1/2")</v>
          </cell>
          <cell r="D306" t="str">
            <v>un</v>
          </cell>
          <cell r="E306">
            <v>0.2857142857142857</v>
          </cell>
          <cell r="G306">
            <v>1033</v>
          </cell>
          <cell r="H306">
            <v>295.14285714285711</v>
          </cell>
        </row>
        <row r="307">
          <cell r="B307" t="str">
            <v>TB1205</v>
          </cell>
          <cell r="C307" t="str">
            <v>Codo PVC-P 90° 13 mm (1/2")</v>
          </cell>
          <cell r="D307" t="str">
            <v>un</v>
          </cell>
          <cell r="E307">
            <v>0.42857142857142855</v>
          </cell>
          <cell r="G307">
            <v>780</v>
          </cell>
          <cell r="H307">
            <v>334.28571428571428</v>
          </cell>
        </row>
        <row r="308">
          <cell r="B308" t="str">
            <v>AD1110</v>
          </cell>
          <cell r="C308" t="str">
            <v>Limpiador PVC 760 gramos (1/4 gal) o similar</v>
          </cell>
          <cell r="D308" t="str">
            <v>un</v>
          </cell>
          <cell r="E308">
            <v>0.02</v>
          </cell>
          <cell r="G308">
            <v>49900</v>
          </cell>
          <cell r="H308">
            <v>998</v>
          </cell>
        </row>
        <row r="309">
          <cell r="B309" t="str">
            <v>AD1280</v>
          </cell>
          <cell r="C309" t="str">
            <v>Soldadura PVC 1/4 gal o similar</v>
          </cell>
          <cell r="D309" t="str">
            <v>gal</v>
          </cell>
          <cell r="E309">
            <v>0.02</v>
          </cell>
          <cell r="G309">
            <v>105524</v>
          </cell>
          <cell r="H309">
            <v>2110.48</v>
          </cell>
        </row>
        <row r="310">
          <cell r="B310" t="str">
            <v>III. TRANSPORTES</v>
          </cell>
          <cell r="E310" t="str">
            <v>Km</v>
          </cell>
          <cell r="F310" t="str">
            <v>PESO</v>
          </cell>
          <cell r="G310" t="str">
            <v>T/KM</v>
          </cell>
          <cell r="H310">
            <v>5.6248000000000005</v>
          </cell>
        </row>
        <row r="311">
          <cell r="B311" t="str">
            <v>TR1070</v>
          </cell>
          <cell r="C311" t="str">
            <v xml:space="preserve">Transporte de materiales varios </v>
          </cell>
          <cell r="D311" t="str">
            <v>T/km</v>
          </cell>
          <cell r="E311">
            <v>30</v>
          </cell>
          <cell r="F311">
            <v>2.6784761904761909E-4</v>
          </cell>
          <cell r="G311">
            <v>700</v>
          </cell>
          <cell r="H311">
            <v>5.6248000000000005</v>
          </cell>
        </row>
        <row r="312">
          <cell r="B312" t="str">
            <v>IV. MANO DE OBRA</v>
          </cell>
          <cell r="H312">
            <v>3915.7535307093335</v>
          </cell>
        </row>
        <row r="313">
          <cell r="B313" t="str">
            <v>MOFICIAL</v>
          </cell>
          <cell r="C313" t="str">
            <v>Mo oficial</v>
          </cell>
          <cell r="D313" t="str">
            <v>día</v>
          </cell>
          <cell r="E313">
            <v>0.03</v>
          </cell>
          <cell r="G313">
            <v>130525.11769031112</v>
          </cell>
          <cell r="H313">
            <v>3915.7535307093335</v>
          </cell>
        </row>
        <row r="314">
          <cell r="B314" t="str">
            <v>6.3</v>
          </cell>
          <cell r="C314" t="str">
            <v>Suministro, transporte e instalación de tubería PVC-P x 3/4" RDE-11, incluye tubería presión, accesorios, limpiador, soldadura y todos los elementos necesarios para su correcta instalación.</v>
          </cell>
          <cell r="D314" t="str">
            <v>m</v>
          </cell>
          <cell r="E314">
            <v>7.2</v>
          </cell>
          <cell r="G314" t="str">
            <v/>
          </cell>
          <cell r="H314">
            <v>11082</v>
          </cell>
        </row>
        <row r="315">
          <cell r="B315" t="str">
            <v>I. EQUIPO Y HERRAMIENTA</v>
          </cell>
          <cell r="H315">
            <v>195.78767653546669</v>
          </cell>
        </row>
        <row r="316">
          <cell r="B316" t="str">
            <v>HTAMNR</v>
          </cell>
          <cell r="C316" t="str">
            <v>Herramienta y equipo menor</v>
          </cell>
          <cell r="D316" t="str">
            <v>%</v>
          </cell>
          <cell r="F316">
            <v>0.05</v>
          </cell>
          <cell r="G316">
            <v>3915.7535307093335</v>
          </cell>
          <cell r="H316">
            <v>195.78767653546669</v>
          </cell>
        </row>
        <row r="317">
          <cell r="B317" t="str">
            <v>II. MATERIALES</v>
          </cell>
          <cell r="H317">
            <v>6964.3133333333335</v>
          </cell>
        </row>
        <row r="318">
          <cell r="B318" t="str">
            <v>TB1370</v>
          </cell>
          <cell r="C318" t="str">
            <v>Tubería PVC-P RDE-21 3/4" (19mm)</v>
          </cell>
          <cell r="D318" t="str">
            <v>m</v>
          </cell>
          <cell r="E318">
            <v>1</v>
          </cell>
          <cell r="G318">
            <v>3600</v>
          </cell>
          <cell r="H318">
            <v>3600</v>
          </cell>
        </row>
        <row r="319">
          <cell r="B319" t="str">
            <v>TB1420</v>
          </cell>
          <cell r="C319" t="str">
            <v>Unión PVC-P 19 mm (3/4")</v>
          </cell>
          <cell r="D319" t="str">
            <v>un</v>
          </cell>
          <cell r="E319">
            <v>0.16666666666666666</v>
          </cell>
          <cell r="G319">
            <v>800</v>
          </cell>
          <cell r="H319">
            <v>133.33333333333331</v>
          </cell>
        </row>
        <row r="320">
          <cell r="B320" t="str">
            <v>TB1210</v>
          </cell>
          <cell r="C320" t="str">
            <v>Codo PVC-P 90° 19 mm (3/4")</v>
          </cell>
          <cell r="D320" t="str">
            <v>un</v>
          </cell>
          <cell r="E320">
            <v>0.1</v>
          </cell>
          <cell r="G320">
            <v>1225</v>
          </cell>
          <cell r="H320">
            <v>122.5</v>
          </cell>
        </row>
        <row r="321">
          <cell r="B321" t="str">
            <v>AD1110</v>
          </cell>
          <cell r="C321" t="str">
            <v>Limpiador PVC 760 gramos (1/4 gal) o similar</v>
          </cell>
          <cell r="D321" t="str">
            <v>un</v>
          </cell>
          <cell r="E321">
            <v>0.02</v>
          </cell>
          <cell r="G321">
            <v>49900</v>
          </cell>
          <cell r="H321">
            <v>998</v>
          </cell>
        </row>
        <row r="322">
          <cell r="B322" t="str">
            <v>AD1280</v>
          </cell>
          <cell r="C322" t="str">
            <v>Soldadura PVC 1/4 gal o similar</v>
          </cell>
          <cell r="D322" t="str">
            <v>gal</v>
          </cell>
          <cell r="E322">
            <v>0.02</v>
          </cell>
          <cell r="G322">
            <v>105524</v>
          </cell>
          <cell r="H322">
            <v>2110.48</v>
          </cell>
        </row>
        <row r="323">
          <cell r="B323" t="str">
            <v>III. TRANSPORTES</v>
          </cell>
          <cell r="E323" t="str">
            <v>Km</v>
          </cell>
          <cell r="F323" t="str">
            <v>PESO</v>
          </cell>
          <cell r="G323" t="str">
            <v>T/KM</v>
          </cell>
          <cell r="H323">
            <v>6.0857999999999999</v>
          </cell>
        </row>
        <row r="324">
          <cell r="B324" t="str">
            <v>TR1070</v>
          </cell>
          <cell r="C324" t="str">
            <v xml:space="preserve">Transporte de materiales varios </v>
          </cell>
          <cell r="D324" t="str">
            <v>T/km</v>
          </cell>
          <cell r="E324">
            <v>30</v>
          </cell>
          <cell r="F324">
            <v>2.898E-4</v>
          </cell>
          <cell r="G324">
            <v>700</v>
          </cell>
          <cell r="H324">
            <v>6.0857999999999999</v>
          </cell>
        </row>
        <row r="325">
          <cell r="B325" t="str">
            <v>IV. MANO DE OBRA</v>
          </cell>
          <cell r="H325">
            <v>3915.7535307093335</v>
          </cell>
        </row>
        <row r="326">
          <cell r="B326" t="str">
            <v>MOFICIAL</v>
          </cell>
          <cell r="C326" t="str">
            <v>Mo oficial</v>
          </cell>
          <cell r="D326" t="str">
            <v>día</v>
          </cell>
          <cell r="E326">
            <v>0.03</v>
          </cell>
          <cell r="G326">
            <v>130525.11769031112</v>
          </cell>
          <cell r="H326">
            <v>3915.7535307093335</v>
          </cell>
        </row>
        <row r="327">
          <cell r="B327" t="str">
            <v>6.4</v>
          </cell>
          <cell r="C327" t="str">
            <v>Suministro e instalación válvula de bola en PVC 1/2" extremo soldado. Se entregará debidamente instalada sin presencia de fugas ni fisuras.</v>
          </cell>
          <cell r="D327" t="str">
            <v>Un</v>
          </cell>
          <cell r="E327">
            <v>1</v>
          </cell>
          <cell r="G327" t="str">
            <v/>
          </cell>
          <cell r="H327">
            <v>17616</v>
          </cell>
        </row>
        <row r="328">
          <cell r="B328" t="str">
            <v>I. EQUIPO Y HERRAMIENTA</v>
          </cell>
          <cell r="H328">
            <v>195.78767653546669</v>
          </cell>
        </row>
        <row r="329">
          <cell r="B329" t="str">
            <v>HTAMNR</v>
          </cell>
          <cell r="C329" t="str">
            <v>Herramienta y equipo menor</v>
          </cell>
          <cell r="D329" t="str">
            <v>%</v>
          </cell>
          <cell r="F329">
            <v>0.05</v>
          </cell>
          <cell r="G329">
            <v>3915.7535307093335</v>
          </cell>
          <cell r="H329">
            <v>195.78767653546669</v>
          </cell>
        </row>
        <row r="330">
          <cell r="B330" t="str">
            <v>II. MATERIALES</v>
          </cell>
          <cell r="H330">
            <v>13491.3</v>
          </cell>
        </row>
        <row r="331">
          <cell r="B331" t="str">
            <v>VPVC12</v>
          </cell>
          <cell r="C331" t="str">
            <v>Válvula de regulación - abasto 1/2"</v>
          </cell>
          <cell r="D331" t="str">
            <v>un</v>
          </cell>
          <cell r="E331">
            <v>1</v>
          </cell>
          <cell r="G331">
            <v>11000</v>
          </cell>
          <cell r="H331">
            <v>11000</v>
          </cell>
        </row>
        <row r="332">
          <cell r="B332" t="str">
            <v>MAT1100</v>
          </cell>
          <cell r="C332" t="str">
            <v>Cinta sellante para elementos roscados - 12mm x 12m</v>
          </cell>
          <cell r="D332" t="str">
            <v>un</v>
          </cell>
          <cell r="E332">
            <v>0.5</v>
          </cell>
          <cell r="G332">
            <v>2900</v>
          </cell>
          <cell r="H332">
            <v>1450</v>
          </cell>
        </row>
        <row r="333">
          <cell r="B333" t="str">
            <v>AD1290</v>
          </cell>
          <cell r="C333" t="str">
            <v>Traba química fuerza alta para sellos de fuga en tubería</v>
          </cell>
          <cell r="D333" t="str">
            <v>gr</v>
          </cell>
          <cell r="E333">
            <v>7.0000000000000007E-2</v>
          </cell>
          <cell r="G333">
            <v>1790</v>
          </cell>
          <cell r="H333">
            <v>125.30000000000001</v>
          </cell>
        </row>
        <row r="334">
          <cell r="B334" t="str">
            <v>TB1140</v>
          </cell>
          <cell r="C334" t="str">
            <v>Adaptador macho PVC-P 1/2''</v>
          </cell>
          <cell r="D334" t="str">
            <v>un</v>
          </cell>
          <cell r="E334">
            <v>2</v>
          </cell>
          <cell r="G334">
            <v>458</v>
          </cell>
          <cell r="H334">
            <v>916</v>
          </cell>
        </row>
        <row r="335">
          <cell r="B335" t="str">
            <v>III. TRANSPORTES</v>
          </cell>
          <cell r="E335" t="str">
            <v>Km</v>
          </cell>
          <cell r="F335" t="str">
            <v>PESO</v>
          </cell>
          <cell r="G335" t="str">
            <v>T/KM</v>
          </cell>
          <cell r="H335">
            <v>12.81147</v>
          </cell>
        </row>
        <row r="336">
          <cell r="B336" t="str">
            <v>TR1070</v>
          </cell>
          <cell r="C336" t="str">
            <v xml:space="preserve">Transporte de materiales varios </v>
          </cell>
          <cell r="D336" t="str">
            <v>T/km</v>
          </cell>
          <cell r="E336">
            <v>30</v>
          </cell>
          <cell r="F336">
            <v>6.1006999999999999E-4</v>
          </cell>
          <cell r="G336">
            <v>700</v>
          </cell>
          <cell r="H336">
            <v>12.81147</v>
          </cell>
        </row>
        <row r="337">
          <cell r="B337" t="str">
            <v>IV. MANO DE OBRA</v>
          </cell>
          <cell r="H337">
            <v>3915.7535307093335</v>
          </cell>
        </row>
        <row r="338">
          <cell r="B338" t="str">
            <v>MOFICIAL</v>
          </cell>
          <cell r="C338" t="str">
            <v>Mo oficial</v>
          </cell>
          <cell r="D338" t="str">
            <v>día</v>
          </cell>
          <cell r="E338">
            <v>0.03</v>
          </cell>
          <cell r="G338">
            <v>130525.11769031112</v>
          </cell>
          <cell r="H338">
            <v>3915.7535307093335</v>
          </cell>
        </row>
        <row r="339">
          <cell r="B339" t="str">
            <v>6.5</v>
          </cell>
          <cell r="C339" t="str">
            <v>Salidas sanitarias de 2" incluye materiales, accesorios y todos los elementos necesarios para su correcta instalación y funcionamiento</v>
          </cell>
          <cell r="D339" t="str">
            <v>Un</v>
          </cell>
          <cell r="E339">
            <v>6</v>
          </cell>
          <cell r="G339" t="str">
            <v/>
          </cell>
          <cell r="H339">
            <v>34997</v>
          </cell>
        </row>
        <row r="340">
          <cell r="B340" t="str">
            <v>I. EQUIPO Y HERRAMIENTA</v>
          </cell>
          <cell r="H340">
            <v>195.78767653546669</v>
          </cell>
        </row>
        <row r="341">
          <cell r="B341" t="str">
            <v>HTAMNR</v>
          </cell>
          <cell r="C341" t="str">
            <v>Herramienta y equipo menor</v>
          </cell>
          <cell r="D341" t="str">
            <v>%</v>
          </cell>
          <cell r="F341">
            <v>0.05</v>
          </cell>
          <cell r="G341">
            <v>3915.7535307093335</v>
          </cell>
          <cell r="H341">
            <v>195.78767653546669</v>
          </cell>
        </row>
        <row r="342">
          <cell r="B342" t="str">
            <v>II. MATERIALES</v>
          </cell>
          <cell r="H342">
            <v>30865.72</v>
          </cell>
        </row>
        <row r="343">
          <cell r="B343" t="str">
            <v>TB2410</v>
          </cell>
          <cell r="C343" t="str">
            <v>Tubería PVC-S 2" (50 mm)</v>
          </cell>
          <cell r="D343" t="str">
            <v>m</v>
          </cell>
          <cell r="E343">
            <v>1</v>
          </cell>
          <cell r="G343">
            <v>16498</v>
          </cell>
          <cell r="H343">
            <v>16498</v>
          </cell>
        </row>
        <row r="344">
          <cell r="B344" t="str">
            <v>TB2465</v>
          </cell>
          <cell r="C344" t="str">
            <v>Unión PVC-S 2" (50 mm)</v>
          </cell>
          <cell r="D344" t="str">
            <v>un</v>
          </cell>
          <cell r="E344">
            <v>0.5</v>
          </cell>
          <cell r="G344">
            <v>2500</v>
          </cell>
          <cell r="H344">
            <v>1250</v>
          </cell>
        </row>
        <row r="345">
          <cell r="B345" t="str">
            <v>TB2220</v>
          </cell>
          <cell r="C345" t="str">
            <v>Codo PVC-S 90° -1/4 CxC 2" (50 mm)</v>
          </cell>
          <cell r="D345" t="str">
            <v>un</v>
          </cell>
          <cell r="E345">
            <v>1</v>
          </cell>
          <cell r="G345">
            <v>4200</v>
          </cell>
          <cell r="H345">
            <v>4200</v>
          </cell>
        </row>
        <row r="346">
          <cell r="B346" t="str">
            <v>TB2170</v>
          </cell>
          <cell r="C346" t="str">
            <v>Codo PVC-S 45° -1/8 CxC 2" (50 mm)</v>
          </cell>
          <cell r="D346" t="str">
            <v>un</v>
          </cell>
          <cell r="E346">
            <v>0.5</v>
          </cell>
          <cell r="G346">
            <v>4150</v>
          </cell>
          <cell r="H346">
            <v>2075</v>
          </cell>
        </row>
        <row r="347">
          <cell r="B347" t="str">
            <v>TB2305</v>
          </cell>
          <cell r="C347" t="str">
            <v>Sifón PVC-S 2" (50 mm)</v>
          </cell>
          <cell r="D347" t="str">
            <v>un</v>
          </cell>
          <cell r="E347">
            <v>0.2</v>
          </cell>
          <cell r="G347">
            <v>10900</v>
          </cell>
          <cell r="H347">
            <v>2180</v>
          </cell>
        </row>
        <row r="348">
          <cell r="B348" t="str">
            <v>AD1110</v>
          </cell>
          <cell r="C348" t="str">
            <v>Limpiador PVC 760 gramos (1/4 gal) o similar</v>
          </cell>
          <cell r="D348" t="str">
            <v>un</v>
          </cell>
          <cell r="E348">
            <v>0.03</v>
          </cell>
          <cell r="G348">
            <v>49900</v>
          </cell>
          <cell r="H348">
            <v>1497</v>
          </cell>
        </row>
        <row r="349">
          <cell r="B349" t="str">
            <v>AD1280</v>
          </cell>
          <cell r="C349" t="str">
            <v>Soldadura PVC 1/4 gal o similar</v>
          </cell>
          <cell r="D349" t="str">
            <v>gal</v>
          </cell>
          <cell r="E349">
            <v>0.03</v>
          </cell>
          <cell r="G349">
            <v>105524</v>
          </cell>
          <cell r="H349">
            <v>3165.72</v>
          </cell>
        </row>
        <row r="350">
          <cell r="B350" t="str">
            <v>III. TRANSPORTES</v>
          </cell>
          <cell r="E350" t="str">
            <v>Km</v>
          </cell>
          <cell r="F350" t="str">
            <v>PESO</v>
          </cell>
          <cell r="G350" t="str">
            <v>T/KM</v>
          </cell>
          <cell r="H350">
            <v>19.964700000000001</v>
          </cell>
        </row>
        <row r="351">
          <cell r="B351" t="str">
            <v>TR1070</v>
          </cell>
          <cell r="C351" t="str">
            <v xml:space="preserve">Transporte de materiales varios </v>
          </cell>
          <cell r="D351" t="str">
            <v>T/km</v>
          </cell>
          <cell r="E351">
            <v>30</v>
          </cell>
          <cell r="F351">
            <v>9.5069999999999996E-4</v>
          </cell>
          <cell r="G351">
            <v>700</v>
          </cell>
          <cell r="H351">
            <v>19.964700000000001</v>
          </cell>
        </row>
        <row r="352">
          <cell r="B352" t="str">
            <v>IV. MANO DE OBRA</v>
          </cell>
          <cell r="H352">
            <v>3915.7535307093335</v>
          </cell>
        </row>
        <row r="353">
          <cell r="B353" t="str">
            <v>MOFICIAL</v>
          </cell>
          <cell r="C353" t="str">
            <v>Mo oficial</v>
          </cell>
          <cell r="D353" t="str">
            <v>día</v>
          </cell>
          <cell r="E353">
            <v>0.03</v>
          </cell>
          <cell r="G353">
            <v>130525.11769031112</v>
          </cell>
          <cell r="H353">
            <v>3915.7535307093335</v>
          </cell>
        </row>
        <row r="354">
          <cell r="B354" t="str">
            <v>6.6</v>
          </cell>
          <cell r="C354" t="str">
            <v>Salida sanitaria de 4" incluye materiales, accesorios y todos los elementos necesarios para su correcta instalación y funcionamiento</v>
          </cell>
          <cell r="D354" t="str">
            <v>Un</v>
          </cell>
          <cell r="E354">
            <v>1</v>
          </cell>
          <cell r="G354" t="str">
            <v/>
          </cell>
          <cell r="H354">
            <v>44997</v>
          </cell>
        </row>
        <row r="355">
          <cell r="B355" t="str">
            <v>I. EQUIPO Y HERRAMIENTA</v>
          </cell>
          <cell r="H355">
            <v>195.78767653546669</v>
          </cell>
        </row>
        <row r="356">
          <cell r="B356" t="str">
            <v>HTAMNR</v>
          </cell>
          <cell r="C356" t="str">
            <v>Herramienta y equipo menor</v>
          </cell>
          <cell r="D356" t="str">
            <v>%</v>
          </cell>
          <cell r="F356">
            <v>0.05</v>
          </cell>
          <cell r="G356">
            <v>3915.7535307093335</v>
          </cell>
          <cell r="H356">
            <v>195.78767653546669</v>
          </cell>
        </row>
        <row r="357">
          <cell r="B357" t="str">
            <v>II. MATERIALES</v>
          </cell>
          <cell r="H357">
            <v>40831.760000000002</v>
          </cell>
        </row>
        <row r="358">
          <cell r="B358" t="str">
            <v>TB2420</v>
          </cell>
          <cell r="C358" t="str">
            <v>Tubería PVC-S 4" (100 mm)</v>
          </cell>
          <cell r="D358" t="str">
            <v>m</v>
          </cell>
          <cell r="E358">
            <v>1</v>
          </cell>
          <cell r="G358">
            <v>24800</v>
          </cell>
          <cell r="H358">
            <v>24800</v>
          </cell>
        </row>
        <row r="359">
          <cell r="B359" t="str">
            <v>TB2475</v>
          </cell>
          <cell r="C359" t="str">
            <v>Unión PVC-S 4" (100 mm)</v>
          </cell>
          <cell r="D359" t="str">
            <v>un</v>
          </cell>
          <cell r="E359">
            <v>0.12</v>
          </cell>
          <cell r="G359">
            <v>7500</v>
          </cell>
          <cell r="H359">
            <v>900</v>
          </cell>
        </row>
        <row r="360">
          <cell r="B360" t="str">
            <v>TB2230</v>
          </cell>
          <cell r="C360" t="str">
            <v>Codo PVC-S 90° -1/4 CxC 4" (100 mm)</v>
          </cell>
          <cell r="D360" t="str">
            <v>un</v>
          </cell>
          <cell r="E360">
            <v>0.12</v>
          </cell>
          <cell r="G360">
            <v>17667</v>
          </cell>
          <cell r="H360">
            <v>2120.04</v>
          </cell>
        </row>
        <row r="361">
          <cell r="B361" t="str">
            <v>TB2495</v>
          </cell>
          <cell r="C361" t="str">
            <v>Yee PVC-S 4" (100 mm)</v>
          </cell>
          <cell r="D361" t="str">
            <v>un</v>
          </cell>
          <cell r="E361">
            <v>0.24</v>
          </cell>
          <cell r="G361">
            <v>18900</v>
          </cell>
          <cell r="H361">
            <v>4536</v>
          </cell>
        </row>
        <row r="362">
          <cell r="B362" t="str">
            <v>TB2140</v>
          </cell>
          <cell r="C362" t="str">
            <v>Buje soldado PVC-S 4"x2"</v>
          </cell>
          <cell r="D362" t="str">
            <v>un</v>
          </cell>
          <cell r="E362">
            <v>0.12</v>
          </cell>
          <cell r="G362">
            <v>10900</v>
          </cell>
          <cell r="H362">
            <v>1308</v>
          </cell>
        </row>
        <row r="363">
          <cell r="B363" t="str">
            <v>TB2315</v>
          </cell>
          <cell r="C363" t="str">
            <v>Tapón de prueba PVC-S ø 4" (100mm)</v>
          </cell>
          <cell r="D363" t="str">
            <v>un</v>
          </cell>
          <cell r="E363">
            <v>0.12</v>
          </cell>
          <cell r="G363">
            <v>3500</v>
          </cell>
          <cell r="H363">
            <v>420</v>
          </cell>
        </row>
        <row r="364">
          <cell r="B364" t="str">
            <v>TB2180</v>
          </cell>
          <cell r="C364" t="str">
            <v>Codo PVC-S 45° -1/8 CxC 4" (100 mm)</v>
          </cell>
          <cell r="D364" t="str">
            <v>un</v>
          </cell>
          <cell r="E364">
            <v>0.12</v>
          </cell>
          <cell r="G364">
            <v>17375</v>
          </cell>
          <cell r="H364">
            <v>2085</v>
          </cell>
        </row>
        <row r="365">
          <cell r="B365" t="str">
            <v>AD1110</v>
          </cell>
          <cell r="C365" t="str">
            <v>Limpiador PVC 760 gramos (1/4 gal) o similar</v>
          </cell>
          <cell r="D365" t="str">
            <v>un</v>
          </cell>
          <cell r="E365">
            <v>0.03</v>
          </cell>
          <cell r="G365">
            <v>49900</v>
          </cell>
          <cell r="H365">
            <v>1497</v>
          </cell>
        </row>
        <row r="366">
          <cell r="B366" t="str">
            <v>AD1280</v>
          </cell>
          <cell r="C366" t="str">
            <v>Soldadura PVC 1/4 gal o similar</v>
          </cell>
          <cell r="D366" t="str">
            <v>gal</v>
          </cell>
          <cell r="E366">
            <v>0.03</v>
          </cell>
          <cell r="G366">
            <v>105524</v>
          </cell>
          <cell r="H366">
            <v>3165.72</v>
          </cell>
        </row>
        <row r="367">
          <cell r="B367" t="str">
            <v>III. TRANSPORTES</v>
          </cell>
          <cell r="E367" t="str">
            <v>Km</v>
          </cell>
          <cell r="F367" t="str">
            <v>PESO</v>
          </cell>
          <cell r="G367" t="str">
            <v>T/KM</v>
          </cell>
          <cell r="H367">
            <v>53.955300000000008</v>
          </cell>
        </row>
        <row r="368">
          <cell r="B368" t="str">
            <v>TR1070</v>
          </cell>
          <cell r="C368" t="str">
            <v xml:space="preserve">Transporte de materiales varios </v>
          </cell>
          <cell r="D368" t="str">
            <v>T/km</v>
          </cell>
          <cell r="E368">
            <v>30</v>
          </cell>
          <cell r="F368">
            <v>2.5693000000000005E-3</v>
          </cell>
          <cell r="G368">
            <v>700</v>
          </cell>
          <cell r="H368">
            <v>53.955300000000008</v>
          </cell>
        </row>
        <row r="369">
          <cell r="B369" t="str">
            <v>IV. MANO DE OBRA</v>
          </cell>
          <cell r="H369">
            <v>3915.7535307093335</v>
          </cell>
        </row>
        <row r="370">
          <cell r="B370" t="str">
            <v>MOFICIAL</v>
          </cell>
          <cell r="C370" t="str">
            <v>Mo oficial</v>
          </cell>
          <cell r="D370" t="str">
            <v>día</v>
          </cell>
          <cell r="E370">
            <v>0.03</v>
          </cell>
          <cell r="G370">
            <v>130525.11769031112</v>
          </cell>
          <cell r="H370">
            <v>3915.7535307093335</v>
          </cell>
        </row>
        <row r="371">
          <cell r="B371" t="str">
            <v>6.7</v>
          </cell>
          <cell r="C371" t="str">
            <v>Red sanitaria de piso para en tubería PVC-S 2", incluye accesorios y todo lo necesario para su correcta instalación.</v>
          </cell>
          <cell r="D371" t="str">
            <v>m</v>
          </cell>
          <cell r="E371">
            <v>7.1</v>
          </cell>
          <cell r="G371" t="str">
            <v/>
          </cell>
          <cell r="H371">
            <v>31787</v>
          </cell>
        </row>
        <row r="372">
          <cell r="B372" t="str">
            <v>I. EQUIPO Y HERRAMIENTA</v>
          </cell>
          <cell r="H372">
            <v>195.78767653546669</v>
          </cell>
        </row>
        <row r="373">
          <cell r="B373" t="str">
            <v>HTAMNR</v>
          </cell>
          <cell r="C373" t="str">
            <v>Herramienta y equipo menor</v>
          </cell>
          <cell r="D373" t="str">
            <v>%</v>
          </cell>
          <cell r="F373">
            <v>0.05</v>
          </cell>
          <cell r="G373">
            <v>3915.7535307093335</v>
          </cell>
          <cell r="H373">
            <v>195.78767653546669</v>
          </cell>
        </row>
        <row r="374">
          <cell r="B374" t="str">
            <v>II. MATERIALES</v>
          </cell>
          <cell r="H374">
            <v>27657.24</v>
          </cell>
        </row>
        <row r="375">
          <cell r="B375" t="str">
            <v>TB2410</v>
          </cell>
          <cell r="C375" t="str">
            <v>Tubería PVC-S 2" (50 mm)</v>
          </cell>
          <cell r="D375" t="str">
            <v>m</v>
          </cell>
          <cell r="E375">
            <v>1</v>
          </cell>
          <cell r="G375">
            <v>16498</v>
          </cell>
          <cell r="H375">
            <v>16498</v>
          </cell>
        </row>
        <row r="376">
          <cell r="B376" t="str">
            <v>TB2465</v>
          </cell>
          <cell r="C376" t="str">
            <v>Unión PVC-S 2" (50 mm)</v>
          </cell>
          <cell r="D376" t="str">
            <v>un</v>
          </cell>
          <cell r="E376">
            <v>0.17</v>
          </cell>
          <cell r="G376">
            <v>2500</v>
          </cell>
          <cell r="H376">
            <v>425.00000000000006</v>
          </cell>
        </row>
        <row r="377">
          <cell r="B377" t="str">
            <v>TB2220</v>
          </cell>
          <cell r="C377" t="str">
            <v>Codo PVC-S 90° -1/4 CxC 2" (50 mm)</v>
          </cell>
          <cell r="D377" t="str">
            <v>un</v>
          </cell>
          <cell r="E377">
            <v>0.5</v>
          </cell>
          <cell r="G377">
            <v>4200</v>
          </cell>
          <cell r="H377">
            <v>2100</v>
          </cell>
        </row>
        <row r="378">
          <cell r="B378" t="str">
            <v>TB2505</v>
          </cell>
          <cell r="C378" t="str">
            <v>Yee PVC-S reducida 4"x2"</v>
          </cell>
          <cell r="D378" t="str">
            <v>un</v>
          </cell>
          <cell r="E378">
            <v>0.16</v>
          </cell>
          <cell r="G378">
            <v>25400</v>
          </cell>
          <cell r="H378">
            <v>4064</v>
          </cell>
        </row>
        <row r="379">
          <cell r="B379" t="str">
            <v>TB2170</v>
          </cell>
          <cell r="C379" t="str">
            <v>Codo PVC-S 45° -1/8 CxC 2" (50 mm)</v>
          </cell>
          <cell r="D379" t="str">
            <v>un</v>
          </cell>
          <cell r="E379">
            <v>0.16</v>
          </cell>
          <cell r="G379">
            <v>4150</v>
          </cell>
          <cell r="H379">
            <v>664</v>
          </cell>
        </row>
        <row r="380">
          <cell r="B380" t="str">
            <v>TB2305</v>
          </cell>
          <cell r="C380" t="str">
            <v>Sifón PVC-S 2" (50 mm)</v>
          </cell>
          <cell r="D380" t="str">
            <v>un</v>
          </cell>
          <cell r="E380">
            <v>0.17</v>
          </cell>
          <cell r="G380">
            <v>10900</v>
          </cell>
          <cell r="H380">
            <v>1853.0000000000002</v>
          </cell>
        </row>
        <row r="381">
          <cell r="B381" t="str">
            <v>AD1110</v>
          </cell>
          <cell r="C381" t="str">
            <v>Limpiador PVC 760 gramos (1/4 gal) o similar</v>
          </cell>
          <cell r="D381" t="str">
            <v>un</v>
          </cell>
          <cell r="E381">
            <v>0.02</v>
          </cell>
          <cell r="G381">
            <v>49900</v>
          </cell>
          <cell r="H381">
            <v>998</v>
          </cell>
        </row>
        <row r="382">
          <cell r="B382" t="str">
            <v>AD1280</v>
          </cell>
          <cell r="C382" t="str">
            <v>Soldadura PVC 1/4 gal o similar</v>
          </cell>
          <cell r="D382" t="str">
            <v>gal</v>
          </cell>
          <cell r="E382">
            <v>0.01</v>
          </cell>
          <cell r="G382">
            <v>105524</v>
          </cell>
          <cell r="H382">
            <v>1055.24</v>
          </cell>
        </row>
        <row r="383">
          <cell r="B383" t="str">
            <v>III. TRANSPORTES</v>
          </cell>
          <cell r="E383" t="str">
            <v>Km</v>
          </cell>
          <cell r="F383" t="str">
            <v>PESO</v>
          </cell>
          <cell r="G383" t="str">
            <v>T/KM</v>
          </cell>
          <cell r="H383">
            <v>18.316199999999998</v>
          </cell>
        </row>
        <row r="384">
          <cell r="B384" t="str">
            <v>TR1070</v>
          </cell>
          <cell r="C384" t="str">
            <v xml:space="preserve">Transporte de materiales varios </v>
          </cell>
          <cell r="D384" t="str">
            <v>T/km</v>
          </cell>
          <cell r="E384">
            <v>30</v>
          </cell>
          <cell r="F384">
            <v>8.7219999999999995E-4</v>
          </cell>
          <cell r="G384">
            <v>700</v>
          </cell>
          <cell r="H384">
            <v>18.316199999999998</v>
          </cell>
        </row>
        <row r="385">
          <cell r="B385" t="str">
            <v>IV. MANO DE OBRA</v>
          </cell>
          <cell r="H385">
            <v>3915.7535307093335</v>
          </cell>
        </row>
        <row r="386">
          <cell r="B386" t="str">
            <v>MOFICIAL</v>
          </cell>
          <cell r="C386" t="str">
            <v>Mo oficial</v>
          </cell>
          <cell r="D386" t="str">
            <v>día</v>
          </cell>
          <cell r="E386">
            <v>0.03</v>
          </cell>
          <cell r="G386">
            <v>130525.11769031112</v>
          </cell>
          <cell r="H386">
            <v>3915.7535307093335</v>
          </cell>
        </row>
        <row r="387">
          <cell r="B387" t="str">
            <v>6.8</v>
          </cell>
          <cell r="C387" t="str">
            <v xml:space="preserve">Red sanitaria de piso en tubería PVC-S 3", incluye accesorios y todo lo necesario para su correcta instalación. </v>
          </cell>
          <cell r="D387" t="str">
            <v>m</v>
          </cell>
          <cell r="E387">
            <v>0</v>
          </cell>
          <cell r="G387" t="str">
            <v/>
          </cell>
          <cell r="H387">
            <v>37542</v>
          </cell>
        </row>
        <row r="388">
          <cell r="B388" t="str">
            <v>I. EQUIPO Y HERRAMIENTA</v>
          </cell>
          <cell r="H388">
            <v>234.94521184256001</v>
          </cell>
        </row>
        <row r="389">
          <cell r="B389" t="str">
            <v>HTAMNR</v>
          </cell>
          <cell r="C389" t="str">
            <v>Herramienta y equipo menor</v>
          </cell>
          <cell r="D389" t="str">
            <v>%</v>
          </cell>
          <cell r="F389">
            <v>0.05</v>
          </cell>
          <cell r="G389">
            <v>4698.9042368512</v>
          </cell>
          <cell r="H389">
            <v>234.94521184256001</v>
          </cell>
        </row>
        <row r="390">
          <cell r="B390" t="str">
            <v>II. MATERIALES</v>
          </cell>
          <cell r="H390">
            <v>32608.039999999997</v>
          </cell>
        </row>
        <row r="391">
          <cell r="B391" t="str">
            <v>TB2415</v>
          </cell>
          <cell r="C391" t="str">
            <v>Tubería PVC-S 3" (75 mm)</v>
          </cell>
          <cell r="D391" t="str">
            <v>m</v>
          </cell>
          <cell r="E391">
            <v>1</v>
          </cell>
          <cell r="G391">
            <v>17400</v>
          </cell>
          <cell r="H391">
            <v>17400</v>
          </cell>
        </row>
        <row r="392">
          <cell r="B392" t="str">
            <v>TB2470</v>
          </cell>
          <cell r="C392" t="str">
            <v>Unión PVC-S 3" (75 mm)</v>
          </cell>
          <cell r="D392" t="str">
            <v>un</v>
          </cell>
          <cell r="E392">
            <v>0.17</v>
          </cell>
          <cell r="G392">
            <v>4200</v>
          </cell>
          <cell r="H392">
            <v>714</v>
          </cell>
        </row>
        <row r="393">
          <cell r="B393" t="str">
            <v>TB2225</v>
          </cell>
          <cell r="C393" t="str">
            <v>Codo PVC-S 90° -1/4 CxC 3" (75 mm)</v>
          </cell>
          <cell r="D393" t="str">
            <v>un</v>
          </cell>
          <cell r="E393">
            <v>0.86</v>
          </cell>
          <cell r="G393">
            <v>9931</v>
          </cell>
          <cell r="H393">
            <v>8540.66</v>
          </cell>
        </row>
        <row r="394">
          <cell r="B394" t="str">
            <v>TB2175</v>
          </cell>
          <cell r="C394" t="str">
            <v>Codo PVC-S 45° -1/8 CxC 3" (75 mm)</v>
          </cell>
          <cell r="D394" t="str">
            <v>un</v>
          </cell>
          <cell r="E394">
            <v>0.28999999999999998</v>
          </cell>
          <cell r="G394">
            <v>9810</v>
          </cell>
          <cell r="H394">
            <v>2844.8999999999996</v>
          </cell>
        </row>
        <row r="395">
          <cell r="B395" t="str">
            <v>AD1110</v>
          </cell>
          <cell r="C395" t="str">
            <v>Limpiador PVC 760 gramos (1/4 gal) o similar</v>
          </cell>
          <cell r="D395" t="str">
            <v>un</v>
          </cell>
          <cell r="E395">
            <v>0.02</v>
          </cell>
          <cell r="G395">
            <v>49900</v>
          </cell>
          <cell r="H395">
            <v>998</v>
          </cell>
        </row>
        <row r="396">
          <cell r="B396" t="str">
            <v>AD1280</v>
          </cell>
          <cell r="C396" t="str">
            <v>Soldadura PVC 1/4 gal o similar</v>
          </cell>
          <cell r="D396" t="str">
            <v>gal</v>
          </cell>
          <cell r="E396">
            <v>0.02</v>
          </cell>
          <cell r="G396">
            <v>105524</v>
          </cell>
          <cell r="H396">
            <v>2110.48</v>
          </cell>
        </row>
        <row r="397">
          <cell r="B397" t="str">
            <v>III. TRANSPORTES</v>
          </cell>
          <cell r="E397" t="str">
            <v>Km</v>
          </cell>
          <cell r="F397" t="str">
            <v>PESO</v>
          </cell>
          <cell r="G397" t="str">
            <v>T/KM</v>
          </cell>
          <cell r="H397">
            <v>0</v>
          </cell>
        </row>
        <row r="398">
          <cell r="B398" t="str">
            <v>TR1070</v>
          </cell>
          <cell r="C398" t="str">
            <v xml:space="preserve">Transporte de materiales varios </v>
          </cell>
          <cell r="D398" t="str">
            <v>T/km</v>
          </cell>
          <cell r="E398">
            <v>30</v>
          </cell>
          <cell r="F398" t="e">
            <v>#DIV/0!</v>
          </cell>
          <cell r="G398">
            <v>700</v>
          </cell>
          <cell r="H398" t="str">
            <v/>
          </cell>
        </row>
        <row r="399">
          <cell r="B399" t="str">
            <v>IV. MANO DE OBRA</v>
          </cell>
          <cell r="H399">
            <v>4698.9042368512</v>
          </cell>
        </row>
        <row r="400">
          <cell r="B400" t="str">
            <v>MOFICIAL</v>
          </cell>
          <cell r="C400" t="str">
            <v>Mo oficial</v>
          </cell>
          <cell r="D400" t="str">
            <v>día</v>
          </cell>
          <cell r="E400">
            <v>3.5999999999999997E-2</v>
          </cell>
          <cell r="G400">
            <v>130525.11769031112</v>
          </cell>
          <cell r="H400">
            <v>4698.9042368512</v>
          </cell>
        </row>
        <row r="401">
          <cell r="B401" t="str">
            <v>6.9</v>
          </cell>
          <cell r="C401" t="str">
            <v xml:space="preserve">Red sanitaria de piso en tubería PVC-S 4", incluye accesorios y todo lo necesario para su correcta instalación. </v>
          </cell>
          <cell r="D401" t="str">
            <v>m</v>
          </cell>
          <cell r="E401">
            <v>12</v>
          </cell>
          <cell r="G401" t="str">
            <v/>
          </cell>
          <cell r="H401">
            <v>43182</v>
          </cell>
        </row>
        <row r="402">
          <cell r="B402" t="str">
            <v>I. EQUIPO Y HERRAMIENTA</v>
          </cell>
          <cell r="H402">
            <v>261.05023538062227</v>
          </cell>
        </row>
        <row r="403">
          <cell r="B403" t="str">
            <v>HTAMNR</v>
          </cell>
          <cell r="C403" t="str">
            <v>Herramienta y equipo menor</v>
          </cell>
          <cell r="D403" t="str">
            <v>%</v>
          </cell>
          <cell r="F403">
            <v>0.05</v>
          </cell>
          <cell r="G403">
            <v>5221.0047076124447</v>
          </cell>
          <cell r="H403">
            <v>261.05023538062227</v>
          </cell>
        </row>
        <row r="404">
          <cell r="B404" t="str">
            <v>II. MATERIALES</v>
          </cell>
          <cell r="H404">
            <v>37648.20334</v>
          </cell>
        </row>
        <row r="405">
          <cell r="B405" t="str">
            <v>TB2420</v>
          </cell>
          <cell r="C405" t="str">
            <v>Tubería PVC-S 4" (100 mm)</v>
          </cell>
          <cell r="D405" t="str">
            <v>m</v>
          </cell>
          <cell r="E405">
            <v>1</v>
          </cell>
          <cell r="G405">
            <v>24800</v>
          </cell>
          <cell r="H405">
            <v>24800</v>
          </cell>
        </row>
        <row r="406">
          <cell r="B406" t="str">
            <v>TB2230</v>
          </cell>
          <cell r="C406" t="str">
            <v>Codo PVC-S 90° -1/4 CxC 4" (100 mm)</v>
          </cell>
          <cell r="D406" t="str">
            <v>un</v>
          </cell>
          <cell r="E406">
            <v>0.17002</v>
          </cell>
          <cell r="G406">
            <v>17667</v>
          </cell>
          <cell r="H406">
            <v>3003.74334</v>
          </cell>
        </row>
        <row r="407">
          <cell r="B407" t="str">
            <v>TB2495</v>
          </cell>
          <cell r="C407" t="str">
            <v>Yee PVC-S 4" (100 mm)</v>
          </cell>
          <cell r="D407" t="str">
            <v>un</v>
          </cell>
          <cell r="E407">
            <v>0.1</v>
          </cell>
          <cell r="G407">
            <v>18900</v>
          </cell>
          <cell r="H407">
            <v>1890</v>
          </cell>
        </row>
        <row r="408">
          <cell r="B408" t="str">
            <v>TB2180</v>
          </cell>
          <cell r="C408" t="str">
            <v>Codo PVC-S 45° -1/8 CxC 4" (100 mm)</v>
          </cell>
          <cell r="D408" t="str">
            <v>un</v>
          </cell>
          <cell r="E408">
            <v>0.1</v>
          </cell>
          <cell r="G408">
            <v>17375</v>
          </cell>
          <cell r="H408">
            <v>1737.5</v>
          </cell>
        </row>
        <row r="409">
          <cell r="B409" t="str">
            <v>AD1110</v>
          </cell>
          <cell r="C409" t="str">
            <v>Limpiador PVC 760 gramos (1/4 gal) o similar</v>
          </cell>
          <cell r="D409" t="str">
            <v>un</v>
          </cell>
          <cell r="E409">
            <v>0.04</v>
          </cell>
          <cell r="G409">
            <v>49900</v>
          </cell>
          <cell r="H409">
            <v>1996</v>
          </cell>
        </row>
        <row r="410">
          <cell r="B410" t="str">
            <v>AD1280</v>
          </cell>
          <cell r="C410" t="str">
            <v>Soldadura PVC 1/4 gal o similar</v>
          </cell>
          <cell r="D410" t="str">
            <v>gal</v>
          </cell>
          <cell r="E410">
            <v>0.04</v>
          </cell>
          <cell r="G410">
            <v>105524</v>
          </cell>
          <cell r="H410">
            <v>4220.96</v>
          </cell>
        </row>
        <row r="411">
          <cell r="B411" t="str">
            <v>III. TRANSPORTES</v>
          </cell>
          <cell r="E411" t="str">
            <v>Km</v>
          </cell>
          <cell r="F411" t="str">
            <v>PESO</v>
          </cell>
          <cell r="G411" t="str">
            <v>T/KM</v>
          </cell>
          <cell r="H411">
            <v>51.525936000000002</v>
          </cell>
        </row>
        <row r="412">
          <cell r="B412" t="str">
            <v>TR1070</v>
          </cell>
          <cell r="C412" t="str">
            <v xml:space="preserve">Transporte de materiales varios </v>
          </cell>
          <cell r="D412" t="str">
            <v>T/km</v>
          </cell>
          <cell r="E412">
            <v>30</v>
          </cell>
          <cell r="F412">
            <v>2.453616E-3</v>
          </cell>
          <cell r="G412">
            <v>700</v>
          </cell>
          <cell r="H412">
            <v>51.525936000000002</v>
          </cell>
        </row>
        <row r="413">
          <cell r="B413" t="str">
            <v>IV. MANO DE OBRA</v>
          </cell>
          <cell r="H413">
            <v>5221.0047076124447</v>
          </cell>
        </row>
        <row r="414">
          <cell r="B414" t="str">
            <v>MOFICIAL</v>
          </cell>
          <cell r="C414" t="str">
            <v>Mo oficial</v>
          </cell>
          <cell r="D414" t="str">
            <v>día</v>
          </cell>
          <cell r="E414">
            <v>0.04</v>
          </cell>
          <cell r="G414">
            <v>130525.11769031112</v>
          </cell>
          <cell r="H414">
            <v>5221.0047076124447</v>
          </cell>
        </row>
        <row r="415">
          <cell r="B415" t="str">
            <v>6.10</v>
          </cell>
          <cell r="C415" t="str">
            <v>Suministro e instalación de acometida domiciliaria. Incluye kit silla yee para conexiones domiciliarias ø 6" x 8", accesorios, hidrosellos, abrazaderas, lubricante, tubería novafort ø 6”, excavasión, lleno y demás elementos necesarios para el normal desarrollo de la actividad.</v>
          </cell>
          <cell r="D415" t="str">
            <v>Un</v>
          </cell>
          <cell r="E415" t="e">
            <v>#N/A</v>
          </cell>
          <cell r="G415" t="str">
            <v/>
          </cell>
          <cell r="H415">
            <v>434586</v>
          </cell>
        </row>
        <row r="416">
          <cell r="B416" t="str">
            <v>I. EQUIPO Y HERRAMIENTA</v>
          </cell>
          <cell r="H416">
            <v>4987.789751182223</v>
          </cell>
        </row>
        <row r="417">
          <cell r="B417" t="str">
            <v>HTAMNR</v>
          </cell>
          <cell r="C417" t="str">
            <v>Herramienta y equipo menor</v>
          </cell>
          <cell r="D417" t="str">
            <v>%</v>
          </cell>
          <cell r="F417">
            <v>0.05</v>
          </cell>
          <cell r="G417">
            <v>99755.795023644459</v>
          </cell>
          <cell r="H417">
            <v>4987.789751182223</v>
          </cell>
        </row>
        <row r="418">
          <cell r="B418" t="str">
            <v>II. MATERIALES</v>
          </cell>
          <cell r="H418">
            <v>329842.62</v>
          </cell>
        </row>
        <row r="419">
          <cell r="B419" t="str">
            <v>RF1050</v>
          </cell>
          <cell r="C419" t="str">
            <v>Herraje tapa caja 0.50m x 0.50m</v>
          </cell>
          <cell r="D419" t="str">
            <v>un</v>
          </cell>
          <cell r="E419">
            <v>1</v>
          </cell>
          <cell r="G419">
            <v>111240</v>
          </cell>
          <cell r="H419">
            <v>111240</v>
          </cell>
        </row>
        <row r="420">
          <cell r="B420" t="str">
            <v>MAT1015</v>
          </cell>
          <cell r="C420" t="str">
            <v>Angulo de acero de 2"x2"x1/4"</v>
          </cell>
          <cell r="D420" t="str">
            <v>m</v>
          </cell>
          <cell r="E420">
            <v>1.4</v>
          </cell>
          <cell r="G420">
            <v>36100</v>
          </cell>
          <cell r="H420">
            <v>50540</v>
          </cell>
        </row>
        <row r="421">
          <cell r="B421" t="str">
            <v>RF1070</v>
          </cell>
          <cell r="C421" t="str">
            <v>Malla electrosoldada D-84 (2,35m x 6m)</v>
          </cell>
          <cell r="D421" t="str">
            <v>un</v>
          </cell>
          <cell r="E421">
            <v>0.02</v>
          </cell>
          <cell r="G421">
            <v>106000</v>
          </cell>
          <cell r="H421">
            <v>2120</v>
          </cell>
        </row>
        <row r="422">
          <cell r="B422" t="str">
            <v>RF1140</v>
          </cell>
          <cell r="C422" t="str">
            <v>Malla electrosoldada D-221 (2,35m x 6m)</v>
          </cell>
          <cell r="D422" t="str">
            <v>un</v>
          </cell>
          <cell r="E422">
            <v>0.14000000000000001</v>
          </cell>
          <cell r="G422">
            <v>260500</v>
          </cell>
          <cell r="H422">
            <v>36470</v>
          </cell>
        </row>
        <row r="423">
          <cell r="B423" t="str">
            <v>CT210KG</v>
          </cell>
          <cell r="C423" t="str">
            <v>Concreto 210kg/cm² 1:2:3</v>
          </cell>
          <cell r="D423" t="str">
            <v>m3</v>
          </cell>
          <cell r="E423">
            <v>0.18</v>
          </cell>
          <cell r="G423">
            <v>583459</v>
          </cell>
          <cell r="H423">
            <v>105022.62</v>
          </cell>
        </row>
        <row r="424">
          <cell r="B424" t="str">
            <v>MAT1095</v>
          </cell>
          <cell r="C424" t="str">
            <v>Clavo común 37.5 a 100 mm</v>
          </cell>
          <cell r="D424" t="str">
            <v>lb</v>
          </cell>
          <cell r="E424">
            <v>0.5</v>
          </cell>
          <cell r="G424">
            <v>9900</v>
          </cell>
          <cell r="H424">
            <v>4950</v>
          </cell>
        </row>
        <row r="425">
          <cell r="B425" t="str">
            <v>MAT1295</v>
          </cell>
          <cell r="C425" t="str">
            <v>Tabla madera común 1x8" 3m</v>
          </cell>
          <cell r="D425" t="str">
            <v>un</v>
          </cell>
          <cell r="E425">
            <v>1.5</v>
          </cell>
          <cell r="G425">
            <v>13000</v>
          </cell>
          <cell r="H425">
            <v>19500</v>
          </cell>
        </row>
        <row r="426">
          <cell r="B426" t="str">
            <v>III. TRANSPORTES</v>
          </cell>
          <cell r="E426" t="str">
            <v>Km</v>
          </cell>
          <cell r="F426" t="str">
            <v>PESO</v>
          </cell>
          <cell r="G426" t="str">
            <v>T/KM</v>
          </cell>
          <cell r="H426">
            <v>0</v>
          </cell>
        </row>
        <row r="427">
          <cell r="B427" t="str">
            <v>TR1070</v>
          </cell>
          <cell r="C427" t="str">
            <v xml:space="preserve">Transporte de materiales varios </v>
          </cell>
          <cell r="D427" t="str">
            <v>T/km</v>
          </cell>
          <cell r="E427">
            <v>130</v>
          </cell>
          <cell r="F427" t="e">
            <v>#N/A</v>
          </cell>
          <cell r="G427">
            <v>700</v>
          </cell>
          <cell r="H427" t="str">
            <v/>
          </cell>
        </row>
        <row r="428">
          <cell r="B428" t="str">
            <v>IV. MANO DE OBRA</v>
          </cell>
          <cell r="H428">
            <v>99755.795023644459</v>
          </cell>
        </row>
        <row r="429">
          <cell r="B429" t="str">
            <v>MOFICIAL</v>
          </cell>
          <cell r="C429" t="str">
            <v>Mo oficial</v>
          </cell>
          <cell r="D429" t="str">
            <v>día</v>
          </cell>
          <cell r="E429">
            <v>0.5</v>
          </cell>
          <cell r="G429">
            <v>130525.11769031112</v>
          </cell>
          <cell r="H429">
            <v>65262.55884515556</v>
          </cell>
        </row>
        <row r="430">
          <cell r="B430" t="str">
            <v>MOAYUDR</v>
          </cell>
          <cell r="C430" t="str">
            <v>Mo ayudante raso</v>
          </cell>
          <cell r="D430" t="str">
            <v>día</v>
          </cell>
          <cell r="E430">
            <v>0.5</v>
          </cell>
          <cell r="G430">
            <v>68986.472356977785</v>
          </cell>
          <cell r="H430">
            <v>34493.236178488893</v>
          </cell>
        </row>
        <row r="431">
          <cell r="B431" t="str">
            <v>6.11</v>
          </cell>
          <cell r="C431" t="str">
            <v>Construcción de caja de inspección, dimensiones de 0.5m x 0.5m, con altura de 0.7m, espesor de paredes 0.1m. Incluye: excavación, herraje para tapa, cañuela y todos los materiales indicados en el plano, mano de obra, herramientas, formaleta, equipo, concreto de 21MPa, y demás elementos necesarios para el normal desarrollo de la actividad.</v>
          </cell>
          <cell r="D431" t="str">
            <v>Un</v>
          </cell>
          <cell r="E431" t="e">
            <v>#N/A</v>
          </cell>
          <cell r="G431" t="str">
            <v/>
          </cell>
          <cell r="H431">
            <v>628532</v>
          </cell>
        </row>
        <row r="432">
          <cell r="B432" t="str">
            <v>I. EQUIPO Y HERRAMIENTA</v>
          </cell>
          <cell r="H432">
            <v>3990.2318009457786</v>
          </cell>
        </row>
        <row r="433">
          <cell r="B433" t="str">
            <v>HTAMNR</v>
          </cell>
          <cell r="C433" t="str">
            <v>Herramienta y equipo menor</v>
          </cell>
          <cell r="D433" t="str">
            <v>%</v>
          </cell>
          <cell r="F433">
            <v>0.05</v>
          </cell>
          <cell r="G433">
            <v>79804.636018915568</v>
          </cell>
          <cell r="H433">
            <v>3990.2318009457786</v>
          </cell>
        </row>
        <row r="434">
          <cell r="B434" t="str">
            <v>II. MATERIALES</v>
          </cell>
          <cell r="H434">
            <v>544737.4</v>
          </cell>
        </row>
        <row r="435">
          <cell r="B435" t="str">
            <v>TB2602</v>
          </cell>
          <cell r="C435" t="str">
            <v>Kit Silla Yee Alcantarillado S8 200x160mm. Incluye Hidrosellos y abrazaderas</v>
          </cell>
          <cell r="D435" t="str">
            <v>un</v>
          </cell>
          <cell r="E435">
            <v>1</v>
          </cell>
          <cell r="G435">
            <v>132900</v>
          </cell>
          <cell r="H435">
            <v>132900</v>
          </cell>
        </row>
        <row r="436">
          <cell r="B436" t="str">
            <v>TB2603</v>
          </cell>
          <cell r="C436" t="str">
            <v>Tubo Novafort 6"X 6 Mts</v>
          </cell>
          <cell r="D436" t="str">
            <v>un</v>
          </cell>
          <cell r="E436">
            <v>2</v>
          </cell>
          <cell r="G436">
            <v>196900</v>
          </cell>
          <cell r="H436">
            <v>393800</v>
          </cell>
        </row>
        <row r="437">
          <cell r="B437" t="str">
            <v>AD1110</v>
          </cell>
          <cell r="C437" t="str">
            <v>Limpiador PVC 760 gramos (1/4 gal) o similar</v>
          </cell>
          <cell r="D437" t="str">
            <v>un</v>
          </cell>
          <cell r="E437">
            <v>0.15</v>
          </cell>
          <cell r="G437">
            <v>49900</v>
          </cell>
          <cell r="H437">
            <v>7485</v>
          </cell>
        </row>
        <row r="438">
          <cell r="B438" t="str">
            <v>AD1280</v>
          </cell>
          <cell r="C438" t="str">
            <v>Soldadura PVC 1/4 gal o similar</v>
          </cell>
          <cell r="D438" t="str">
            <v>gal</v>
          </cell>
          <cell r="E438">
            <v>0.1</v>
          </cell>
          <cell r="G438">
            <v>105524</v>
          </cell>
          <cell r="H438">
            <v>10552.400000000001</v>
          </cell>
        </row>
        <row r="439">
          <cell r="B439" t="str">
            <v>III. TRANSPORTES</v>
          </cell>
          <cell r="E439" t="str">
            <v>Km</v>
          </cell>
          <cell r="F439" t="str">
            <v>PESO</v>
          </cell>
          <cell r="G439" t="str">
            <v>T/KM</v>
          </cell>
          <cell r="H439">
            <v>0</v>
          </cell>
        </row>
        <row r="440">
          <cell r="B440" t="str">
            <v>TR1070</v>
          </cell>
          <cell r="C440" t="str">
            <v xml:space="preserve">Transporte de materiales varios </v>
          </cell>
          <cell r="D440" t="str">
            <v>T/km</v>
          </cell>
          <cell r="E440">
            <v>130</v>
          </cell>
          <cell r="F440" t="e">
            <v>#N/A</v>
          </cell>
          <cell r="G440">
            <v>700</v>
          </cell>
          <cell r="H440" t="str">
            <v/>
          </cell>
        </row>
        <row r="441">
          <cell r="B441" t="str">
            <v>IV. MANO DE OBRA</v>
          </cell>
          <cell r="H441">
            <v>79804.636018915568</v>
          </cell>
        </row>
        <row r="442">
          <cell r="B442" t="str">
            <v>MOFICIAL</v>
          </cell>
          <cell r="C442" t="str">
            <v>Mo oficial</v>
          </cell>
          <cell r="D442" t="str">
            <v>día</v>
          </cell>
          <cell r="E442">
            <v>0.4</v>
          </cell>
          <cell r="G442">
            <v>130525.11769031112</v>
          </cell>
          <cell r="H442">
            <v>52210.047076124451</v>
          </cell>
        </row>
        <row r="443">
          <cell r="B443" t="str">
            <v>MOAYUDR</v>
          </cell>
          <cell r="C443" t="str">
            <v>Mo ayudante raso</v>
          </cell>
          <cell r="D443" t="str">
            <v>día</v>
          </cell>
          <cell r="E443">
            <v>0.4</v>
          </cell>
          <cell r="G443">
            <v>68986.472356977785</v>
          </cell>
          <cell r="H443">
            <v>27594.588942791117</v>
          </cell>
        </row>
        <row r="444">
          <cell r="B444" t="str">
            <v>7.</v>
          </cell>
          <cell r="C444" t="str">
            <v>INSTALACIONES ELECTRICAS</v>
          </cell>
          <cell r="D444" t="str">
            <v/>
          </cell>
          <cell r="G444" t="str">
            <v/>
          </cell>
        </row>
        <row r="445">
          <cell r="B445" t="str">
            <v>7.1</v>
          </cell>
          <cell r="C445" t="str">
            <v>Suministro e instalación de toma corriente 125V doble con polo a tierra, 15A. de empotrar. Incluye caja, accesorios, fijaciones y todos los elementos para su correcta instalación. Los materiales deben cumplir con certificación RETIE.</v>
          </cell>
          <cell r="D445" t="str">
            <v>Un</v>
          </cell>
          <cell r="E445">
            <v>13</v>
          </cell>
          <cell r="G445" t="str">
            <v/>
          </cell>
          <cell r="H445">
            <v>9883</v>
          </cell>
        </row>
        <row r="446">
          <cell r="B446" t="str">
            <v>I. EQUIPO Y HERRAMIENTA</v>
          </cell>
          <cell r="H446">
            <v>97.893838267733344</v>
          </cell>
        </row>
        <row r="447">
          <cell r="B447" t="str">
            <v>HTAMNR</v>
          </cell>
          <cell r="C447" t="str">
            <v>Herramienta y equipo menor</v>
          </cell>
          <cell r="D447" t="str">
            <v>%</v>
          </cell>
          <cell r="F447">
            <v>0.05</v>
          </cell>
          <cell r="G447">
            <v>1957.8767653546668</v>
          </cell>
          <cell r="H447">
            <v>97.893838267733344</v>
          </cell>
        </row>
        <row r="448">
          <cell r="B448" t="str">
            <v>II. MATERIALES</v>
          </cell>
          <cell r="H448">
            <v>7822.0959999999995</v>
          </cell>
        </row>
        <row r="449">
          <cell r="B449" t="str">
            <v>EL1190</v>
          </cell>
          <cell r="C449" t="str">
            <v>Toma corriente 125v doble con polo a tierra, 15A, con tapa</v>
          </cell>
          <cell r="D449" t="str">
            <v>un</v>
          </cell>
          <cell r="E449">
            <v>1</v>
          </cell>
          <cell r="G449">
            <v>5100</v>
          </cell>
          <cell r="H449">
            <v>5100</v>
          </cell>
        </row>
        <row r="450">
          <cell r="B450" t="str">
            <v>EL1090</v>
          </cell>
          <cell r="C450" t="str">
            <v>Caja sencilla 2"x4" PVC</v>
          </cell>
          <cell r="D450" t="str">
            <v>un</v>
          </cell>
          <cell r="E450">
            <v>1</v>
          </cell>
          <cell r="G450">
            <v>2100</v>
          </cell>
          <cell r="H450">
            <v>2100</v>
          </cell>
        </row>
        <row r="451">
          <cell r="B451" t="str">
            <v>EL1180</v>
          </cell>
          <cell r="C451" t="str">
            <v>Adaptadores terminales PVC 1/2" Conduit o similar</v>
          </cell>
          <cell r="D451" t="str">
            <v>un</v>
          </cell>
          <cell r="E451">
            <v>2</v>
          </cell>
          <cell r="G451">
            <v>100</v>
          </cell>
          <cell r="H451">
            <v>200</v>
          </cell>
        </row>
        <row r="452">
          <cell r="B452" t="str">
            <v>AD1280</v>
          </cell>
          <cell r="C452" t="str">
            <v>Soldadura PVC 1/4 gal o similar</v>
          </cell>
          <cell r="D452" t="str">
            <v>gal</v>
          </cell>
          <cell r="E452">
            <v>4.0000000000000001E-3</v>
          </cell>
          <cell r="G452">
            <v>105524</v>
          </cell>
          <cell r="H452">
            <v>422.096</v>
          </cell>
        </row>
        <row r="453">
          <cell r="B453" t="str">
            <v>III. TRANSPORTES</v>
          </cell>
          <cell r="E453" t="str">
            <v>Km</v>
          </cell>
          <cell r="F453" t="str">
            <v>PESO</v>
          </cell>
          <cell r="G453" t="str">
            <v>T/KM</v>
          </cell>
          <cell r="H453">
            <v>4.9942523076923075</v>
          </cell>
        </row>
        <row r="454">
          <cell r="B454" t="str">
            <v>TR1070</v>
          </cell>
          <cell r="C454" t="str">
            <v xml:space="preserve">Transporte de materiales varios </v>
          </cell>
          <cell r="D454" t="str">
            <v>T/km</v>
          </cell>
          <cell r="E454">
            <v>30</v>
          </cell>
          <cell r="F454">
            <v>2.3782153846153847E-4</v>
          </cell>
          <cell r="G454">
            <v>700</v>
          </cell>
          <cell r="H454">
            <v>4.9942523076923075</v>
          </cell>
        </row>
        <row r="455">
          <cell r="B455" t="str">
            <v>IV. MANO DE OBRA</v>
          </cell>
          <cell r="H455">
            <v>1957.8767653546668</v>
          </cell>
        </row>
        <row r="456">
          <cell r="B456" t="str">
            <v>MOFICIAL</v>
          </cell>
          <cell r="C456" t="str">
            <v>Mo oficial</v>
          </cell>
          <cell r="D456" t="str">
            <v>día</v>
          </cell>
          <cell r="E456">
            <v>1.4999999999999999E-2</v>
          </cell>
          <cell r="G456">
            <v>130525.11769031112</v>
          </cell>
          <cell r="H456">
            <v>1957.8767653546668</v>
          </cell>
        </row>
        <row r="457">
          <cell r="B457" t="str">
            <v>7.2</v>
          </cell>
          <cell r="C457" t="str">
            <v>Suministro e instalación de tomas GFCI, blanca, de empotrar. Incluye caja, accesorios, fijaciones y todos los elementos para su correcta instalación. Los materiales deben cumplir con certificación RETIE.</v>
          </cell>
          <cell r="D457" t="str">
            <v>Un</v>
          </cell>
          <cell r="E457">
            <v>3</v>
          </cell>
          <cell r="G457" t="str">
            <v/>
          </cell>
          <cell r="H457">
            <v>41185</v>
          </cell>
        </row>
        <row r="458">
          <cell r="B458" t="str">
            <v>I. EQUIPO Y HERRAMIENTA</v>
          </cell>
          <cell r="H458">
            <v>97.893838267733344</v>
          </cell>
        </row>
        <row r="459">
          <cell r="B459" t="str">
            <v>HTAMNR</v>
          </cell>
          <cell r="C459" t="str">
            <v>Herramienta y equipo menor</v>
          </cell>
          <cell r="D459" t="str">
            <v>%</v>
          </cell>
          <cell r="F459">
            <v>0.05</v>
          </cell>
          <cell r="G459">
            <v>1957.8767653546668</v>
          </cell>
          <cell r="H459">
            <v>97.893838267733344</v>
          </cell>
        </row>
        <row r="460">
          <cell r="B460" t="str">
            <v>II. MATERIALES</v>
          </cell>
          <cell r="H460">
            <v>39122.095999999998</v>
          </cell>
        </row>
        <row r="461">
          <cell r="B461" t="str">
            <v>EL1200</v>
          </cell>
          <cell r="C461" t="str">
            <v>Toma corriente GFCI, 125v doble con polo a tierra, 15A, con tapa</v>
          </cell>
          <cell r="D461" t="str">
            <v>un</v>
          </cell>
          <cell r="E461">
            <v>1</v>
          </cell>
          <cell r="G461">
            <v>35000</v>
          </cell>
          <cell r="H461">
            <v>35000</v>
          </cell>
        </row>
        <row r="462">
          <cell r="B462" t="str">
            <v>EL1091</v>
          </cell>
          <cell r="C462" t="str">
            <v>Caja doble 4"x4" PVC con suplemento</v>
          </cell>
          <cell r="D462" t="str">
            <v>un</v>
          </cell>
          <cell r="E462">
            <v>1</v>
          </cell>
          <cell r="G462">
            <v>3500</v>
          </cell>
          <cell r="H462">
            <v>3500</v>
          </cell>
        </row>
        <row r="463">
          <cell r="B463" t="str">
            <v>EL1180</v>
          </cell>
          <cell r="C463" t="str">
            <v>Adaptadores terminales PVC 1/2" Conduit o similar</v>
          </cell>
          <cell r="D463" t="str">
            <v>un</v>
          </cell>
          <cell r="E463">
            <v>2</v>
          </cell>
          <cell r="G463">
            <v>100</v>
          </cell>
          <cell r="H463">
            <v>200</v>
          </cell>
        </row>
        <row r="464">
          <cell r="B464" t="str">
            <v>AD1280</v>
          </cell>
          <cell r="C464" t="str">
            <v>Soldadura PVC 1/4 gal o similar</v>
          </cell>
          <cell r="D464" t="str">
            <v>gal</v>
          </cell>
          <cell r="E464">
            <v>4.0000000000000001E-3</v>
          </cell>
          <cell r="G464">
            <v>105524</v>
          </cell>
          <cell r="H464">
            <v>422.096</v>
          </cell>
        </row>
        <row r="465">
          <cell r="B465" t="str">
            <v>III. TRANSPORTES</v>
          </cell>
          <cell r="E465" t="str">
            <v>Km</v>
          </cell>
          <cell r="F465" t="str">
            <v>PESO</v>
          </cell>
          <cell r="G465" t="str">
            <v>T/KM</v>
          </cell>
          <cell r="H465">
            <v>6.880440000000001</v>
          </cell>
        </row>
        <row r="466">
          <cell r="B466" t="str">
            <v>TR1070</v>
          </cell>
          <cell r="C466" t="str">
            <v xml:space="preserve">Transporte de materiales varios </v>
          </cell>
          <cell r="D466" t="str">
            <v>T/km</v>
          </cell>
          <cell r="E466">
            <v>30</v>
          </cell>
          <cell r="F466">
            <v>3.2764000000000003E-4</v>
          </cell>
          <cell r="G466">
            <v>700</v>
          </cell>
          <cell r="H466">
            <v>6.880440000000001</v>
          </cell>
        </row>
        <row r="467">
          <cell r="B467" t="str">
            <v>IV. MANO DE OBRA</v>
          </cell>
          <cell r="H467">
            <v>1957.8767653546668</v>
          </cell>
        </row>
        <row r="468">
          <cell r="B468" t="str">
            <v>MOFICIAL</v>
          </cell>
          <cell r="C468" t="str">
            <v>Mo oficial</v>
          </cell>
          <cell r="D468" t="str">
            <v>día</v>
          </cell>
          <cell r="E468">
            <v>1.4999999999999999E-2</v>
          </cell>
          <cell r="G468">
            <v>130525.11769031112</v>
          </cell>
          <cell r="H468">
            <v>1957.8767653546668</v>
          </cell>
        </row>
        <row r="469">
          <cell r="B469" t="str">
            <v>7.3</v>
          </cell>
          <cell r="C469" t="str">
            <v xml:space="preserve">Suministro e instalación de toma corriente 220V doble pata trabada con polo a tierra, 30A. Incluye accesorios y todos los elementos para su correcta instalación. Los materiales deben cumplir con Certificación RETIE. </v>
          </cell>
          <cell r="D469" t="str">
            <v>Un</v>
          </cell>
          <cell r="E469">
            <v>1</v>
          </cell>
          <cell r="G469" t="str">
            <v/>
          </cell>
          <cell r="H469">
            <v>20891</v>
          </cell>
        </row>
        <row r="470">
          <cell r="B470" t="str">
            <v>I. EQUIPO Y HERRAMIENTA</v>
          </cell>
          <cell r="H470">
            <v>97.893838267733344</v>
          </cell>
        </row>
        <row r="471">
          <cell r="B471" t="str">
            <v>HTAMNR</v>
          </cell>
          <cell r="C471" t="str">
            <v>Herramienta y equipo menor</v>
          </cell>
          <cell r="D471" t="str">
            <v>%</v>
          </cell>
          <cell r="F471">
            <v>0.05</v>
          </cell>
          <cell r="G471">
            <v>1957.8767653546668</v>
          </cell>
          <cell r="H471">
            <v>97.893838267733344</v>
          </cell>
        </row>
        <row r="472">
          <cell r="B472" t="str">
            <v>II. MATERIALES</v>
          </cell>
          <cell r="H472">
            <v>18822.096000000001</v>
          </cell>
        </row>
        <row r="473">
          <cell r="B473" t="str">
            <v>EL1210</v>
          </cell>
          <cell r="C473" t="str">
            <v>Toma de incrustar 30 amperios, 220 voltios con polo a tierra, pata trabada</v>
          </cell>
          <cell r="D473" t="str">
            <v>un</v>
          </cell>
          <cell r="E473">
            <v>1</v>
          </cell>
          <cell r="G473">
            <v>14700</v>
          </cell>
          <cell r="H473">
            <v>14700</v>
          </cell>
        </row>
        <row r="474">
          <cell r="B474" t="str">
            <v>EL1091</v>
          </cell>
          <cell r="C474" t="str">
            <v>Caja doble 4"x4" PVC con suplemento</v>
          </cell>
          <cell r="D474" t="str">
            <v>un</v>
          </cell>
          <cell r="E474">
            <v>1</v>
          </cell>
          <cell r="G474">
            <v>3500</v>
          </cell>
          <cell r="H474">
            <v>3500</v>
          </cell>
        </row>
        <row r="475">
          <cell r="B475" t="str">
            <v>EL1180</v>
          </cell>
          <cell r="C475" t="str">
            <v>Adaptadores terminales PVC 1/2" Conduit o similar</v>
          </cell>
          <cell r="D475" t="str">
            <v>un</v>
          </cell>
          <cell r="E475">
            <v>2</v>
          </cell>
          <cell r="G475">
            <v>100</v>
          </cell>
          <cell r="H475">
            <v>200</v>
          </cell>
        </row>
        <row r="476">
          <cell r="B476" t="str">
            <v>AD1280</v>
          </cell>
          <cell r="C476" t="str">
            <v>Soldadura PVC 1/4 gal o similar</v>
          </cell>
          <cell r="D476" t="str">
            <v>gal</v>
          </cell>
          <cell r="E476">
            <v>4.0000000000000001E-3</v>
          </cell>
          <cell r="G476">
            <v>105524</v>
          </cell>
          <cell r="H476">
            <v>422.096</v>
          </cell>
        </row>
        <row r="477">
          <cell r="B477" t="str">
            <v>III. TRANSPORTES</v>
          </cell>
          <cell r="E477" t="str">
            <v>Km</v>
          </cell>
          <cell r="F477" t="str">
            <v>PESO</v>
          </cell>
          <cell r="G477" t="str">
            <v>T/KM</v>
          </cell>
          <cell r="H477">
            <v>13.180439999999999</v>
          </cell>
        </row>
        <row r="478">
          <cell r="B478" t="str">
            <v>TR1070</v>
          </cell>
          <cell r="C478" t="str">
            <v xml:space="preserve">Transporte de materiales varios </v>
          </cell>
          <cell r="D478" t="str">
            <v>T/km</v>
          </cell>
          <cell r="E478">
            <v>30</v>
          </cell>
          <cell r="F478">
            <v>6.2763999999999995E-4</v>
          </cell>
          <cell r="G478">
            <v>700</v>
          </cell>
          <cell r="H478">
            <v>13.180439999999999</v>
          </cell>
        </row>
        <row r="479">
          <cell r="B479" t="str">
            <v>IV. MANO DE OBRA</v>
          </cell>
          <cell r="H479">
            <v>1957.8767653546668</v>
          </cell>
        </row>
        <row r="480">
          <cell r="B480" t="str">
            <v>MOFICIAL</v>
          </cell>
          <cell r="C480" t="str">
            <v>Mo oficial</v>
          </cell>
          <cell r="D480" t="str">
            <v>día</v>
          </cell>
          <cell r="E480">
            <v>1.4999999999999999E-2</v>
          </cell>
          <cell r="G480">
            <v>130525.11769031112</v>
          </cell>
          <cell r="H480">
            <v>1957.8767653546668</v>
          </cell>
        </row>
        <row r="481">
          <cell r="B481" t="str">
            <v>7.4</v>
          </cell>
          <cell r="C481" t="str">
            <v xml:space="preserve">Suministro e instalación de interruptor sencillo blanco, de empotrar. Incluye caja, accesorios, fijaciones y todos los elementos para su correcta instalación. Los materiales deben cumplir con certificación RETIE. </v>
          </cell>
          <cell r="D481" t="str">
            <v>Un</v>
          </cell>
          <cell r="E481">
            <v>7</v>
          </cell>
          <cell r="G481" t="str">
            <v/>
          </cell>
          <cell r="H481">
            <v>10384</v>
          </cell>
        </row>
        <row r="482">
          <cell r="B482" t="str">
            <v>I. EQUIPO Y HERRAMIENTA</v>
          </cell>
          <cell r="H482">
            <v>97.893838267733344</v>
          </cell>
        </row>
        <row r="483">
          <cell r="B483" t="str">
            <v>HTAMNR</v>
          </cell>
          <cell r="C483" t="str">
            <v>Herramienta y equipo menor</v>
          </cell>
          <cell r="D483" t="str">
            <v>%</v>
          </cell>
          <cell r="F483">
            <v>0.05</v>
          </cell>
          <cell r="G483">
            <v>1957.8767653546668</v>
          </cell>
          <cell r="H483">
            <v>97.893838267733344</v>
          </cell>
        </row>
        <row r="484">
          <cell r="B484" t="str">
            <v>II. MATERIALES</v>
          </cell>
          <cell r="H484">
            <v>8322.0959999999995</v>
          </cell>
        </row>
        <row r="485">
          <cell r="B485" t="str">
            <v>EL1160</v>
          </cell>
          <cell r="C485" t="str">
            <v xml:space="preserve">Interruptor Sencillo Blanco </v>
          </cell>
          <cell r="D485" t="str">
            <v>un</v>
          </cell>
          <cell r="E485">
            <v>1</v>
          </cell>
          <cell r="G485">
            <v>5600</v>
          </cell>
          <cell r="H485">
            <v>5600</v>
          </cell>
        </row>
        <row r="486">
          <cell r="B486" t="str">
            <v>EL1090</v>
          </cell>
          <cell r="C486" t="str">
            <v>Caja sencilla 2"x4" PVC</v>
          </cell>
          <cell r="D486" t="str">
            <v>un</v>
          </cell>
          <cell r="E486">
            <v>1</v>
          </cell>
          <cell r="G486">
            <v>2100</v>
          </cell>
          <cell r="H486">
            <v>2100</v>
          </cell>
        </row>
        <row r="487">
          <cell r="B487" t="str">
            <v>EL1180</v>
          </cell>
          <cell r="C487" t="str">
            <v>Adaptadores terminales PVC 1/2" Conduit o similar</v>
          </cell>
          <cell r="D487" t="str">
            <v>un</v>
          </cell>
          <cell r="E487">
            <v>2</v>
          </cell>
          <cell r="G487">
            <v>100</v>
          </cell>
          <cell r="H487">
            <v>200</v>
          </cell>
        </row>
        <row r="488">
          <cell r="B488" t="str">
            <v>AD1280</v>
          </cell>
          <cell r="C488" t="str">
            <v>Soldadura PVC 1/4 gal o similar</v>
          </cell>
          <cell r="D488" t="str">
            <v>gal</v>
          </cell>
          <cell r="E488">
            <v>4.0000000000000001E-3</v>
          </cell>
          <cell r="G488">
            <v>105524</v>
          </cell>
          <cell r="H488">
            <v>422.096</v>
          </cell>
        </row>
        <row r="489">
          <cell r="B489" t="str">
            <v>III. TRANSPORTES</v>
          </cell>
          <cell r="E489" t="str">
            <v>Km</v>
          </cell>
          <cell r="F489" t="str">
            <v>PESO</v>
          </cell>
          <cell r="G489" t="str">
            <v>T/KM</v>
          </cell>
          <cell r="H489">
            <v>5.8304400000000003</v>
          </cell>
        </row>
        <row r="490">
          <cell r="B490" t="str">
            <v>TR1070</v>
          </cell>
          <cell r="C490" t="str">
            <v xml:space="preserve">Transporte de materiales varios </v>
          </cell>
          <cell r="D490" t="str">
            <v>T/km</v>
          </cell>
          <cell r="E490">
            <v>30</v>
          </cell>
          <cell r="F490">
            <v>2.7764E-4</v>
          </cell>
          <cell r="G490">
            <v>700</v>
          </cell>
          <cell r="H490">
            <v>5.8304400000000003</v>
          </cell>
        </row>
        <row r="491">
          <cell r="B491" t="str">
            <v>IV. MANO DE OBRA</v>
          </cell>
          <cell r="H491">
            <v>1957.8767653546668</v>
          </cell>
        </row>
        <row r="492">
          <cell r="B492" t="str">
            <v>MOFICIAL</v>
          </cell>
          <cell r="C492" t="str">
            <v>Mo oficial</v>
          </cell>
          <cell r="D492" t="str">
            <v>día</v>
          </cell>
          <cell r="E492">
            <v>1.4999999999999999E-2</v>
          </cell>
          <cell r="G492">
            <v>130525.11769031112</v>
          </cell>
          <cell r="H492">
            <v>1957.8767653546668</v>
          </cell>
        </row>
        <row r="493">
          <cell r="B493" t="str">
            <v>7.5</v>
          </cell>
          <cell r="C493" t="str">
            <v xml:space="preserve">Suministro e instalación de interruptor doble, blanco, de empotrar. Incluye caja, accesorios, fijaciones y todos los elementos para su correcta instalación. Los materiales deben cumplir con certificación RETIE. </v>
          </cell>
          <cell r="D493" t="str">
            <v>Un</v>
          </cell>
          <cell r="E493">
            <v>1</v>
          </cell>
          <cell r="G493" t="str">
            <v/>
          </cell>
          <cell r="H493">
            <v>17283</v>
          </cell>
        </row>
        <row r="494">
          <cell r="B494" t="str">
            <v>I. EQUIPO Y HERRAMIENTA</v>
          </cell>
          <cell r="H494">
            <v>97.893838267733344</v>
          </cell>
        </row>
        <row r="495">
          <cell r="B495" t="str">
            <v>HTAMNR</v>
          </cell>
          <cell r="C495" t="str">
            <v>Herramienta y equipo menor</v>
          </cell>
          <cell r="D495" t="str">
            <v>%</v>
          </cell>
          <cell r="F495">
            <v>0.05</v>
          </cell>
          <cell r="G495">
            <v>1957.8767653546668</v>
          </cell>
          <cell r="H495">
            <v>97.893838267733344</v>
          </cell>
        </row>
        <row r="496">
          <cell r="B496" t="str">
            <v>II. MATERIALES</v>
          </cell>
          <cell r="H496">
            <v>15222.096</v>
          </cell>
        </row>
        <row r="497">
          <cell r="B497" t="str">
            <v>EL1150</v>
          </cell>
          <cell r="C497" t="str">
            <v xml:space="preserve">Interruptor Doble Blanco </v>
          </cell>
          <cell r="D497" t="str">
            <v>un</v>
          </cell>
          <cell r="E497">
            <v>1</v>
          </cell>
          <cell r="G497">
            <v>12500</v>
          </cell>
          <cell r="H497">
            <v>12500</v>
          </cell>
        </row>
        <row r="498">
          <cell r="B498" t="str">
            <v>EL1090</v>
          </cell>
          <cell r="C498" t="str">
            <v>Caja sencilla 2"x4" PVC</v>
          </cell>
          <cell r="D498" t="str">
            <v>un</v>
          </cell>
          <cell r="E498">
            <v>1</v>
          </cell>
          <cell r="G498">
            <v>2100</v>
          </cell>
          <cell r="H498">
            <v>2100</v>
          </cell>
        </row>
        <row r="499">
          <cell r="B499" t="str">
            <v>EL1180</v>
          </cell>
          <cell r="C499" t="str">
            <v>Adaptadores terminales PVC 1/2" Conduit o similar</v>
          </cell>
          <cell r="D499" t="str">
            <v>un</v>
          </cell>
          <cell r="E499">
            <v>2</v>
          </cell>
          <cell r="G499">
            <v>100</v>
          </cell>
          <cell r="H499">
            <v>200</v>
          </cell>
        </row>
        <row r="500">
          <cell r="B500" t="str">
            <v>AD1280</v>
          </cell>
          <cell r="C500" t="str">
            <v>Soldadura PVC 1/4 gal o similar</v>
          </cell>
          <cell r="D500" t="str">
            <v>gal</v>
          </cell>
          <cell r="E500">
            <v>4.0000000000000001E-3</v>
          </cell>
          <cell r="G500">
            <v>105524</v>
          </cell>
          <cell r="H500">
            <v>422.096</v>
          </cell>
        </row>
        <row r="501">
          <cell r="B501" t="str">
            <v>III. TRANSPORTES</v>
          </cell>
          <cell r="E501" t="str">
            <v>Km</v>
          </cell>
          <cell r="F501" t="str">
            <v>PESO</v>
          </cell>
          <cell r="G501" t="str">
            <v>T/KM</v>
          </cell>
          <cell r="H501">
            <v>5.2004399999999995</v>
          </cell>
        </row>
        <row r="502">
          <cell r="B502" t="str">
            <v>TR1070</v>
          </cell>
          <cell r="C502" t="str">
            <v xml:space="preserve">Transporte de materiales varios </v>
          </cell>
          <cell r="D502" t="str">
            <v>T/km</v>
          </cell>
          <cell r="E502">
            <v>30</v>
          </cell>
          <cell r="F502">
            <v>2.4763999999999998E-4</v>
          </cell>
          <cell r="G502">
            <v>700</v>
          </cell>
          <cell r="H502">
            <v>5.2004399999999995</v>
          </cell>
        </row>
        <row r="503">
          <cell r="B503" t="str">
            <v>IV. MANO DE OBRA</v>
          </cell>
          <cell r="H503">
            <v>1957.8767653546668</v>
          </cell>
        </row>
        <row r="504">
          <cell r="B504" t="str">
            <v>MOFICIAL</v>
          </cell>
          <cell r="C504" t="str">
            <v>Mo oficial</v>
          </cell>
          <cell r="D504" t="str">
            <v>día</v>
          </cell>
          <cell r="E504">
            <v>1.4999999999999999E-2</v>
          </cell>
          <cell r="G504">
            <v>130525.11769031112</v>
          </cell>
          <cell r="H504">
            <v>1957.8767653546668</v>
          </cell>
        </row>
        <row r="505">
          <cell r="B505" t="str">
            <v>7.6</v>
          </cell>
          <cell r="C505" t="str">
            <v xml:space="preserve">Suministro e instalación de plafones, salidas para iluminación. En baquelita, blanco, de sobreponer. Incluye caja, accesorios, fijaciones y todos los elementos para su correcta instalación. Los materiales deben cumplir con certificación RETIE. </v>
          </cell>
          <cell r="D505" t="str">
            <v>Un</v>
          </cell>
          <cell r="E505">
            <v>10</v>
          </cell>
          <cell r="G505" t="str">
            <v/>
          </cell>
          <cell r="H505">
            <v>9783</v>
          </cell>
        </row>
        <row r="506">
          <cell r="B506" t="str">
            <v>I. EQUIPO Y HERRAMIENTA</v>
          </cell>
          <cell r="H506">
            <v>97.893838267733344</v>
          </cell>
        </row>
        <row r="507">
          <cell r="B507" t="str">
            <v>HTAMNR</v>
          </cell>
          <cell r="C507" t="str">
            <v>Herramienta y equipo menor</v>
          </cell>
          <cell r="D507" t="str">
            <v>%</v>
          </cell>
          <cell r="F507">
            <v>0.05</v>
          </cell>
          <cell r="G507">
            <v>1957.8767653546668</v>
          </cell>
          <cell r="H507">
            <v>97.893838267733344</v>
          </cell>
        </row>
        <row r="508">
          <cell r="B508" t="str">
            <v>II. MATERIALES</v>
          </cell>
          <cell r="H508">
            <v>7722.0959999999995</v>
          </cell>
        </row>
        <row r="509">
          <cell r="B509" t="str">
            <v>EL1130</v>
          </cell>
          <cell r="C509" t="str">
            <v>Plafón en baquelita tipo AVE o similar</v>
          </cell>
          <cell r="D509" t="str">
            <v>un</v>
          </cell>
          <cell r="E509">
            <v>1</v>
          </cell>
          <cell r="G509">
            <v>4500</v>
          </cell>
          <cell r="H509">
            <v>4500</v>
          </cell>
        </row>
        <row r="510">
          <cell r="B510" t="str">
            <v>EL1135</v>
          </cell>
          <cell r="C510" t="str">
            <v>Caja Octagonal PVC Pavco o similar</v>
          </cell>
          <cell r="D510" t="str">
            <v>un</v>
          </cell>
          <cell r="E510">
            <v>1</v>
          </cell>
          <cell r="G510">
            <v>2600</v>
          </cell>
          <cell r="H510">
            <v>2600</v>
          </cell>
        </row>
        <row r="511">
          <cell r="B511" t="str">
            <v>EL1180</v>
          </cell>
          <cell r="C511" t="str">
            <v>Adaptadores terminales PVC 1/2" Conduit o similar</v>
          </cell>
          <cell r="D511" t="str">
            <v>un</v>
          </cell>
          <cell r="E511">
            <v>2</v>
          </cell>
          <cell r="G511">
            <v>100</v>
          </cell>
          <cell r="H511">
            <v>200</v>
          </cell>
        </row>
        <row r="512">
          <cell r="B512" t="str">
            <v>AD1280</v>
          </cell>
          <cell r="C512" t="str">
            <v>Soldadura PVC 1/4 gal o similar</v>
          </cell>
          <cell r="D512" t="str">
            <v>gal</v>
          </cell>
          <cell r="E512">
            <v>4.0000000000000001E-3</v>
          </cell>
          <cell r="G512">
            <v>105524</v>
          </cell>
          <cell r="H512">
            <v>422.096</v>
          </cell>
        </row>
        <row r="513">
          <cell r="B513" t="str">
            <v>III. TRANSPORTES</v>
          </cell>
          <cell r="E513" t="str">
            <v>Km</v>
          </cell>
          <cell r="F513" t="str">
            <v>PESO</v>
          </cell>
          <cell r="G513" t="str">
            <v>T/KM</v>
          </cell>
          <cell r="H513">
            <v>4.7804399999999996</v>
          </cell>
        </row>
        <row r="514">
          <cell r="B514" t="str">
            <v>TR1070</v>
          </cell>
          <cell r="C514" t="str">
            <v xml:space="preserve">Transporte de materiales varios </v>
          </cell>
          <cell r="D514" t="str">
            <v>T/km</v>
          </cell>
          <cell r="E514">
            <v>30</v>
          </cell>
          <cell r="F514">
            <v>2.2763999999999998E-4</v>
          </cell>
          <cell r="G514">
            <v>700</v>
          </cell>
          <cell r="H514">
            <v>4.7804399999999996</v>
          </cell>
        </row>
        <row r="515">
          <cell r="B515" t="str">
            <v>IV. MANO DE OBRA</v>
          </cell>
          <cell r="H515">
            <v>1957.8767653546668</v>
          </cell>
        </row>
        <row r="516">
          <cell r="B516" t="str">
            <v>MOFICIAL</v>
          </cell>
          <cell r="C516" t="str">
            <v>Mo oficial</v>
          </cell>
          <cell r="D516" t="str">
            <v>día</v>
          </cell>
          <cell r="E516">
            <v>1.4999999999999999E-2</v>
          </cell>
          <cell r="G516">
            <v>130525.11769031112</v>
          </cell>
          <cell r="H516">
            <v>1957.8767653546668</v>
          </cell>
        </row>
        <row r="517">
          <cell r="B517" t="str">
            <v>7.7</v>
          </cell>
          <cell r="C517" t="str">
            <v xml:space="preserve">Suministro e instalación de protección del circuito de 1x20A. Los materiales deben cumplir con certificación RETIE. </v>
          </cell>
          <cell r="D517" t="str">
            <v>Un</v>
          </cell>
          <cell r="E517">
            <v>7</v>
          </cell>
          <cell r="G517" t="str">
            <v/>
          </cell>
          <cell r="H517">
            <v>12159</v>
          </cell>
        </row>
        <row r="518">
          <cell r="B518" t="str">
            <v>I. EQUIPO Y HERRAMIENTA</v>
          </cell>
          <cell r="H518">
            <v>97.893838267733344</v>
          </cell>
        </row>
        <row r="519">
          <cell r="B519" t="str">
            <v>HTAMNR</v>
          </cell>
          <cell r="C519" t="str">
            <v>Herramienta y equipo menor</v>
          </cell>
          <cell r="D519" t="str">
            <v>%</v>
          </cell>
          <cell r="F519">
            <v>0.05</v>
          </cell>
          <cell r="G519">
            <v>1957.8767653546668</v>
          </cell>
          <cell r="H519">
            <v>97.893838267733344</v>
          </cell>
        </row>
        <row r="520">
          <cell r="B520" t="str">
            <v>II. MATERIALES</v>
          </cell>
          <cell r="H520">
            <v>10100</v>
          </cell>
        </row>
        <row r="521">
          <cell r="B521" t="str">
            <v>EL1030</v>
          </cell>
          <cell r="C521" t="str">
            <v>Breaker de 1x20A enchufable</v>
          </cell>
          <cell r="D521" t="str">
            <v>un</v>
          </cell>
          <cell r="E521">
            <v>1</v>
          </cell>
          <cell r="G521">
            <v>10100</v>
          </cell>
          <cell r="H521">
            <v>10100</v>
          </cell>
        </row>
        <row r="522">
          <cell r="B522" t="str">
            <v>III. TRANSPORTES</v>
          </cell>
          <cell r="E522" t="str">
            <v>Km</v>
          </cell>
          <cell r="F522" t="str">
            <v>PESO</v>
          </cell>
          <cell r="G522" t="str">
            <v>T/KM</v>
          </cell>
          <cell r="H522">
            <v>3.15</v>
          </cell>
        </row>
        <row r="523">
          <cell r="B523" t="str">
            <v>TR1070</v>
          </cell>
          <cell r="C523" t="str">
            <v xml:space="preserve">Transporte de materiales varios </v>
          </cell>
          <cell r="D523" t="str">
            <v>T/km</v>
          </cell>
          <cell r="E523">
            <v>30</v>
          </cell>
          <cell r="F523">
            <v>1.4999999999999999E-4</v>
          </cell>
          <cell r="G523">
            <v>700</v>
          </cell>
          <cell r="H523">
            <v>3.15</v>
          </cell>
        </row>
        <row r="524">
          <cell r="B524" t="str">
            <v>IV. MANO DE OBRA</v>
          </cell>
          <cell r="H524">
            <v>1957.8767653546668</v>
          </cell>
        </row>
        <row r="525">
          <cell r="B525" t="str">
            <v>MOFICIAL</v>
          </cell>
          <cell r="C525" t="str">
            <v>Mo oficial</v>
          </cell>
          <cell r="D525" t="str">
            <v>día</v>
          </cell>
          <cell r="E525">
            <v>1.4999999999999999E-2</v>
          </cell>
          <cell r="G525">
            <v>130525.11769031112</v>
          </cell>
          <cell r="H525">
            <v>1957.8767653546668</v>
          </cell>
        </row>
        <row r="526">
          <cell r="B526" t="str">
            <v>7.8</v>
          </cell>
          <cell r="C526" t="str">
            <v xml:space="preserve">Suministro e instalación de protección del circuito de 1x30A. Los materiales deben cumplir con certificación RETIE. </v>
          </cell>
          <cell r="D526" t="str">
            <v>Un</v>
          </cell>
          <cell r="E526">
            <v>2</v>
          </cell>
          <cell r="G526" t="str">
            <v/>
          </cell>
          <cell r="H526">
            <v>15959</v>
          </cell>
        </row>
        <row r="527">
          <cell r="B527" t="str">
            <v>I. EQUIPO Y HERRAMIENTA</v>
          </cell>
          <cell r="H527">
            <v>97.893838267733344</v>
          </cell>
        </row>
        <row r="528">
          <cell r="B528" t="str">
            <v>HTAMNR</v>
          </cell>
          <cell r="C528" t="str">
            <v>Herramienta y equipo menor</v>
          </cell>
          <cell r="D528" t="str">
            <v>%</v>
          </cell>
          <cell r="F528">
            <v>0.05</v>
          </cell>
          <cell r="G528">
            <v>1957.8767653546668</v>
          </cell>
          <cell r="H528">
            <v>97.893838267733344</v>
          </cell>
        </row>
        <row r="529">
          <cell r="B529" t="str">
            <v>II. MATERIALES</v>
          </cell>
          <cell r="H529">
            <v>13900</v>
          </cell>
        </row>
        <row r="530">
          <cell r="B530" t="str">
            <v>EL1040</v>
          </cell>
          <cell r="C530" t="str">
            <v>Breaker de 1x30A enchufable</v>
          </cell>
          <cell r="D530" t="str">
            <v>un</v>
          </cell>
          <cell r="E530">
            <v>1</v>
          </cell>
          <cell r="G530">
            <v>13900</v>
          </cell>
          <cell r="H530">
            <v>13900</v>
          </cell>
        </row>
        <row r="531">
          <cell r="B531" t="str">
            <v>III. TRANSPORTES</v>
          </cell>
          <cell r="E531" t="str">
            <v>Km</v>
          </cell>
          <cell r="F531" t="str">
            <v>PESO</v>
          </cell>
          <cell r="G531" t="str">
            <v>T/KM</v>
          </cell>
          <cell r="H531">
            <v>3.15</v>
          </cell>
        </row>
        <row r="532">
          <cell r="B532" t="str">
            <v>TR1070</v>
          </cell>
          <cell r="C532" t="str">
            <v xml:space="preserve">Transporte de materiales varios </v>
          </cell>
          <cell r="D532" t="str">
            <v>T/km</v>
          </cell>
          <cell r="E532">
            <v>30</v>
          </cell>
          <cell r="F532">
            <v>1.4999999999999999E-4</v>
          </cell>
          <cell r="G532">
            <v>700</v>
          </cell>
          <cell r="H532">
            <v>3.15</v>
          </cell>
        </row>
        <row r="533">
          <cell r="B533" t="str">
            <v>IV. MANO DE OBRA</v>
          </cell>
          <cell r="H533">
            <v>1957.8767653546668</v>
          </cell>
        </row>
        <row r="534">
          <cell r="B534" t="str">
            <v>MOFICIAL</v>
          </cell>
          <cell r="C534" t="str">
            <v>Mo oficial</v>
          </cell>
          <cell r="D534" t="str">
            <v>día</v>
          </cell>
          <cell r="E534">
            <v>1.4999999999999999E-2</v>
          </cell>
          <cell r="G534">
            <v>130525.11769031112</v>
          </cell>
          <cell r="H534">
            <v>1957.8767653546668</v>
          </cell>
        </row>
        <row r="535">
          <cell r="B535" t="str">
            <v>7.9</v>
          </cell>
          <cell r="C535" t="str">
            <v>Suministro e instalación de cable antifraude 2 N° 8 Cu THWN + 1 N° 8 Cu THWN. Los materiales deben cumplir con Certificación RETIE.</v>
          </cell>
          <cell r="D535" t="str">
            <v>m</v>
          </cell>
          <cell r="E535">
            <v>10</v>
          </cell>
          <cell r="G535" t="str">
            <v/>
          </cell>
          <cell r="H535">
            <v>28562</v>
          </cell>
        </row>
        <row r="536">
          <cell r="B536" t="str">
            <v>I. EQUIPO Y HERRAMIENTA</v>
          </cell>
          <cell r="H536">
            <v>97.893838267733344</v>
          </cell>
        </row>
        <row r="537">
          <cell r="B537" t="str">
            <v>HTAMNR</v>
          </cell>
          <cell r="C537" t="str">
            <v>Herramienta y equipo menor</v>
          </cell>
          <cell r="D537" t="str">
            <v>%</v>
          </cell>
          <cell r="F537">
            <v>0.05</v>
          </cell>
          <cell r="G537">
            <v>1957.8767653546668</v>
          </cell>
          <cell r="H537">
            <v>97.893838267733344</v>
          </cell>
        </row>
        <row r="538">
          <cell r="B538" t="str">
            <v>II. MATERIALES</v>
          </cell>
          <cell r="H538">
            <v>26500</v>
          </cell>
        </row>
        <row r="539">
          <cell r="B539" t="str">
            <v>EL1050</v>
          </cell>
          <cell r="C539" t="str">
            <v>Cable antifraude N°2 x 8 + 8 AWG</v>
          </cell>
          <cell r="D539" t="str">
            <v>m</v>
          </cell>
          <cell r="E539">
            <v>1</v>
          </cell>
          <cell r="G539">
            <v>26500</v>
          </cell>
          <cell r="H539">
            <v>26500</v>
          </cell>
        </row>
        <row r="540">
          <cell r="B540" t="str">
            <v>III. TRANSPORTES</v>
          </cell>
          <cell r="E540" t="str">
            <v>Km</v>
          </cell>
          <cell r="F540" t="str">
            <v>PESO</v>
          </cell>
          <cell r="G540" t="str">
            <v>T/KM</v>
          </cell>
          <cell r="H540">
            <v>6.3</v>
          </cell>
        </row>
        <row r="541">
          <cell r="B541" t="str">
            <v>TR1070</v>
          </cell>
          <cell r="C541" t="str">
            <v xml:space="preserve">Transporte de materiales varios </v>
          </cell>
          <cell r="D541" t="str">
            <v>T/km</v>
          </cell>
          <cell r="E541">
            <v>30</v>
          </cell>
          <cell r="F541">
            <v>2.9999999999999997E-4</v>
          </cell>
          <cell r="G541">
            <v>700</v>
          </cell>
          <cell r="H541">
            <v>6.3</v>
          </cell>
        </row>
        <row r="542">
          <cell r="B542" t="str">
            <v>IV. MANO DE OBRA</v>
          </cell>
          <cell r="H542">
            <v>1957.8767653546668</v>
          </cell>
        </row>
        <row r="543">
          <cell r="B543" t="str">
            <v>MOFICIAL</v>
          </cell>
          <cell r="C543" t="str">
            <v>Mo oficial</v>
          </cell>
          <cell r="D543" t="str">
            <v>día</v>
          </cell>
          <cell r="E543">
            <v>1.4999999999999999E-2</v>
          </cell>
          <cell r="G543">
            <v>130525.11769031112</v>
          </cell>
          <cell r="H543">
            <v>1957.8767653546668</v>
          </cell>
        </row>
        <row r="544">
          <cell r="B544" t="str">
            <v>7.10</v>
          </cell>
          <cell r="C544" t="str">
            <v>Suministro e instalación de cable de cobre 12AWU-Cu-THHN-THWN 90°C. Los materiales deben cumplir con Certificación RETIE.</v>
          </cell>
          <cell r="D544" t="str">
            <v>m</v>
          </cell>
          <cell r="E544">
            <v>342</v>
          </cell>
          <cell r="G544" t="str">
            <v/>
          </cell>
          <cell r="H544">
            <v>4728</v>
          </cell>
        </row>
        <row r="545">
          <cell r="B545" t="str">
            <v>I. EQUIPO Y HERRAMIENTA</v>
          </cell>
          <cell r="H545">
            <v>97.893838267733344</v>
          </cell>
        </row>
        <row r="546">
          <cell r="B546" t="str">
            <v>HTAMNR</v>
          </cell>
          <cell r="C546" t="str">
            <v>Herramienta y equipo menor</v>
          </cell>
          <cell r="D546" t="str">
            <v>%</v>
          </cell>
          <cell r="F546">
            <v>0.05</v>
          </cell>
          <cell r="G546">
            <v>1957.8767653546668</v>
          </cell>
          <cell r="H546">
            <v>97.893838267733344</v>
          </cell>
        </row>
        <row r="547">
          <cell r="B547" t="str">
            <v>II. MATERIALES</v>
          </cell>
          <cell r="H547">
            <v>2670</v>
          </cell>
        </row>
        <row r="548">
          <cell r="B548" t="str">
            <v>EL1060</v>
          </cell>
          <cell r="C548" t="str">
            <v>Cable de cobre N°12 AWG-Cu-THHN-THWN 90°C</v>
          </cell>
          <cell r="D548" t="str">
            <v>m</v>
          </cell>
          <cell r="E548">
            <v>1</v>
          </cell>
          <cell r="G548">
            <v>2670</v>
          </cell>
          <cell r="H548">
            <v>2670</v>
          </cell>
        </row>
        <row r="549">
          <cell r="B549" t="str">
            <v>III. TRANSPORTES</v>
          </cell>
          <cell r="E549" t="str">
            <v>Km</v>
          </cell>
          <cell r="F549" t="str">
            <v>PESO</v>
          </cell>
          <cell r="G549" t="str">
            <v>T/KM</v>
          </cell>
          <cell r="H549">
            <v>2.1</v>
          </cell>
        </row>
        <row r="550">
          <cell r="B550" t="str">
            <v>TR1070</v>
          </cell>
          <cell r="C550" t="str">
            <v xml:space="preserve">Transporte de materiales varios </v>
          </cell>
          <cell r="D550" t="str">
            <v>T/km</v>
          </cell>
          <cell r="E550">
            <v>30</v>
          </cell>
          <cell r="F550">
            <v>1E-4</v>
          </cell>
          <cell r="G550">
            <v>700</v>
          </cell>
          <cell r="H550">
            <v>2.1</v>
          </cell>
        </row>
        <row r="551">
          <cell r="B551" t="str">
            <v>IV. MANO DE OBRA</v>
          </cell>
          <cell r="H551">
            <v>1957.8767653546668</v>
          </cell>
        </row>
        <row r="552">
          <cell r="B552" t="str">
            <v>MOFICIAL</v>
          </cell>
          <cell r="C552" t="str">
            <v>Mo oficial</v>
          </cell>
          <cell r="D552" t="str">
            <v>día</v>
          </cell>
          <cell r="E552">
            <v>1.4999999999999999E-2</v>
          </cell>
          <cell r="G552">
            <v>130525.11769031112</v>
          </cell>
          <cell r="H552">
            <v>1957.8767653546668</v>
          </cell>
        </row>
        <row r="553">
          <cell r="B553" t="str">
            <v>7.11</v>
          </cell>
          <cell r="C553" t="str">
            <v xml:space="preserve">Suministro e instalación de tubería PVC 1/2" tipo Conduit o similar. Incluye accesorios y todos los elementos para su correcta instalación. Los materiales deben cumplir con certificación RETIE. </v>
          </cell>
          <cell r="D553" t="str">
            <v>m</v>
          </cell>
          <cell r="E553">
            <v>96.22</v>
          </cell>
          <cell r="G553" t="str">
            <v/>
          </cell>
          <cell r="H553">
            <v>5242</v>
          </cell>
        </row>
        <row r="554">
          <cell r="B554" t="str">
            <v>I. EQUIPO Y HERRAMIENTA</v>
          </cell>
          <cell r="H554">
            <v>97.893838267733344</v>
          </cell>
        </row>
        <row r="555">
          <cell r="B555" t="str">
            <v>HTAMNR</v>
          </cell>
          <cell r="C555" t="str">
            <v>Herramienta y equipo menor</v>
          </cell>
          <cell r="D555" t="str">
            <v>%</v>
          </cell>
          <cell r="F555">
            <v>0.05</v>
          </cell>
          <cell r="G555">
            <v>1957.8767653546668</v>
          </cell>
          <cell r="H555">
            <v>97.893838267733344</v>
          </cell>
        </row>
        <row r="556">
          <cell r="B556" t="str">
            <v>II. MATERIALES</v>
          </cell>
          <cell r="H556">
            <v>3177.62</v>
          </cell>
        </row>
        <row r="557">
          <cell r="B557" t="str">
            <v>EL1220</v>
          </cell>
          <cell r="C557" t="str">
            <v>Tubería PVC Conduit de 1/2"</v>
          </cell>
          <cell r="D557" t="str">
            <v>m</v>
          </cell>
          <cell r="E557">
            <v>1</v>
          </cell>
          <cell r="G557">
            <v>2500</v>
          </cell>
          <cell r="H557">
            <v>2500</v>
          </cell>
        </row>
        <row r="558">
          <cell r="B558" t="str">
            <v>EL1110</v>
          </cell>
          <cell r="C558" t="str">
            <v>Curvas 90° CxE 1/2" PVC Conduit o similar</v>
          </cell>
          <cell r="D558" t="str">
            <v>un</v>
          </cell>
          <cell r="E558">
            <v>0.1</v>
          </cell>
          <cell r="G558">
            <v>1500</v>
          </cell>
          <cell r="H558">
            <v>150</v>
          </cell>
        </row>
        <row r="559">
          <cell r="B559" t="str">
            <v>AD1280</v>
          </cell>
          <cell r="C559" t="str">
            <v>Soldadura PVC 1/4 gal o similar</v>
          </cell>
          <cell r="D559" t="str">
            <v>gal</v>
          </cell>
          <cell r="E559">
            <v>5.0000000000000001E-3</v>
          </cell>
          <cell r="G559">
            <v>105524</v>
          </cell>
          <cell r="H559">
            <v>527.62</v>
          </cell>
        </row>
        <row r="560">
          <cell r="B560" t="str">
            <v>III. TRANSPORTES</v>
          </cell>
          <cell r="E560" t="str">
            <v>Km</v>
          </cell>
          <cell r="F560" t="str">
            <v>PESO</v>
          </cell>
          <cell r="G560" t="str">
            <v>T/KM</v>
          </cell>
          <cell r="H560">
            <v>9.0226499999999987</v>
          </cell>
        </row>
        <row r="561">
          <cell r="B561" t="str">
            <v>TR1070</v>
          </cell>
          <cell r="C561" t="str">
            <v xml:space="preserve">Transporte de materiales varios </v>
          </cell>
          <cell r="D561" t="str">
            <v>T/km</v>
          </cell>
          <cell r="E561">
            <v>30</v>
          </cell>
          <cell r="F561">
            <v>4.2964999999999995E-4</v>
          </cell>
          <cell r="G561">
            <v>700</v>
          </cell>
          <cell r="H561">
            <v>9.0226499999999987</v>
          </cell>
        </row>
        <row r="562">
          <cell r="B562" t="str">
            <v>IV. MANO DE OBRA</v>
          </cell>
          <cell r="H562">
            <v>1957.8767653546668</v>
          </cell>
        </row>
        <row r="563">
          <cell r="B563" t="str">
            <v>MOFICIAL</v>
          </cell>
          <cell r="C563" t="str">
            <v>Mo oficial</v>
          </cell>
          <cell r="D563" t="str">
            <v>día</v>
          </cell>
          <cell r="E563">
            <v>1.4999999999999999E-2</v>
          </cell>
          <cell r="G563">
            <v>130525.11769031112</v>
          </cell>
          <cell r="H563">
            <v>1957.8767653546668</v>
          </cell>
        </row>
        <row r="564">
          <cell r="B564" t="str">
            <v>7.12</v>
          </cell>
          <cell r="C564" t="str">
            <v xml:space="preserve">Suministro e instalación de tubería PVC 3/4" tipo Conduit o similar. Incluye accesorios y todos los elementos para su correcta instalación. Los materiales deben cumplir con certificación RETIE. </v>
          </cell>
          <cell r="D564" t="str">
            <v>m</v>
          </cell>
          <cell r="E564">
            <v>4</v>
          </cell>
          <cell r="G564" t="str">
            <v/>
          </cell>
          <cell r="H564">
            <v>6102</v>
          </cell>
        </row>
        <row r="565">
          <cell r="B565" t="str">
            <v>I. EQUIPO Y HERRAMIENTA</v>
          </cell>
          <cell r="H565">
            <v>97.893838267733344</v>
          </cell>
        </row>
        <row r="566">
          <cell r="B566" t="str">
            <v>HTAMNR</v>
          </cell>
          <cell r="C566" t="str">
            <v>Herramienta y equipo menor</v>
          </cell>
          <cell r="D566" t="str">
            <v>%</v>
          </cell>
          <cell r="F566">
            <v>0.05</v>
          </cell>
          <cell r="G566">
            <v>1957.8767653546668</v>
          </cell>
          <cell r="H566">
            <v>97.893838267733344</v>
          </cell>
        </row>
        <row r="567">
          <cell r="B567" t="str">
            <v>II. MATERIALES</v>
          </cell>
          <cell r="H567">
            <v>4032.62</v>
          </cell>
        </row>
        <row r="568">
          <cell r="B568" t="str">
            <v>EL1230</v>
          </cell>
          <cell r="C568" t="str">
            <v>Tubería PVC Conduit de 3/4"</v>
          </cell>
          <cell r="D568" t="str">
            <v>m</v>
          </cell>
          <cell r="E568">
            <v>1</v>
          </cell>
          <cell r="G568">
            <v>3300</v>
          </cell>
          <cell r="H568">
            <v>3300</v>
          </cell>
        </row>
        <row r="569">
          <cell r="B569" t="str">
            <v>EL1112</v>
          </cell>
          <cell r="C569" t="str">
            <v>Curvas 90° CxE 3/4" PVC Conduit o similar</v>
          </cell>
          <cell r="D569" t="str">
            <v>un</v>
          </cell>
          <cell r="E569">
            <v>0.1</v>
          </cell>
          <cell r="G569">
            <v>2050</v>
          </cell>
          <cell r="H569">
            <v>205</v>
          </cell>
        </row>
        <row r="570">
          <cell r="B570" t="str">
            <v>AD1280</v>
          </cell>
          <cell r="C570" t="str">
            <v>Soldadura PVC 1/4 gal o similar</v>
          </cell>
          <cell r="D570" t="str">
            <v>gal</v>
          </cell>
          <cell r="E570">
            <v>5.0000000000000001E-3</v>
          </cell>
          <cell r="G570">
            <v>105524</v>
          </cell>
          <cell r="H570">
            <v>527.62</v>
          </cell>
        </row>
        <row r="571">
          <cell r="B571" t="str">
            <v>III. TRANSPORTES</v>
          </cell>
          <cell r="E571" t="str">
            <v>Km</v>
          </cell>
          <cell r="F571" t="str">
            <v>PESO</v>
          </cell>
          <cell r="G571" t="str">
            <v>T/KM</v>
          </cell>
          <cell r="H571">
            <v>13.852650000000002</v>
          </cell>
        </row>
        <row r="572">
          <cell r="B572" t="str">
            <v>TR1070</v>
          </cell>
          <cell r="C572" t="str">
            <v xml:space="preserve">Transporte de materiales varios </v>
          </cell>
          <cell r="D572" t="str">
            <v>T/km</v>
          </cell>
          <cell r="E572">
            <v>30</v>
          </cell>
          <cell r="F572">
            <v>6.5965000000000012E-4</v>
          </cell>
          <cell r="G572">
            <v>700</v>
          </cell>
          <cell r="H572">
            <v>13.852650000000002</v>
          </cell>
        </row>
        <row r="573">
          <cell r="B573" t="str">
            <v>IV. MANO DE OBRA</v>
          </cell>
          <cell r="H573">
            <v>1957.8767653546668</v>
          </cell>
        </row>
        <row r="574">
          <cell r="B574" t="str">
            <v>MOFICIAL</v>
          </cell>
          <cell r="C574" t="str">
            <v>Mo oficial</v>
          </cell>
          <cell r="D574" t="str">
            <v>día</v>
          </cell>
          <cell r="E574">
            <v>1.4999999999999999E-2</v>
          </cell>
          <cell r="G574">
            <v>130525.11769031112</v>
          </cell>
          <cell r="H574">
            <v>1957.8767653546668</v>
          </cell>
        </row>
        <row r="575">
          <cell r="B575" t="str">
            <v>7.13</v>
          </cell>
          <cell r="C575" t="str">
            <v>Suministro e instalación de tablero de distribución de 8 circuitos con todos los elementos para su correcta instalación. Los materiales deben cumplir con certificación RETIE.</v>
          </cell>
          <cell r="D575" t="str">
            <v>Un</v>
          </cell>
          <cell r="E575">
            <v>1</v>
          </cell>
          <cell r="G575" t="str">
            <v/>
          </cell>
          <cell r="H575">
            <v>64890</v>
          </cell>
        </row>
        <row r="576">
          <cell r="B576" t="str">
            <v>I. EQUIPO Y HERRAMIENTA</v>
          </cell>
          <cell r="H576">
            <v>326.31279422577785</v>
          </cell>
        </row>
        <row r="577">
          <cell r="B577" t="str">
            <v>HTAMNR</v>
          </cell>
          <cell r="C577" t="str">
            <v>Herramienta y equipo menor</v>
          </cell>
          <cell r="D577" t="str">
            <v>%</v>
          </cell>
          <cell r="F577">
            <v>0.05</v>
          </cell>
          <cell r="G577">
            <v>6526.2558845155563</v>
          </cell>
          <cell r="H577">
            <v>326.31279422577785</v>
          </cell>
        </row>
        <row r="578">
          <cell r="B578" t="str">
            <v>II. MATERIALES</v>
          </cell>
          <cell r="H578">
            <v>58000</v>
          </cell>
        </row>
        <row r="579">
          <cell r="B579" t="str">
            <v>EL1176</v>
          </cell>
          <cell r="C579" t="str">
            <v>Tablero monofásico de distribución de 8 circuitos</v>
          </cell>
          <cell r="D579" t="str">
            <v>un</v>
          </cell>
          <cell r="E579">
            <v>1</v>
          </cell>
          <cell r="G579">
            <v>58000</v>
          </cell>
          <cell r="H579">
            <v>58000</v>
          </cell>
        </row>
        <row r="580">
          <cell r="B580" t="str">
            <v>III. TRANSPORTES</v>
          </cell>
          <cell r="E580" t="str">
            <v>Km</v>
          </cell>
          <cell r="F580" t="str">
            <v>PESO</v>
          </cell>
          <cell r="G580" t="str">
            <v>T/KM</v>
          </cell>
          <cell r="H580">
            <v>37.799999999999997</v>
          </cell>
        </row>
        <row r="581">
          <cell r="B581" t="str">
            <v>TR1070</v>
          </cell>
          <cell r="C581" t="str">
            <v xml:space="preserve">Transporte de materiales varios </v>
          </cell>
          <cell r="D581" t="str">
            <v>T/km</v>
          </cell>
          <cell r="E581">
            <v>30</v>
          </cell>
          <cell r="F581">
            <v>1.8E-3</v>
          </cell>
          <cell r="G581">
            <v>700</v>
          </cell>
          <cell r="H581">
            <v>37.799999999999997</v>
          </cell>
        </row>
        <row r="582">
          <cell r="B582" t="str">
            <v>IV. MANO DE OBRA</v>
          </cell>
          <cell r="H582">
            <v>6526.2558845155563</v>
          </cell>
        </row>
        <row r="583">
          <cell r="B583" t="str">
            <v>MOFICIAL</v>
          </cell>
          <cell r="C583" t="str">
            <v>Mo oficial</v>
          </cell>
          <cell r="D583" t="str">
            <v>día</v>
          </cell>
          <cell r="E583">
            <v>0.05</v>
          </cell>
          <cell r="G583">
            <v>130525.11769031112</v>
          </cell>
          <cell r="H583">
            <v>6526.2558845155563</v>
          </cell>
        </row>
        <row r="584">
          <cell r="B584" t="str">
            <v>7.14</v>
          </cell>
          <cell r="C584" t="str">
            <v>Suministro e instalación de contador bifásico con todos los elementos para su correcta instalación. Los materiales deben cumplir con Certificación RETIE.</v>
          </cell>
          <cell r="D584" t="str">
            <v>Un</v>
          </cell>
          <cell r="E584">
            <v>1</v>
          </cell>
          <cell r="G584" t="str">
            <v/>
          </cell>
          <cell r="H584">
            <v>154224</v>
          </cell>
        </row>
        <row r="585">
          <cell r="B585" t="str">
            <v>I. EQUIPO Y HERRAMIENTA</v>
          </cell>
          <cell r="H585">
            <v>97.893838267733344</v>
          </cell>
        </row>
        <row r="586">
          <cell r="B586" t="str">
            <v>HTAMNR</v>
          </cell>
          <cell r="C586" t="str">
            <v>Herramienta y equipo menor</v>
          </cell>
          <cell r="D586" t="str">
            <v>%</v>
          </cell>
          <cell r="F586">
            <v>0.05</v>
          </cell>
          <cell r="G586">
            <v>1957.8767653546668</v>
          </cell>
          <cell r="H586">
            <v>97.893838267733344</v>
          </cell>
        </row>
        <row r="587">
          <cell r="B587" t="str">
            <v>II. MATERIALES</v>
          </cell>
          <cell r="H587">
            <v>152114</v>
          </cell>
        </row>
        <row r="588">
          <cell r="B588" t="str">
            <v>EL1100</v>
          </cell>
          <cell r="C588" t="str">
            <v>Contador eléctrico trifilar 240V 5-60 Calibrado</v>
          </cell>
          <cell r="D588" t="str">
            <v>un</v>
          </cell>
          <cell r="E588">
            <v>1</v>
          </cell>
          <cell r="G588">
            <v>110000</v>
          </cell>
          <cell r="H588">
            <v>110000</v>
          </cell>
        </row>
        <row r="589">
          <cell r="B589" t="str">
            <v>EL1080</v>
          </cell>
          <cell r="C589" t="str">
            <v>Caja para contador eléctrico</v>
          </cell>
          <cell r="D589" t="str">
            <v>un</v>
          </cell>
          <cell r="E589">
            <v>1</v>
          </cell>
          <cell r="G589">
            <v>42114</v>
          </cell>
          <cell r="H589">
            <v>42114</v>
          </cell>
        </row>
        <row r="590">
          <cell r="B590" t="str">
            <v>III. TRANSPORTES</v>
          </cell>
          <cell r="E590" t="str">
            <v>Km</v>
          </cell>
          <cell r="F590" t="str">
            <v>PESO</v>
          </cell>
          <cell r="G590" t="str">
            <v>T/KM</v>
          </cell>
          <cell r="H590">
            <v>54.599999999999994</v>
          </cell>
        </row>
        <row r="591">
          <cell r="B591" t="str">
            <v>TR1070</v>
          </cell>
          <cell r="C591" t="str">
            <v xml:space="preserve">Transporte de materiales varios </v>
          </cell>
          <cell r="D591" t="str">
            <v>T/km</v>
          </cell>
          <cell r="E591">
            <v>30</v>
          </cell>
          <cell r="F591">
            <v>2.5999999999999999E-3</v>
          </cell>
          <cell r="G591">
            <v>700</v>
          </cell>
          <cell r="H591">
            <v>54.599999999999994</v>
          </cell>
        </row>
        <row r="592">
          <cell r="B592" t="str">
            <v>IV. MANO DE OBRA</v>
          </cell>
          <cell r="H592">
            <v>1957.8767653546668</v>
          </cell>
        </row>
        <row r="593">
          <cell r="B593" t="str">
            <v>MOFICIAL</v>
          </cell>
          <cell r="C593" t="str">
            <v>Mo oficial</v>
          </cell>
          <cell r="D593" t="str">
            <v>día</v>
          </cell>
          <cell r="E593">
            <v>1.4999999999999999E-2</v>
          </cell>
          <cell r="G593">
            <v>130525.11769031112</v>
          </cell>
          <cell r="H593">
            <v>1957.8767653546668</v>
          </cell>
        </row>
        <row r="594">
          <cell r="B594" t="str">
            <v>7.15</v>
          </cell>
          <cell r="C594" t="str">
            <v>Suministro e instalación de varilla de puesta a tierra, con conector y cable. Debe cumplir con certificación RETIE.</v>
          </cell>
          <cell r="D594" t="str">
            <v>Un</v>
          </cell>
          <cell r="E594">
            <v>1</v>
          </cell>
          <cell r="G594" t="str">
            <v/>
          </cell>
          <cell r="H594">
            <v>216068</v>
          </cell>
        </row>
        <row r="595">
          <cell r="B595" t="str">
            <v>I. EQUIPO Y HERRAMIENTA</v>
          </cell>
          <cell r="H595">
            <v>652.6255884515557</v>
          </cell>
        </row>
        <row r="596">
          <cell r="B596" t="str">
            <v>HTAMNR</v>
          </cell>
          <cell r="C596" t="str">
            <v>Herramienta y equipo menor</v>
          </cell>
          <cell r="D596" t="str">
            <v>%</v>
          </cell>
          <cell r="F596">
            <v>0.05</v>
          </cell>
          <cell r="G596">
            <v>13052.511769031113</v>
          </cell>
          <cell r="H596">
            <v>652.6255884515557</v>
          </cell>
        </row>
        <row r="597">
          <cell r="B597" t="str">
            <v>II. MATERIALES</v>
          </cell>
          <cell r="H597">
            <v>202300</v>
          </cell>
        </row>
        <row r="598">
          <cell r="B598" t="str">
            <v>EL1025</v>
          </cell>
          <cell r="C598" t="str">
            <v>Varilla, conector y cable para instalación de polo a tierra</v>
          </cell>
          <cell r="D598" t="str">
            <v>un</v>
          </cell>
          <cell r="E598">
            <v>1</v>
          </cell>
          <cell r="G598">
            <v>202300</v>
          </cell>
          <cell r="H598">
            <v>202300</v>
          </cell>
        </row>
        <row r="599">
          <cell r="B599" t="str">
            <v>III. TRANSPORTES</v>
          </cell>
          <cell r="E599" t="str">
            <v>Km</v>
          </cell>
          <cell r="F599" t="str">
            <v>PESO</v>
          </cell>
          <cell r="G599" t="str">
            <v>T/KM</v>
          </cell>
          <cell r="H599">
            <v>63</v>
          </cell>
        </row>
        <row r="600">
          <cell r="B600" t="str">
            <v>TR1070</v>
          </cell>
          <cell r="C600" t="str">
            <v xml:space="preserve">Transporte de materiales varios </v>
          </cell>
          <cell r="D600" t="str">
            <v>T/km</v>
          </cell>
          <cell r="E600">
            <v>30</v>
          </cell>
          <cell r="F600">
            <v>3.0000000000000001E-3</v>
          </cell>
          <cell r="G600">
            <v>700</v>
          </cell>
          <cell r="H600">
            <v>63</v>
          </cell>
        </row>
        <row r="601">
          <cell r="B601" t="str">
            <v>IV. MANO DE OBRA</v>
          </cell>
          <cell r="H601">
            <v>13052.511769031113</v>
          </cell>
        </row>
        <row r="602">
          <cell r="B602" t="str">
            <v>MOFICIAL</v>
          </cell>
          <cell r="C602" t="str">
            <v>Mo oficial</v>
          </cell>
          <cell r="D602" t="str">
            <v>día</v>
          </cell>
          <cell r="E602">
            <v>0.1</v>
          </cell>
          <cell r="G602">
            <v>130525.11769031112</v>
          </cell>
          <cell r="H602">
            <v>13052.511769031113</v>
          </cell>
        </row>
        <row r="603">
          <cell r="B603" t="str">
            <v>8.</v>
          </cell>
          <cell r="C603" t="str">
            <v>CARPINTERIA</v>
          </cell>
          <cell r="D603" t="str">
            <v/>
          </cell>
          <cell r="G603" t="str">
            <v/>
          </cell>
        </row>
        <row r="604">
          <cell r="B604" t="str">
            <v>8.1</v>
          </cell>
          <cell r="C604" t="str">
            <v>Suministro e instalación de puerta metálica tipo P-01 de 2 alas batientes de 0.96m x1.30m con alma tipo malla. Incluye marco, chapa económica de seguridad, bisagra perno puerta 3", pintura anticorrosiva color gris.</v>
          </cell>
          <cell r="D604" t="str">
            <v>Un</v>
          </cell>
          <cell r="E604">
            <v>1</v>
          </cell>
          <cell r="G604" t="str">
            <v/>
          </cell>
          <cell r="H604">
            <v>212981</v>
          </cell>
        </row>
        <row r="605">
          <cell r="B605" t="str">
            <v>I. EQUIPO Y HERRAMIENTA</v>
          </cell>
          <cell r="H605">
            <v>828.81568285582239</v>
          </cell>
        </row>
        <row r="606">
          <cell r="B606" t="str">
            <v>HTAMNR</v>
          </cell>
          <cell r="C606" t="str">
            <v>Herramienta y equipo menor</v>
          </cell>
          <cell r="D606" t="str">
            <v>%</v>
          </cell>
          <cell r="F606">
            <v>0.05</v>
          </cell>
          <cell r="G606">
            <v>16576.313657116447</v>
          </cell>
          <cell r="H606">
            <v>828.81568285582239</v>
          </cell>
        </row>
        <row r="607">
          <cell r="B607" t="str">
            <v>II. MATERIALES</v>
          </cell>
          <cell r="H607">
            <v>192800</v>
          </cell>
        </row>
        <row r="608">
          <cell r="B608" t="str">
            <v>MAT1090</v>
          </cell>
          <cell r="C608" t="str">
            <v>Chapa económica</v>
          </cell>
          <cell r="D608" t="str">
            <v>un</v>
          </cell>
          <cell r="E608">
            <v>1</v>
          </cell>
          <cell r="G608">
            <v>26900</v>
          </cell>
          <cell r="H608">
            <v>26900</v>
          </cell>
        </row>
        <row r="609">
          <cell r="B609" t="str">
            <v>MAT1268</v>
          </cell>
          <cell r="C609" t="str">
            <v>Puerta metálica 0,96X1,30, 2 alas incluye marco</v>
          </cell>
          <cell r="D609" t="str">
            <v>un</v>
          </cell>
          <cell r="E609">
            <v>1</v>
          </cell>
          <cell r="G609">
            <v>165900</v>
          </cell>
          <cell r="H609">
            <v>165900</v>
          </cell>
        </row>
        <row r="610">
          <cell r="B610" t="str">
            <v>III. TRANSPORTES</v>
          </cell>
          <cell r="E610" t="str">
            <v>Km</v>
          </cell>
          <cell r="F610" t="str">
            <v>PESO</v>
          </cell>
          <cell r="G610" t="str">
            <v>T/KM</v>
          </cell>
          <cell r="H610">
            <v>2775.5</v>
          </cell>
        </row>
        <row r="611">
          <cell r="B611" t="str">
            <v>TR1070</v>
          </cell>
          <cell r="C611" t="str">
            <v xml:space="preserve">Transporte de materiales varios </v>
          </cell>
          <cell r="D611" t="str">
            <v>T/km</v>
          </cell>
          <cell r="E611">
            <v>130</v>
          </cell>
          <cell r="F611">
            <v>3.0499999999999999E-2</v>
          </cell>
          <cell r="G611">
            <v>700</v>
          </cell>
          <cell r="H611">
            <v>2775.5</v>
          </cell>
        </row>
        <row r="612">
          <cell r="B612" t="str">
            <v>IV. MANO DE OBRA</v>
          </cell>
          <cell r="H612">
            <v>16576.313657116447</v>
          </cell>
        </row>
        <row r="613">
          <cell r="B613" t="str">
            <v>MOFICIAL</v>
          </cell>
          <cell r="C613" t="str">
            <v>Mo oficial</v>
          </cell>
          <cell r="D613" t="str">
            <v>día</v>
          </cell>
          <cell r="E613">
            <v>0.09</v>
          </cell>
          <cell r="G613">
            <v>130525.11769031112</v>
          </cell>
          <cell r="H613">
            <v>11747.260592128001</v>
          </cell>
        </row>
        <row r="614">
          <cell r="B614" t="str">
            <v>MOAYUDR</v>
          </cell>
          <cell r="C614" t="str">
            <v>Mo ayudante raso</v>
          </cell>
          <cell r="D614" t="str">
            <v>día</v>
          </cell>
          <cell r="E614">
            <v>7.0000000000000007E-2</v>
          </cell>
          <cell r="G614">
            <v>68986.472356977785</v>
          </cell>
          <cell r="H614">
            <v>4829.0530649884458</v>
          </cell>
        </row>
        <row r="615">
          <cell r="B615" t="str">
            <v>8.2</v>
          </cell>
          <cell r="C615" t="str">
            <v>Suministro de puerta tipo P-02 en madera entamborada de 0.80x2.10m. Incluye marco, chapa económica, bisagras, pintura inmunizante y demás elementos para su correcto funcionamiento.</v>
          </cell>
          <cell r="D615" t="str">
            <v>Un</v>
          </cell>
          <cell r="E615">
            <v>1</v>
          </cell>
          <cell r="G615" t="str">
            <v/>
          </cell>
          <cell r="H615">
            <v>379802</v>
          </cell>
        </row>
        <row r="616">
          <cell r="B616" t="str">
            <v>I. EQUIPO Y HERRAMIENTA</v>
          </cell>
          <cell r="H616">
            <v>828.81568285582239</v>
          </cell>
        </row>
        <row r="617">
          <cell r="B617" t="str">
            <v>HTAMNR</v>
          </cell>
          <cell r="C617" t="str">
            <v>Herramienta y equipo menor</v>
          </cell>
          <cell r="D617" t="str">
            <v>%</v>
          </cell>
          <cell r="F617">
            <v>0.05</v>
          </cell>
          <cell r="G617">
            <v>16576.313657116447</v>
          </cell>
          <cell r="H617">
            <v>828.81568285582239</v>
          </cell>
        </row>
        <row r="618">
          <cell r="B618" t="str">
            <v>II. MATERIALES</v>
          </cell>
          <cell r="H618">
            <v>360240</v>
          </cell>
        </row>
        <row r="619">
          <cell r="B619" t="str">
            <v>MAT1250</v>
          </cell>
          <cell r="C619" t="str">
            <v>Puerta en madera - 0.80m x 2.10m - incluye marco</v>
          </cell>
          <cell r="D619" t="str">
            <v>un</v>
          </cell>
          <cell r="E619">
            <v>1</v>
          </cell>
          <cell r="G619">
            <v>304140</v>
          </cell>
          <cell r="H619">
            <v>304140</v>
          </cell>
        </row>
        <row r="620">
          <cell r="B620" t="str">
            <v>AD1190</v>
          </cell>
          <cell r="C620" t="str">
            <v>Inmunizante insecticida fungicida para madera transparente 3kg, tipo Merulex o similar</v>
          </cell>
          <cell r="D620" t="str">
            <v>Un</v>
          </cell>
          <cell r="E620">
            <v>0.2</v>
          </cell>
          <cell r="G620">
            <v>146000</v>
          </cell>
          <cell r="H620">
            <v>29200</v>
          </cell>
        </row>
        <row r="621">
          <cell r="B621" t="str">
            <v>MAT1090</v>
          </cell>
          <cell r="C621" t="str">
            <v>Chapa económica</v>
          </cell>
          <cell r="D621" t="str">
            <v>un</v>
          </cell>
          <cell r="E621">
            <v>1</v>
          </cell>
          <cell r="G621">
            <v>26900</v>
          </cell>
          <cell r="H621">
            <v>26900</v>
          </cell>
        </row>
        <row r="622">
          <cell r="B622" t="str">
            <v>III. TRANSPORTES</v>
          </cell>
          <cell r="E622" t="str">
            <v>Km</v>
          </cell>
          <cell r="F622" t="str">
            <v>PESO</v>
          </cell>
          <cell r="G622" t="str">
            <v>T/KM</v>
          </cell>
          <cell r="H622">
            <v>2156.6999999999998</v>
          </cell>
        </row>
        <row r="623">
          <cell r="B623" t="str">
            <v>TR1070</v>
          </cell>
          <cell r="C623" t="str">
            <v xml:space="preserve">Transporte de materiales varios </v>
          </cell>
          <cell r="D623" t="str">
            <v>T/km</v>
          </cell>
          <cell r="E623">
            <v>130</v>
          </cell>
          <cell r="F623">
            <v>2.3699999999999999E-2</v>
          </cell>
          <cell r="G623">
            <v>700</v>
          </cell>
          <cell r="H623">
            <v>2156.6999999999998</v>
          </cell>
        </row>
        <row r="624">
          <cell r="B624" t="str">
            <v>IV. MANO DE OBRA</v>
          </cell>
          <cell r="H624">
            <v>16576.313657116447</v>
          </cell>
        </row>
        <row r="625">
          <cell r="B625" t="str">
            <v>MOFICIAL</v>
          </cell>
          <cell r="C625" t="str">
            <v>Mo oficial</v>
          </cell>
          <cell r="D625" t="str">
            <v>día</v>
          </cell>
          <cell r="E625">
            <v>0.09</v>
          </cell>
          <cell r="G625">
            <v>130525.11769031112</v>
          </cell>
          <cell r="H625">
            <v>11747.260592128001</v>
          </cell>
        </row>
        <row r="626">
          <cell r="B626" t="str">
            <v>MOAYUDR</v>
          </cell>
          <cell r="C626" t="str">
            <v>Mo ayudante raso</v>
          </cell>
          <cell r="D626" t="str">
            <v>día</v>
          </cell>
          <cell r="E626">
            <v>7.0000000000000007E-2</v>
          </cell>
          <cell r="G626">
            <v>68986.472356977785</v>
          </cell>
          <cell r="H626">
            <v>4829.0530649884458</v>
          </cell>
        </row>
        <row r="627">
          <cell r="B627" t="str">
            <v>8.3</v>
          </cell>
          <cell r="C627" t="str">
            <v>Suministro de puerta tipo P-03 en madera entamborada con refuerzo interno de 1.00x2.10m. Incluye marco, chapa económica, bisagras, pintura inmunizante y demás elementos para su correcto funcionamiento.</v>
          </cell>
          <cell r="D627" t="str">
            <v>Un</v>
          </cell>
          <cell r="E627">
            <v>2</v>
          </cell>
          <cell r="G627" t="str">
            <v/>
          </cell>
          <cell r="H627">
            <v>460131</v>
          </cell>
        </row>
        <row r="628">
          <cell r="B628" t="str">
            <v>I. EQUIPO Y HERRAMIENTA</v>
          </cell>
          <cell r="H628">
            <v>828.81568285582239</v>
          </cell>
        </row>
        <row r="629">
          <cell r="B629" t="str">
            <v>HTAMNR</v>
          </cell>
          <cell r="C629" t="str">
            <v>Herramienta y equipo menor</v>
          </cell>
          <cell r="D629" t="str">
            <v>%</v>
          </cell>
          <cell r="F629">
            <v>0.05</v>
          </cell>
          <cell r="G629">
            <v>16576.313657116447</v>
          </cell>
          <cell r="H629">
            <v>828.81568285582239</v>
          </cell>
        </row>
        <row r="630">
          <cell r="B630" t="str">
            <v>II. MATERIALES</v>
          </cell>
          <cell r="H630">
            <v>440351</v>
          </cell>
        </row>
        <row r="631">
          <cell r="B631" t="str">
            <v>MAT1255</v>
          </cell>
          <cell r="C631" t="str">
            <v>Puerta en madera - 1.00m x 2.10m - incluye marco</v>
          </cell>
          <cell r="D631" t="str">
            <v>un</v>
          </cell>
          <cell r="E631">
            <v>1</v>
          </cell>
          <cell r="G631">
            <v>384251</v>
          </cell>
          <cell r="H631">
            <v>384251</v>
          </cell>
        </row>
        <row r="632">
          <cell r="B632" t="str">
            <v>AD1190</v>
          </cell>
          <cell r="C632" t="str">
            <v>Inmunizante insecticida fungicida para madera transparente 3kg, tipo Merulex o similar</v>
          </cell>
          <cell r="D632" t="str">
            <v>Un</v>
          </cell>
          <cell r="E632">
            <v>0.2</v>
          </cell>
          <cell r="G632">
            <v>146000</v>
          </cell>
          <cell r="H632">
            <v>29200</v>
          </cell>
        </row>
        <row r="633">
          <cell r="B633" t="str">
            <v>MAT1090</v>
          </cell>
          <cell r="C633" t="str">
            <v>Chapa económica</v>
          </cell>
          <cell r="D633" t="str">
            <v>un</v>
          </cell>
          <cell r="E633">
            <v>1</v>
          </cell>
          <cell r="G633">
            <v>26900</v>
          </cell>
          <cell r="H633">
            <v>26900</v>
          </cell>
        </row>
        <row r="634">
          <cell r="B634" t="str">
            <v>III. TRANSPORTES</v>
          </cell>
          <cell r="E634" t="str">
            <v>Km</v>
          </cell>
          <cell r="F634" t="str">
            <v>PESO</v>
          </cell>
          <cell r="G634" t="str">
            <v>T/KM</v>
          </cell>
          <cell r="H634">
            <v>2375.1000000000004</v>
          </cell>
        </row>
        <row r="635">
          <cell r="B635" t="str">
            <v>TR1070</v>
          </cell>
          <cell r="C635" t="str">
            <v xml:space="preserve">Transporte de materiales varios </v>
          </cell>
          <cell r="D635" t="str">
            <v>T/km</v>
          </cell>
          <cell r="E635">
            <v>130</v>
          </cell>
          <cell r="F635">
            <v>2.6100000000000002E-2</v>
          </cell>
          <cell r="G635">
            <v>700</v>
          </cell>
          <cell r="H635">
            <v>2375.1000000000004</v>
          </cell>
        </row>
        <row r="636">
          <cell r="B636" t="str">
            <v>IV. MANO DE OBRA</v>
          </cell>
          <cell r="H636">
            <v>16576.313657116447</v>
          </cell>
        </row>
        <row r="637">
          <cell r="B637" t="str">
            <v>MOFICIAL</v>
          </cell>
          <cell r="C637" t="str">
            <v>Mo oficial</v>
          </cell>
          <cell r="D637" t="str">
            <v>día</v>
          </cell>
          <cell r="E637">
            <v>0.09</v>
          </cell>
          <cell r="G637">
            <v>130525.11769031112</v>
          </cell>
          <cell r="H637">
            <v>11747.260592128001</v>
          </cell>
        </row>
        <row r="638">
          <cell r="B638" t="str">
            <v>MOAYUDR</v>
          </cell>
          <cell r="C638" t="str">
            <v>Mo ayudante raso</v>
          </cell>
          <cell r="D638" t="str">
            <v>día</v>
          </cell>
          <cell r="E638">
            <v>7.0000000000000007E-2</v>
          </cell>
          <cell r="G638">
            <v>68986.472356977785</v>
          </cell>
          <cell r="H638">
            <v>4829.0530649884458</v>
          </cell>
        </row>
        <row r="639">
          <cell r="B639" t="str">
            <v>8.4</v>
          </cell>
          <cell r="C639" t="str">
            <v>Suministro de ventana tipo V-01 en madera tipo económica de 1.20x1.20m. Incluye marco, vidrio, bisagras, pintura inmunizante y demás elementos para su correcto funcionamiento.</v>
          </cell>
          <cell r="D639" t="str">
            <v>Un</v>
          </cell>
          <cell r="E639">
            <v>4</v>
          </cell>
          <cell r="G639" t="str">
            <v/>
          </cell>
          <cell r="H639">
            <v>179064</v>
          </cell>
        </row>
        <row r="640">
          <cell r="B640" t="str">
            <v>I. EQUIPO Y HERRAMIENTA</v>
          </cell>
          <cell r="H640">
            <v>828.81568285582239</v>
          </cell>
        </row>
        <row r="641">
          <cell r="B641" t="str">
            <v>HTAMNR</v>
          </cell>
          <cell r="C641" t="str">
            <v>Herramienta y equipo menor</v>
          </cell>
          <cell r="D641" t="str">
            <v>%</v>
          </cell>
          <cell r="F641">
            <v>0.05</v>
          </cell>
          <cell r="G641">
            <v>16576.313657116447</v>
          </cell>
          <cell r="H641">
            <v>828.81568285582239</v>
          </cell>
        </row>
        <row r="642">
          <cell r="B642" t="str">
            <v>II. MATERIALES</v>
          </cell>
          <cell r="H642">
            <v>160000</v>
          </cell>
        </row>
        <row r="643">
          <cell r="B643" t="str">
            <v>MAT1350</v>
          </cell>
          <cell r="C643" t="str">
            <v>Ventana en madera - 1.20m x 1.20m - incluye marco bisagras y vidrio</v>
          </cell>
          <cell r="D643" t="str">
            <v>un</v>
          </cell>
          <cell r="E643">
            <v>1</v>
          </cell>
          <cell r="G643">
            <v>160000</v>
          </cell>
          <cell r="H643">
            <v>160000</v>
          </cell>
        </row>
        <row r="644">
          <cell r="B644" t="str">
            <v>AD1190</v>
          </cell>
          <cell r="C644" t="str">
            <v>Inmunizante insecticida fungicida para madera transparente 3kg, tipo Merulex o similar</v>
          </cell>
          <cell r="D644" t="str">
            <v>Un</v>
          </cell>
          <cell r="E644">
            <v>0.15</v>
          </cell>
          <cell r="G644">
            <v>146000</v>
          </cell>
          <cell r="H644">
            <v>21900</v>
          </cell>
        </row>
        <row r="645">
          <cell r="B645" t="str">
            <v>III. TRANSPORTES</v>
          </cell>
          <cell r="E645" t="str">
            <v>Km</v>
          </cell>
          <cell r="F645" t="str">
            <v>PESO</v>
          </cell>
          <cell r="G645" t="str">
            <v>T/KM</v>
          </cell>
          <cell r="H645">
            <v>1658.4750000000001</v>
          </cell>
        </row>
        <row r="646">
          <cell r="B646" t="str">
            <v>TR1070</v>
          </cell>
          <cell r="C646" t="str">
            <v xml:space="preserve">Transporte de materiales varios </v>
          </cell>
          <cell r="D646" t="str">
            <v>T/km</v>
          </cell>
          <cell r="E646">
            <v>130</v>
          </cell>
          <cell r="F646">
            <v>1.8225000000000002E-2</v>
          </cell>
          <cell r="G646">
            <v>700</v>
          </cell>
          <cell r="H646">
            <v>1658.4750000000001</v>
          </cell>
        </row>
        <row r="647">
          <cell r="B647" t="str">
            <v>IV. MANO DE OBRA</v>
          </cell>
          <cell r="H647">
            <v>16576.313657116447</v>
          </cell>
        </row>
        <row r="648">
          <cell r="B648" t="str">
            <v>MOFICIAL</v>
          </cell>
          <cell r="C648" t="str">
            <v>Mo oficial</v>
          </cell>
          <cell r="D648" t="str">
            <v>día</v>
          </cell>
          <cell r="E648">
            <v>0.09</v>
          </cell>
          <cell r="G648">
            <v>130525.11769031112</v>
          </cell>
          <cell r="H648">
            <v>11747.260592128001</v>
          </cell>
        </row>
        <row r="649">
          <cell r="B649" t="str">
            <v>MOAYUDR</v>
          </cell>
          <cell r="C649" t="str">
            <v>Mo ayudante raso</v>
          </cell>
          <cell r="D649" t="str">
            <v>día</v>
          </cell>
          <cell r="E649">
            <v>7.0000000000000007E-2</v>
          </cell>
          <cell r="G649">
            <v>68986.472356977785</v>
          </cell>
          <cell r="H649">
            <v>4829.0530649884458</v>
          </cell>
        </row>
        <row r="650">
          <cell r="B650" t="str">
            <v>8.5</v>
          </cell>
          <cell r="C650" t="str">
            <v>Suministro de ventana tipo V-02 en madera tipo económica de 1.20x2.40m. Incluye marco, vidrio, bisagras , pintura inmunizante y demás elementos para su correcto funcionamiento.</v>
          </cell>
          <cell r="D650" t="str">
            <v>Un</v>
          </cell>
          <cell r="E650">
            <v>1</v>
          </cell>
          <cell r="G650" t="str">
            <v/>
          </cell>
          <cell r="H650">
            <v>368989</v>
          </cell>
        </row>
        <row r="651">
          <cell r="B651" t="str">
            <v>I. EQUIPO Y HERRAMIENTA</v>
          </cell>
          <cell r="H651">
            <v>828.81568285582239</v>
          </cell>
        </row>
        <row r="652">
          <cell r="B652" t="str">
            <v>HTAMNR</v>
          </cell>
          <cell r="C652" t="str">
            <v>Herramienta y equipo menor</v>
          </cell>
          <cell r="D652" t="str">
            <v>%</v>
          </cell>
          <cell r="F652">
            <v>0.05</v>
          </cell>
          <cell r="G652">
            <v>16576.313657116447</v>
          </cell>
          <cell r="H652">
            <v>828.81568285582239</v>
          </cell>
        </row>
        <row r="653">
          <cell r="B653" t="str">
            <v>II. MATERIALES</v>
          </cell>
          <cell r="H653">
            <v>349200</v>
          </cell>
        </row>
        <row r="654">
          <cell r="B654" t="str">
            <v>MAT1355</v>
          </cell>
          <cell r="C654" t="str">
            <v>Ventana en madera - 1.20m x 2.40m - incluye marco, bisagras y vidrio</v>
          </cell>
          <cell r="D654" t="str">
            <v>un</v>
          </cell>
          <cell r="E654">
            <v>1</v>
          </cell>
          <cell r="G654">
            <v>320000</v>
          </cell>
          <cell r="H654">
            <v>320000</v>
          </cell>
        </row>
        <row r="655">
          <cell r="B655" t="str">
            <v>AD1190</v>
          </cell>
          <cell r="C655" t="str">
            <v>Inmunizante insecticida fungicida para madera transparente 3kg, tipo Merulex o similar</v>
          </cell>
          <cell r="D655" t="str">
            <v>Un</v>
          </cell>
          <cell r="E655">
            <v>0.2</v>
          </cell>
          <cell r="G655">
            <v>146000</v>
          </cell>
          <cell r="H655">
            <v>29200</v>
          </cell>
        </row>
        <row r="656">
          <cell r="B656" t="str">
            <v>III. TRANSPORTES</v>
          </cell>
          <cell r="E656" t="str">
            <v>Km</v>
          </cell>
          <cell r="F656" t="str">
            <v>PESO</v>
          </cell>
          <cell r="G656" t="str">
            <v>T/KM</v>
          </cell>
          <cell r="H656">
            <v>2384.1999999999998</v>
          </cell>
        </row>
        <row r="657">
          <cell r="B657" t="str">
            <v>TR1070</v>
          </cell>
          <cell r="C657" t="str">
            <v xml:space="preserve">Transporte de materiales varios </v>
          </cell>
          <cell r="D657" t="str">
            <v>T/km</v>
          </cell>
          <cell r="E657">
            <v>130</v>
          </cell>
          <cell r="F657">
            <v>2.6199999999999998E-2</v>
          </cell>
          <cell r="G657">
            <v>700</v>
          </cell>
          <cell r="H657">
            <v>2384.1999999999998</v>
          </cell>
        </row>
        <row r="658">
          <cell r="B658" t="str">
            <v>IV. MANO DE OBRA</v>
          </cell>
          <cell r="H658">
            <v>16576.313657116447</v>
          </cell>
        </row>
        <row r="659">
          <cell r="B659" t="str">
            <v>MOFICIAL</v>
          </cell>
          <cell r="C659" t="str">
            <v>Mo oficial</v>
          </cell>
          <cell r="D659" t="str">
            <v>día</v>
          </cell>
          <cell r="E659">
            <v>0.09</v>
          </cell>
          <cell r="G659">
            <v>130525.11769031112</v>
          </cell>
          <cell r="H659">
            <v>11747.260592128001</v>
          </cell>
        </row>
        <row r="660">
          <cell r="B660" t="str">
            <v>MOAYUDR</v>
          </cell>
          <cell r="C660" t="str">
            <v>Mo ayudante raso</v>
          </cell>
          <cell r="D660" t="str">
            <v>día</v>
          </cell>
          <cell r="E660">
            <v>7.0000000000000007E-2</v>
          </cell>
          <cell r="G660">
            <v>68986.472356977785</v>
          </cell>
          <cell r="H660">
            <v>4829.0530649884458</v>
          </cell>
        </row>
        <row r="661">
          <cell r="B661" t="str">
            <v>8.6</v>
          </cell>
          <cell r="C661" t="str">
            <v xml:space="preserve">Suministro e instalación de pasamanos en madera tipo abarco, pino o similar, según diseño. Incluye ángulos metálicos calibre de 1/8" y demás elementos para su correcta fijación a muro de concreto. </v>
          </cell>
          <cell r="D661" t="str">
            <v>m</v>
          </cell>
          <cell r="E661">
            <v>0</v>
          </cell>
          <cell r="G661" t="str">
            <v/>
          </cell>
          <cell r="H661" t="e">
            <v>#DIV/0!</v>
          </cell>
        </row>
        <row r="662">
          <cell r="B662" t="str">
            <v>I. EQUIPO Y HERRAMIENTA</v>
          </cell>
          <cell r="H662">
            <v>1496.3369253546668</v>
          </cell>
        </row>
        <row r="663">
          <cell r="B663" t="str">
            <v>HTAMNR</v>
          </cell>
          <cell r="C663" t="str">
            <v>Herramienta y equipo menor</v>
          </cell>
          <cell r="D663" t="str">
            <v>%</v>
          </cell>
          <cell r="F663">
            <v>0.05</v>
          </cell>
          <cell r="G663">
            <v>29926.738507093334</v>
          </cell>
          <cell r="H663">
            <v>1496.3369253546668</v>
          </cell>
        </row>
        <row r="664">
          <cell r="B664" t="str">
            <v>II. MATERIALES</v>
          </cell>
          <cell r="H664" t="e">
            <v>#DIV/0!</v>
          </cell>
        </row>
        <row r="665">
          <cell r="B665" t="str">
            <v>MAT1200</v>
          </cell>
          <cell r="C665" t="str">
            <v>Liston 4"x4" pino pátula inmunizado</v>
          </cell>
          <cell r="D665" t="str">
            <v>m</v>
          </cell>
          <cell r="E665" t="e">
            <v>#DIV/0!</v>
          </cell>
          <cell r="G665">
            <v>15700</v>
          </cell>
          <cell r="H665" t="e">
            <v>#DIV/0!</v>
          </cell>
        </row>
        <row r="666">
          <cell r="B666" t="str">
            <v>MAT1194</v>
          </cell>
          <cell r="C666" t="str">
            <v>Liston 4"x2" pino pátula inmunizado</v>
          </cell>
          <cell r="D666" t="str">
            <v>m</v>
          </cell>
          <cell r="E666" t="e">
            <v>#DIV/0!</v>
          </cell>
          <cell r="G666">
            <v>7900</v>
          </cell>
          <cell r="H666" t="e">
            <v>#DIV/0!</v>
          </cell>
        </row>
        <row r="667">
          <cell r="B667" t="str">
            <v>MAT1095</v>
          </cell>
          <cell r="C667" t="str">
            <v>Clavo común 37.5 a 100 mm</v>
          </cell>
          <cell r="D667" t="str">
            <v>lb</v>
          </cell>
          <cell r="E667">
            <v>0.08</v>
          </cell>
          <cell r="G667">
            <v>9900</v>
          </cell>
          <cell r="H667">
            <v>792</v>
          </cell>
        </row>
        <row r="668">
          <cell r="B668" t="str">
            <v>CUB1187</v>
          </cell>
          <cell r="C668" t="str">
            <v>Platina metálica de 1/4"</v>
          </cell>
          <cell r="D668" t="str">
            <v>kg</v>
          </cell>
          <cell r="E668">
            <v>8.58</v>
          </cell>
          <cell r="G668">
            <v>12100</v>
          </cell>
          <cell r="H668">
            <v>103818</v>
          </cell>
        </row>
        <row r="669">
          <cell r="B669" t="str">
            <v>CUB1155</v>
          </cell>
          <cell r="C669" t="str">
            <v>Perno en varilla roscada 3/8", incluye dos tuercas</v>
          </cell>
          <cell r="D669" t="str">
            <v>un</v>
          </cell>
          <cell r="E669">
            <v>10</v>
          </cell>
          <cell r="G669">
            <v>3240</v>
          </cell>
          <cell r="H669">
            <v>32400</v>
          </cell>
        </row>
        <row r="670">
          <cell r="B670" t="str">
            <v>CT210KG</v>
          </cell>
          <cell r="C670" t="str">
            <v>Concreto 210kg/cm² 1:2:3</v>
          </cell>
          <cell r="D670" t="str">
            <v>m3</v>
          </cell>
          <cell r="E670">
            <v>0.02</v>
          </cell>
          <cell r="G670">
            <v>583459</v>
          </cell>
          <cell r="H670">
            <v>11669.18</v>
          </cell>
        </row>
        <row r="671">
          <cell r="B671" t="str">
            <v>RF1005</v>
          </cell>
          <cell r="C671" t="str">
            <v>Acero G-60 Figurado</v>
          </cell>
          <cell r="D671" t="str">
            <v>Kg</v>
          </cell>
          <cell r="E671">
            <v>2.8</v>
          </cell>
          <cell r="G671">
            <v>5490</v>
          </cell>
          <cell r="H671">
            <v>15371.999999999998</v>
          </cell>
        </row>
        <row r="672">
          <cell r="B672" t="str">
            <v>RF1000</v>
          </cell>
          <cell r="C672" t="str">
            <v>Alambre negro recocido</v>
          </cell>
          <cell r="D672" t="str">
            <v>kg</v>
          </cell>
          <cell r="E672">
            <v>0.03</v>
          </cell>
          <cell r="G672">
            <v>6500</v>
          </cell>
          <cell r="H672">
            <v>195</v>
          </cell>
        </row>
        <row r="673">
          <cell r="B673" t="str">
            <v>III. TRANSPORTES</v>
          </cell>
          <cell r="E673" t="str">
            <v>Km</v>
          </cell>
          <cell r="F673" t="str">
            <v>PESO</v>
          </cell>
          <cell r="G673" t="str">
            <v>T/KM</v>
          </cell>
          <cell r="H673">
            <v>0</v>
          </cell>
        </row>
        <row r="674">
          <cell r="B674" t="str">
            <v>TR1070</v>
          </cell>
          <cell r="C674" t="str">
            <v xml:space="preserve">Transporte de materiales varios </v>
          </cell>
          <cell r="D674" t="str">
            <v>T/km</v>
          </cell>
          <cell r="E674">
            <v>130</v>
          </cell>
          <cell r="F674" t="e">
            <v>#DIV/0!</v>
          </cell>
          <cell r="G674">
            <v>700</v>
          </cell>
          <cell r="H674" t="str">
            <v/>
          </cell>
        </row>
        <row r="675">
          <cell r="B675" t="str">
            <v>IV. MANO DE OBRA</v>
          </cell>
          <cell r="H675">
            <v>29926.738507093334</v>
          </cell>
        </row>
        <row r="676">
          <cell r="B676" t="str">
            <v>MOFICIAL</v>
          </cell>
          <cell r="C676" t="str">
            <v>Mo oficial</v>
          </cell>
          <cell r="D676" t="str">
            <v>día</v>
          </cell>
          <cell r="E676">
            <v>0.15</v>
          </cell>
          <cell r="G676">
            <v>130525.11769031112</v>
          </cell>
          <cell r="H676">
            <v>19578.767653546667</v>
          </cell>
        </row>
        <row r="677">
          <cell r="B677" t="str">
            <v>MOAYUDR</v>
          </cell>
          <cell r="C677" t="str">
            <v>Mo ayudante raso</v>
          </cell>
          <cell r="D677" t="str">
            <v>día</v>
          </cell>
          <cell r="E677">
            <v>0.15</v>
          </cell>
          <cell r="G677">
            <v>68986.472356977785</v>
          </cell>
          <cell r="H677">
            <v>10347.970853546667</v>
          </cell>
        </row>
        <row r="678">
          <cell r="B678" t="str">
            <v>9.</v>
          </cell>
          <cell r="C678" t="str">
            <v>ENCHAPES Y ACABADOS</v>
          </cell>
          <cell r="D678" t="str">
            <v/>
          </cell>
          <cell r="G678" t="str">
            <v/>
          </cell>
        </row>
        <row r="679">
          <cell r="B679" t="str">
            <v>9.1</v>
          </cell>
          <cell r="C679" t="str">
            <v>Enchape en cerámica antideslizante para piso en baño, color blanco. Formato a definir con la Interventoría. Incluye mortero de e=0.02m, relación 1:4 más imperbealizante integral, lechada, pega y todo lo necesario para su correcta instalación.</v>
          </cell>
          <cell r="D679" t="str">
            <v>m2</v>
          </cell>
          <cell r="E679">
            <v>3</v>
          </cell>
          <cell r="G679" t="str">
            <v/>
          </cell>
          <cell r="H679">
            <v>51533</v>
          </cell>
        </row>
        <row r="680">
          <cell r="B680" t="str">
            <v>I. EQUIPO Y HERRAMIENTA</v>
          </cell>
          <cell r="H680">
            <v>391.57535307093337</v>
          </cell>
        </row>
        <row r="681">
          <cell r="B681" t="str">
            <v>HTAMNR</v>
          </cell>
          <cell r="C681" t="str">
            <v>Herramienta y equipo menor</v>
          </cell>
          <cell r="D681" t="str">
            <v>%</v>
          </cell>
          <cell r="F681">
            <v>0.05</v>
          </cell>
          <cell r="G681">
            <v>7831.507061418667</v>
          </cell>
          <cell r="H681">
            <v>391.57535307093337</v>
          </cell>
        </row>
        <row r="682">
          <cell r="B682" t="str">
            <v>II. MATERIALES</v>
          </cell>
          <cell r="H682">
            <v>41003.5</v>
          </cell>
        </row>
        <row r="683">
          <cell r="B683" t="str">
            <v>MAT1040</v>
          </cell>
          <cell r="C683" t="str">
            <v>Baldosa antideslizante para piso blanco.</v>
          </cell>
          <cell r="D683" t="str">
            <v>m2</v>
          </cell>
          <cell r="E683">
            <v>1</v>
          </cell>
          <cell r="G683">
            <v>35100</v>
          </cell>
          <cell r="H683">
            <v>35100</v>
          </cell>
        </row>
        <row r="684">
          <cell r="B684" t="str">
            <v>AD1160</v>
          </cell>
          <cell r="C684" t="str">
            <v>Adhesivo color gris para la instalación de ceramica, tipo Pegacor o similar.</v>
          </cell>
          <cell r="D684" t="str">
            <v>kg</v>
          </cell>
          <cell r="E684">
            <v>2.5</v>
          </cell>
          <cell r="G684">
            <v>1450</v>
          </cell>
          <cell r="H684">
            <v>3625</v>
          </cell>
        </row>
        <row r="685">
          <cell r="B685" t="str">
            <v>AD1050</v>
          </cell>
          <cell r="C685" t="str">
            <v>Boquilla tipo Concolor o similar - color blanco/beige</v>
          </cell>
          <cell r="D685" t="str">
            <v>kg</v>
          </cell>
          <cell r="E685">
            <v>0.3</v>
          </cell>
          <cell r="G685">
            <v>5840</v>
          </cell>
          <cell r="H685">
            <v>1752</v>
          </cell>
        </row>
        <row r="686">
          <cell r="B686" t="str">
            <v>MAT1120</v>
          </cell>
          <cell r="C686" t="str">
            <v xml:space="preserve">Estopa blanca </v>
          </cell>
          <cell r="D686" t="str">
            <v>lb</v>
          </cell>
          <cell r="E686">
            <v>0.1</v>
          </cell>
          <cell r="G686">
            <v>5265</v>
          </cell>
          <cell r="H686">
            <v>526.5</v>
          </cell>
        </row>
        <row r="687">
          <cell r="B687" t="str">
            <v>III. TRANSPORTES</v>
          </cell>
          <cell r="E687" t="str">
            <v>Km</v>
          </cell>
          <cell r="F687" t="str">
            <v>PESO</v>
          </cell>
          <cell r="G687" t="str">
            <v>T/KM</v>
          </cell>
          <cell r="H687">
            <v>2306.8500000000004</v>
          </cell>
        </row>
        <row r="688">
          <cell r="B688" t="str">
            <v>TR1070</v>
          </cell>
          <cell r="C688" t="str">
            <v xml:space="preserve">Transporte de materiales varios </v>
          </cell>
          <cell r="D688" t="str">
            <v>T/km</v>
          </cell>
          <cell r="E688">
            <v>130</v>
          </cell>
          <cell r="F688">
            <v>2.5350000000000004E-2</v>
          </cell>
          <cell r="G688">
            <v>700</v>
          </cell>
          <cell r="H688">
            <v>2306.8500000000004</v>
          </cell>
        </row>
        <row r="689">
          <cell r="B689" t="str">
            <v>IV. MANO DE OBRA</v>
          </cell>
          <cell r="H689">
            <v>7831.507061418667</v>
          </cell>
        </row>
        <row r="690">
          <cell r="B690" t="str">
            <v>MOFICIAL</v>
          </cell>
          <cell r="C690" t="str">
            <v>Mo oficial</v>
          </cell>
          <cell r="D690" t="str">
            <v>día</v>
          </cell>
          <cell r="E690">
            <v>0.06</v>
          </cell>
          <cell r="G690">
            <v>130525.11769031112</v>
          </cell>
          <cell r="H690">
            <v>7831.507061418667</v>
          </cell>
        </row>
        <row r="691">
          <cell r="B691" t="str">
            <v>9.2</v>
          </cell>
          <cell r="C691" t="str">
            <v>Enchape cerámico para pared en el área de zona de ropas y baño según planos arquitectónicos, color blanco. Formato a definir con la Interventoría Incluye material de pega, lechada, limpieza y todo lo necesario para su correcta instalación.</v>
          </cell>
          <cell r="D691" t="str">
            <v>m2</v>
          </cell>
          <cell r="E691">
            <v>6.11</v>
          </cell>
          <cell r="G691" t="str">
            <v/>
          </cell>
          <cell r="H691">
            <v>46304</v>
          </cell>
        </row>
        <row r="692">
          <cell r="B692" t="str">
            <v>I. EQUIPO Y HERRAMIENTA</v>
          </cell>
          <cell r="H692">
            <v>456.83791191608901</v>
          </cell>
        </row>
        <row r="693">
          <cell r="B693" t="str">
            <v>HTAMNR</v>
          </cell>
          <cell r="C693" t="str">
            <v>Herramienta y equipo menor</v>
          </cell>
          <cell r="D693" t="str">
            <v>%</v>
          </cell>
          <cell r="F693">
            <v>0.05</v>
          </cell>
          <cell r="G693">
            <v>9136.7582383217796</v>
          </cell>
          <cell r="H693">
            <v>456.83791191608901</v>
          </cell>
        </row>
        <row r="694">
          <cell r="B694" t="str">
            <v>II. MATERIALES</v>
          </cell>
          <cell r="H694">
            <v>34403.5</v>
          </cell>
        </row>
        <row r="695">
          <cell r="B695" t="str">
            <v>MAT1045</v>
          </cell>
          <cell r="C695" t="str">
            <v>Baldosa tipo pared blanco antideslizante</v>
          </cell>
          <cell r="D695" t="str">
            <v>m2</v>
          </cell>
          <cell r="E695">
            <v>1</v>
          </cell>
          <cell r="G695">
            <v>28500</v>
          </cell>
          <cell r="H695">
            <v>28500</v>
          </cell>
        </row>
        <row r="696">
          <cell r="B696" t="str">
            <v>AD1160</v>
          </cell>
          <cell r="C696" t="str">
            <v>Adhesivo color gris para la instalación de ceramica, tipo Pegacor o similar.</v>
          </cell>
          <cell r="D696" t="str">
            <v>kg</v>
          </cell>
          <cell r="E696">
            <v>2.5</v>
          </cell>
          <cell r="G696">
            <v>1450</v>
          </cell>
          <cell r="H696">
            <v>3625</v>
          </cell>
        </row>
        <row r="697">
          <cell r="B697" t="str">
            <v>AD1050</v>
          </cell>
          <cell r="C697" t="str">
            <v>Boquilla tipo Concolor o similar - color blanco/beige</v>
          </cell>
          <cell r="D697" t="str">
            <v>kg</v>
          </cell>
          <cell r="E697">
            <v>0.3</v>
          </cell>
          <cell r="G697">
            <v>5840</v>
          </cell>
          <cell r="H697">
            <v>1752</v>
          </cell>
        </row>
        <row r="698">
          <cell r="B698" t="str">
            <v>MAT1120</v>
          </cell>
          <cell r="C698" t="str">
            <v xml:space="preserve">Estopa blanca </v>
          </cell>
          <cell r="D698" t="str">
            <v>lb</v>
          </cell>
          <cell r="E698">
            <v>0.1</v>
          </cell>
          <cell r="G698">
            <v>5265</v>
          </cell>
          <cell r="H698">
            <v>526.5</v>
          </cell>
        </row>
        <row r="699">
          <cell r="B699" t="str">
            <v>III. TRANSPORTES</v>
          </cell>
          <cell r="E699" t="str">
            <v>Km</v>
          </cell>
          <cell r="F699" t="str">
            <v>PESO</v>
          </cell>
          <cell r="G699" t="str">
            <v>T/KM</v>
          </cell>
          <cell r="H699">
            <v>2306.85</v>
          </cell>
        </row>
        <row r="700">
          <cell r="B700" t="str">
            <v>TR1070</v>
          </cell>
          <cell r="C700" t="str">
            <v xml:space="preserve">Transporte de materiales varios </v>
          </cell>
          <cell r="D700" t="str">
            <v>T/km</v>
          </cell>
          <cell r="E700">
            <v>130</v>
          </cell>
          <cell r="F700">
            <v>2.5349999999999998E-2</v>
          </cell>
          <cell r="G700">
            <v>700</v>
          </cell>
          <cell r="H700">
            <v>2306.85</v>
          </cell>
        </row>
        <row r="701">
          <cell r="B701" t="str">
            <v>IV. MANO DE OBRA</v>
          </cell>
          <cell r="H701">
            <v>9136.7582383217796</v>
          </cell>
        </row>
        <row r="702">
          <cell r="B702" t="str">
            <v>MOFICIAL</v>
          </cell>
          <cell r="C702" t="str">
            <v>Mo oficial</v>
          </cell>
          <cell r="D702" t="str">
            <v>día</v>
          </cell>
          <cell r="E702">
            <v>7.0000000000000007E-2</v>
          </cell>
          <cell r="G702">
            <v>130525.11769031112</v>
          </cell>
          <cell r="H702">
            <v>9136.7582383217796</v>
          </cell>
        </row>
        <row r="703">
          <cell r="B703" t="str">
            <v>9.3</v>
          </cell>
          <cell r="C703" t="str">
            <v xml:space="preserve">Suministro e instalación de enchape cerámico antideslizante color beige para piso en cocina . Formato a definir con la Interventoría. Incluye lechada, pega y todo lo necesario para su correcta instalación. </v>
          </cell>
          <cell r="D703" t="str">
            <v>m2</v>
          </cell>
          <cell r="E703">
            <v>5.3</v>
          </cell>
          <cell r="G703" t="str">
            <v/>
          </cell>
          <cell r="H703">
            <v>50688</v>
          </cell>
        </row>
        <row r="704">
          <cell r="B704" t="str">
            <v>I. EQUIPO Y HERRAMIENTA</v>
          </cell>
          <cell r="H704">
            <v>391.57535307093337</v>
          </cell>
        </row>
        <row r="705">
          <cell r="B705" t="str">
            <v>HTAMNR</v>
          </cell>
          <cell r="C705" t="str">
            <v>Herramienta y equipo menor</v>
          </cell>
          <cell r="D705" t="str">
            <v>%</v>
          </cell>
          <cell r="F705">
            <v>0.05</v>
          </cell>
          <cell r="G705">
            <v>7831.507061418667</v>
          </cell>
          <cell r="H705">
            <v>391.57535307093337</v>
          </cell>
        </row>
        <row r="706">
          <cell r="B706" t="str">
            <v>II. MATERIALES</v>
          </cell>
          <cell r="H706">
            <v>40203.5</v>
          </cell>
        </row>
        <row r="707">
          <cell r="B707" t="str">
            <v>MAT1400</v>
          </cell>
          <cell r="C707" t="str">
            <v>Baldosa para piso 30x30, blanco, antideslizante (ARD)</v>
          </cell>
          <cell r="D707" t="str">
            <v>m2</v>
          </cell>
          <cell r="E707">
            <v>1</v>
          </cell>
          <cell r="G707">
            <v>34300</v>
          </cell>
          <cell r="H707">
            <v>34300</v>
          </cell>
        </row>
        <row r="708">
          <cell r="B708" t="str">
            <v>AD1160</v>
          </cell>
          <cell r="C708" t="str">
            <v>Adhesivo color gris para la instalación de ceramica, tipo Pegacor o similar.</v>
          </cell>
          <cell r="D708" t="str">
            <v>kg</v>
          </cell>
          <cell r="E708">
            <v>2.5</v>
          </cell>
          <cell r="G708">
            <v>1450</v>
          </cell>
          <cell r="H708">
            <v>3625</v>
          </cell>
        </row>
        <row r="709">
          <cell r="B709" t="str">
            <v>AD1050</v>
          </cell>
          <cell r="C709" t="str">
            <v>Boquilla tipo Concolor o similar - color blanco/beige</v>
          </cell>
          <cell r="D709" t="str">
            <v>kg</v>
          </cell>
          <cell r="E709">
            <v>0.3</v>
          </cell>
          <cell r="G709">
            <v>5840</v>
          </cell>
          <cell r="H709">
            <v>1752</v>
          </cell>
        </row>
        <row r="710">
          <cell r="B710" t="str">
            <v>MAT1120</v>
          </cell>
          <cell r="C710" t="str">
            <v xml:space="preserve">Estopa blanca </v>
          </cell>
          <cell r="D710" t="str">
            <v>lb</v>
          </cell>
          <cell r="E710">
            <v>0.1</v>
          </cell>
          <cell r="G710">
            <v>5265</v>
          </cell>
          <cell r="H710">
            <v>526.5</v>
          </cell>
        </row>
        <row r="711">
          <cell r="B711" t="str">
            <v>III. TRANSPORTES</v>
          </cell>
          <cell r="E711" t="str">
            <v>Km</v>
          </cell>
          <cell r="F711" t="str">
            <v>PESO</v>
          </cell>
          <cell r="G711" t="str">
            <v>T/KM</v>
          </cell>
          <cell r="H711">
            <v>2261.35</v>
          </cell>
        </row>
        <row r="712">
          <cell r="B712" t="str">
            <v>TR1070</v>
          </cell>
          <cell r="C712" t="str">
            <v xml:space="preserve">Transporte de materiales varios </v>
          </cell>
          <cell r="D712" t="str">
            <v>T/km</v>
          </cell>
          <cell r="E712">
            <v>130</v>
          </cell>
          <cell r="F712">
            <v>2.4849999999999997E-2</v>
          </cell>
          <cell r="G712">
            <v>700</v>
          </cell>
          <cell r="H712">
            <v>2261.35</v>
          </cell>
        </row>
        <row r="713">
          <cell r="B713" t="str">
            <v>IV. MANO DE OBRA</v>
          </cell>
          <cell r="H713">
            <v>7831.507061418667</v>
          </cell>
        </row>
        <row r="714">
          <cell r="B714" t="str">
            <v>MOFICIAL</v>
          </cell>
          <cell r="C714" t="str">
            <v>Mo oficial</v>
          </cell>
          <cell r="D714" t="str">
            <v>día</v>
          </cell>
          <cell r="E714">
            <v>0.06</v>
          </cell>
          <cell r="G714">
            <v>130525.11769031112</v>
          </cell>
          <cell r="H714">
            <v>7831.507061418667</v>
          </cell>
        </row>
        <row r="715">
          <cell r="B715" t="str">
            <v>9.4</v>
          </cell>
          <cell r="C715"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715" t="str">
            <v>m2</v>
          </cell>
          <cell r="E715">
            <v>0</v>
          </cell>
          <cell r="G715" t="str">
            <v/>
          </cell>
          <cell r="H715">
            <v>25787</v>
          </cell>
        </row>
        <row r="716">
          <cell r="B716" t="str">
            <v>I. EQUIPO Y HERRAMIENTA</v>
          </cell>
          <cell r="H716">
            <v>8756.010378763378</v>
          </cell>
        </row>
        <row r="717">
          <cell r="B717" t="str">
            <v>HTAMNR</v>
          </cell>
          <cell r="C717" t="str">
            <v>Herramienta y equipo menor</v>
          </cell>
          <cell r="D717" t="str">
            <v>%</v>
          </cell>
          <cell r="F717">
            <v>0.05</v>
          </cell>
          <cell r="G717">
            <v>8710.2075752675555</v>
          </cell>
          <cell r="H717">
            <v>435.51037876337779</v>
          </cell>
        </row>
        <row r="718">
          <cell r="B718" t="str">
            <v>II. MATERIALES</v>
          </cell>
          <cell r="H718">
            <v>8320.5</v>
          </cell>
        </row>
        <row r="719">
          <cell r="B719" t="str">
            <v>AD1180</v>
          </cell>
          <cell r="C719" t="str">
            <v>Pintura para exteriores alta resistencia para muros y zócalos, tipo Bronco, Corona, Koraza o similar.</v>
          </cell>
          <cell r="D719" t="str">
            <v>gal</v>
          </cell>
          <cell r="E719">
            <v>7.4999999999999997E-2</v>
          </cell>
          <cell r="G719">
            <v>96900</v>
          </cell>
          <cell r="H719">
            <v>7267.5</v>
          </cell>
        </row>
        <row r="720">
          <cell r="B720" t="str">
            <v>MAT1120</v>
          </cell>
          <cell r="C720" t="str">
            <v xml:space="preserve">Estopa blanca </v>
          </cell>
          <cell r="D720" t="str">
            <v>lb</v>
          </cell>
          <cell r="E720">
            <v>0.2</v>
          </cell>
          <cell r="G720">
            <v>5265</v>
          </cell>
          <cell r="H720">
            <v>1053</v>
          </cell>
        </row>
        <row r="721">
          <cell r="B721" t="str">
            <v>III. TRANSPORTES</v>
          </cell>
          <cell r="E721" t="str">
            <v>Km</v>
          </cell>
          <cell r="F721" t="str">
            <v>PESO</v>
          </cell>
          <cell r="G721" t="str">
            <v>T/KM</v>
          </cell>
          <cell r="H721">
            <v>0</v>
          </cell>
        </row>
        <row r="722">
          <cell r="B722" t="str">
            <v>TR1070</v>
          </cell>
          <cell r="C722" t="str">
            <v xml:space="preserve">Transporte de materiales varios </v>
          </cell>
          <cell r="D722" t="str">
            <v>T/km</v>
          </cell>
          <cell r="E722">
            <v>130</v>
          </cell>
          <cell r="F722" t="str">
            <v/>
          </cell>
          <cell r="G722">
            <v>700</v>
          </cell>
          <cell r="H722" t="str">
            <v/>
          </cell>
        </row>
        <row r="723">
          <cell r="B723" t="str">
            <v>IV. MANO DE OBRA</v>
          </cell>
          <cell r="H723">
            <v>8710.2075752675555</v>
          </cell>
        </row>
        <row r="724">
          <cell r="B724" t="str">
            <v>MOAYUDA</v>
          </cell>
          <cell r="C724" t="str">
            <v>Mo ayudante entendido</v>
          </cell>
          <cell r="D724" t="str">
            <v>día</v>
          </cell>
          <cell r="E724">
            <v>0.06</v>
          </cell>
          <cell r="G724">
            <v>87681.399290311107</v>
          </cell>
          <cell r="H724">
            <v>5260.8839574186659</v>
          </cell>
        </row>
        <row r="725">
          <cell r="B725" t="str">
            <v>MOAYUDR</v>
          </cell>
          <cell r="C725" t="str">
            <v>Mo ayudante raso</v>
          </cell>
          <cell r="D725" t="str">
            <v>día</v>
          </cell>
          <cell r="E725">
            <v>0.05</v>
          </cell>
          <cell r="G725">
            <v>68986.472356977785</v>
          </cell>
          <cell r="H725">
            <v>3449.3236178488896</v>
          </cell>
        </row>
        <row r="726">
          <cell r="B726" t="str">
            <v>9.5</v>
          </cell>
          <cell r="C726" t="str">
            <v>Aplicación de pintura vinílica para zonas húmedas, dos manos. Incluye suministro y transporte de los materiales, resanes, adecuación de la superficie y todo lo necesario para su correcta aplicación, en baños color blanco y en cocina color gris basalto.</v>
          </cell>
          <cell r="D726" t="str">
            <v>m2</v>
          </cell>
          <cell r="E726">
            <v>0</v>
          </cell>
          <cell r="G726" t="str">
            <v/>
          </cell>
          <cell r="H726">
            <v>18191</v>
          </cell>
        </row>
        <row r="727">
          <cell r="B727" t="str">
            <v>I. EQUIPO Y HERRAMIENTA</v>
          </cell>
          <cell r="H727">
            <v>470.00361494186666</v>
          </cell>
        </row>
        <row r="728">
          <cell r="B728" t="str">
            <v>HTAMNR</v>
          </cell>
          <cell r="C728" t="str">
            <v>Herramienta y equipo menor</v>
          </cell>
          <cell r="D728" t="str">
            <v>%</v>
          </cell>
          <cell r="F728">
            <v>0.05</v>
          </cell>
          <cell r="G728">
            <v>9400.0722988373327</v>
          </cell>
          <cell r="H728">
            <v>470.00361494186666</v>
          </cell>
        </row>
        <row r="729">
          <cell r="B729" t="str">
            <v>II. MATERIALES</v>
          </cell>
          <cell r="H729">
            <v>8320.5</v>
          </cell>
        </row>
        <row r="730">
          <cell r="B730" t="str">
            <v>AD1182</v>
          </cell>
          <cell r="C730" t="str">
            <v>Pintura acrílica base agua para baños y cocinas, tipo Viniltex (baños y cocinas) o similar. Antibacterial</v>
          </cell>
          <cell r="D730" t="str">
            <v>gal</v>
          </cell>
          <cell r="E730">
            <v>7.4999999999999997E-2</v>
          </cell>
          <cell r="G730">
            <v>96900</v>
          </cell>
          <cell r="H730">
            <v>7267.5</v>
          </cell>
        </row>
        <row r="731">
          <cell r="B731" t="str">
            <v>MAT1120</v>
          </cell>
          <cell r="C731" t="str">
            <v xml:space="preserve">Estopa blanca </v>
          </cell>
          <cell r="D731" t="str">
            <v>lb</v>
          </cell>
          <cell r="E731">
            <v>0.2</v>
          </cell>
          <cell r="G731">
            <v>5265</v>
          </cell>
          <cell r="H731">
            <v>1053</v>
          </cell>
        </row>
        <row r="732">
          <cell r="B732" t="str">
            <v>III. TRANSPORTES</v>
          </cell>
          <cell r="E732" t="str">
            <v>Km</v>
          </cell>
          <cell r="F732" t="str">
            <v>PESO</v>
          </cell>
          <cell r="G732" t="str">
            <v>T/KM</v>
          </cell>
          <cell r="H732">
            <v>0</v>
          </cell>
        </row>
        <row r="733">
          <cell r="B733" t="str">
            <v>TR1070</v>
          </cell>
          <cell r="C733" t="str">
            <v xml:space="preserve">Transporte de materiales varios </v>
          </cell>
          <cell r="D733" t="str">
            <v>T/km</v>
          </cell>
          <cell r="E733">
            <v>130</v>
          </cell>
          <cell r="F733" t="str">
            <v/>
          </cell>
          <cell r="G733">
            <v>700</v>
          </cell>
          <cell r="H733" t="str">
            <v/>
          </cell>
        </row>
        <row r="734">
          <cell r="B734" t="str">
            <v>IV. MANO DE OBRA</v>
          </cell>
          <cell r="H734">
            <v>9400.0722988373327</v>
          </cell>
        </row>
        <row r="735">
          <cell r="B735" t="str">
            <v>MOAYUDA</v>
          </cell>
          <cell r="C735" t="str">
            <v>Mo ayudante entendido</v>
          </cell>
          <cell r="D735" t="str">
            <v>día</v>
          </cell>
          <cell r="E735">
            <v>0.06</v>
          </cell>
          <cell r="G735">
            <v>87681.399290311107</v>
          </cell>
          <cell r="H735">
            <v>5260.8839574186659</v>
          </cell>
        </row>
        <row r="736">
          <cell r="B736" t="str">
            <v>MOAYUDR</v>
          </cell>
          <cell r="C736" t="str">
            <v>Mo ayudante raso</v>
          </cell>
          <cell r="D736" t="str">
            <v>día</v>
          </cell>
          <cell r="E736">
            <v>0.06</v>
          </cell>
          <cell r="G736">
            <v>68986.472356977785</v>
          </cell>
          <cell r="H736">
            <v>4139.1883414186668</v>
          </cell>
        </row>
        <row r="737">
          <cell r="B737" t="str">
            <v>10.</v>
          </cell>
          <cell r="C737" t="str">
            <v>APARATOS, ACCESORIOS Y MUEBLES ESPECIALES</v>
          </cell>
          <cell r="D737" t="str">
            <v/>
          </cell>
          <cell r="G737" t="str">
            <v/>
          </cell>
        </row>
        <row r="738">
          <cell r="B738" t="str">
            <v>10.1</v>
          </cell>
          <cell r="C738" t="str">
            <v>Suministro, transporte y colocación de combo sanitario económico, color blanco. Incluye: Sanitario de 4.8lph - 1.28 gpf, alta eficiencia de agua, lavamanos de colgar, grifería y tres accesorios de incrustación a pared (portapel, jabonera y toallero).</v>
          </cell>
          <cell r="D738" t="str">
            <v>un</v>
          </cell>
          <cell r="E738">
            <v>1</v>
          </cell>
          <cell r="G738" t="str">
            <v/>
          </cell>
          <cell r="H738">
            <v>400519</v>
          </cell>
        </row>
        <row r="739">
          <cell r="B739" t="str">
            <v>I. EQUIPO Y HERRAMIENTA</v>
          </cell>
          <cell r="H739">
            <v>1631.5639711288891</v>
          </cell>
        </row>
        <row r="740">
          <cell r="B740" t="str">
            <v>HTAMNR</v>
          </cell>
          <cell r="C740" t="str">
            <v>Herramienta y equipo menor</v>
          </cell>
          <cell r="D740" t="str">
            <v>%</v>
          </cell>
          <cell r="F740">
            <v>0.05</v>
          </cell>
          <cell r="G740">
            <v>32631.27942257778</v>
          </cell>
          <cell r="H740">
            <v>1631.5639711288891</v>
          </cell>
        </row>
        <row r="741">
          <cell r="B741" t="str">
            <v>II. MATERIALES</v>
          </cell>
          <cell r="H741">
            <v>362525</v>
          </cell>
        </row>
        <row r="742">
          <cell r="B742" t="str">
            <v>MAT1110</v>
          </cell>
          <cell r="C742" t="str">
            <v>Combo de baño Acuacer o Laguna tipo Corona o similar: incluye sanitario + lavamanos de colgar+ 3 accesorios blanco.</v>
          </cell>
          <cell r="D742" t="str">
            <v>un</v>
          </cell>
          <cell r="E742">
            <v>1</v>
          </cell>
          <cell r="G742">
            <v>360000</v>
          </cell>
          <cell r="H742">
            <v>360000</v>
          </cell>
        </row>
        <row r="743">
          <cell r="B743" t="str">
            <v>MAT1100</v>
          </cell>
          <cell r="C743" t="str">
            <v>Cinta sellante para elementos roscados - 12mm x 12m</v>
          </cell>
          <cell r="D743" t="str">
            <v>un</v>
          </cell>
          <cell r="E743">
            <v>0.25</v>
          </cell>
          <cell r="G743">
            <v>2900</v>
          </cell>
          <cell r="H743">
            <v>725</v>
          </cell>
        </row>
        <row r="744">
          <cell r="B744" t="str">
            <v>MAT1080</v>
          </cell>
          <cell r="C744" t="str">
            <v>Cemento blanco</v>
          </cell>
          <cell r="D744" t="str">
            <v>kg</v>
          </cell>
          <cell r="E744">
            <v>1</v>
          </cell>
          <cell r="G744">
            <v>1800</v>
          </cell>
          <cell r="H744">
            <v>1800</v>
          </cell>
        </row>
        <row r="745">
          <cell r="B745" t="str">
            <v>III. TRANSPORTES</v>
          </cell>
          <cell r="E745" t="str">
            <v>Km</v>
          </cell>
          <cell r="F745" t="str">
            <v>PESO</v>
          </cell>
          <cell r="G745" t="str">
            <v>T/KM</v>
          </cell>
          <cell r="H745">
            <v>3731.4549999999999</v>
          </cell>
        </row>
        <row r="746">
          <cell r="B746" t="str">
            <v>TR1070</v>
          </cell>
          <cell r="C746" t="str">
            <v xml:space="preserve">Transporte de materiales varios </v>
          </cell>
          <cell r="D746" t="str">
            <v>T/km</v>
          </cell>
          <cell r="E746">
            <v>130</v>
          </cell>
          <cell r="F746">
            <v>4.1005E-2</v>
          </cell>
          <cell r="G746">
            <v>700</v>
          </cell>
          <cell r="H746">
            <v>3731.4549999999999</v>
          </cell>
        </row>
        <row r="747">
          <cell r="B747" t="str">
            <v>IV. MANO DE OBRA</v>
          </cell>
          <cell r="H747">
            <v>32631.27942257778</v>
          </cell>
        </row>
        <row r="748">
          <cell r="B748" t="str">
            <v>MOFICIAL</v>
          </cell>
          <cell r="C748" t="str">
            <v>Mo oficial</v>
          </cell>
          <cell r="D748" t="str">
            <v>día</v>
          </cell>
          <cell r="E748">
            <v>0.25</v>
          </cell>
          <cell r="G748">
            <v>130525.11769031112</v>
          </cell>
          <cell r="H748">
            <v>32631.27942257778</v>
          </cell>
        </row>
        <row r="749">
          <cell r="B749" t="str">
            <v>10.2</v>
          </cell>
          <cell r="C749" t="str">
            <v>Suministro, transporte e instalación de rejilla de piso cuadrada de 2" en PVC, para desagüe de ducha. Incluye los materiales y todos los elementos necesarios para su correcta instalación.</v>
          </cell>
          <cell r="D749" t="str">
            <v>Un</v>
          </cell>
          <cell r="E749">
            <v>1</v>
          </cell>
          <cell r="G749" t="str">
            <v/>
          </cell>
          <cell r="H749">
            <v>10698</v>
          </cell>
        </row>
        <row r="750">
          <cell r="B750" t="str">
            <v>I. EQUIPO Y HERRAMIENTA</v>
          </cell>
          <cell r="H750">
            <v>130.52511769031113</v>
          </cell>
        </row>
        <row r="751">
          <cell r="B751" t="str">
            <v>HTAMNR</v>
          </cell>
          <cell r="C751" t="str">
            <v>Herramienta y equipo menor</v>
          </cell>
          <cell r="D751" t="str">
            <v>%</v>
          </cell>
          <cell r="F751">
            <v>0.05</v>
          </cell>
          <cell r="G751">
            <v>2610.5023538062223</v>
          </cell>
          <cell r="H751">
            <v>130.52511769031113</v>
          </cell>
        </row>
        <row r="752">
          <cell r="B752" t="str">
            <v>II. MATERIALES</v>
          </cell>
          <cell r="H752">
            <v>7950</v>
          </cell>
        </row>
        <row r="753">
          <cell r="B753" t="str">
            <v>MAT1275</v>
          </cell>
          <cell r="C753" t="str">
            <v>Rejilla de piso 2" plástica</v>
          </cell>
          <cell r="D753" t="str">
            <v>un</v>
          </cell>
          <cell r="E753">
            <v>1</v>
          </cell>
          <cell r="G753">
            <v>7500</v>
          </cell>
          <cell r="H753">
            <v>7500</v>
          </cell>
        </row>
        <row r="754">
          <cell r="B754" t="str">
            <v>MAT1080</v>
          </cell>
          <cell r="C754" t="str">
            <v>Cemento blanco</v>
          </cell>
          <cell r="D754" t="str">
            <v>kg</v>
          </cell>
          <cell r="E754">
            <v>0.25</v>
          </cell>
          <cell r="G754">
            <v>1800</v>
          </cell>
          <cell r="H754">
            <v>450</v>
          </cell>
        </row>
        <row r="755">
          <cell r="B755" t="str">
            <v>III. TRANSPORTES</v>
          </cell>
          <cell r="E755" t="str">
            <v>Km</v>
          </cell>
          <cell r="F755" t="str">
            <v>PESO</v>
          </cell>
          <cell r="G755" t="str">
            <v>T/KM</v>
          </cell>
          <cell r="H755">
            <v>7.35</v>
          </cell>
        </row>
        <row r="756">
          <cell r="B756" t="str">
            <v>TR1070</v>
          </cell>
          <cell r="C756" t="str">
            <v xml:space="preserve">Transporte de materiales varios </v>
          </cell>
          <cell r="D756" t="str">
            <v>T/km</v>
          </cell>
          <cell r="E756">
            <v>30</v>
          </cell>
          <cell r="F756">
            <v>3.5E-4</v>
          </cell>
          <cell r="G756">
            <v>700</v>
          </cell>
          <cell r="H756">
            <v>7.35</v>
          </cell>
        </row>
        <row r="757">
          <cell r="B757" t="str">
            <v>IV. MANO DE OBRA</v>
          </cell>
          <cell r="H757">
            <v>2610.5023538062223</v>
          </cell>
        </row>
        <row r="758">
          <cell r="B758" t="str">
            <v>MOFICIAL</v>
          </cell>
          <cell r="C758" t="str">
            <v>Mo oficial</v>
          </cell>
          <cell r="D758" t="str">
            <v>día</v>
          </cell>
          <cell r="E758">
            <v>0.02</v>
          </cell>
          <cell r="G758">
            <v>130525.11769031112</v>
          </cell>
          <cell r="H758">
            <v>2610.5023538062223</v>
          </cell>
        </row>
        <row r="759">
          <cell r="B759" t="str">
            <v>10.3</v>
          </cell>
          <cell r="C759" t="str">
            <v>Suministro, transporte y colocación de ducha sencilla resistente a la corrosión, con tecnología de ahorro de agua, chorro tipo lluvia, direccionable. Incluye todos los elementos necesarios para el buen funcionamiento.</v>
          </cell>
          <cell r="D759" t="str">
            <v>Un</v>
          </cell>
          <cell r="E759">
            <v>1</v>
          </cell>
          <cell r="G759" t="str">
            <v/>
          </cell>
          <cell r="H759">
            <v>62959</v>
          </cell>
        </row>
        <row r="760">
          <cell r="B760" t="str">
            <v>I. EQUIPO Y HERRAMIENTA</v>
          </cell>
          <cell r="H760">
            <v>130.52511769031113</v>
          </cell>
        </row>
        <row r="761">
          <cell r="B761" t="str">
            <v>HTAMNR</v>
          </cell>
          <cell r="C761" t="str">
            <v>Herramienta y equipo menor</v>
          </cell>
          <cell r="D761" t="str">
            <v>%</v>
          </cell>
          <cell r="F761">
            <v>0.05</v>
          </cell>
          <cell r="G761">
            <v>2610.5023538062223</v>
          </cell>
          <cell r="H761">
            <v>130.52511769031113</v>
          </cell>
        </row>
        <row r="762">
          <cell r="B762" t="str">
            <v>II. MATERIALES</v>
          </cell>
          <cell r="H762">
            <v>60190</v>
          </cell>
        </row>
        <row r="763">
          <cell r="B763" t="str">
            <v>MAT1115</v>
          </cell>
          <cell r="C763" t="str">
            <v>Ducha sencilla (tipo Dalia de Grival o similar)</v>
          </cell>
          <cell r="D763" t="str">
            <v>un</v>
          </cell>
          <cell r="E763">
            <v>1</v>
          </cell>
          <cell r="G763">
            <v>59900</v>
          </cell>
          <cell r="H763">
            <v>59900</v>
          </cell>
        </row>
        <row r="764">
          <cell r="B764" t="str">
            <v>MAT1100</v>
          </cell>
          <cell r="C764" t="str">
            <v>Cinta sellante para elementos roscados - 12mm x 12m</v>
          </cell>
          <cell r="D764" t="str">
            <v>un</v>
          </cell>
          <cell r="E764">
            <v>0.1</v>
          </cell>
          <cell r="G764">
            <v>2900</v>
          </cell>
          <cell r="H764">
            <v>290</v>
          </cell>
        </row>
        <row r="765">
          <cell r="B765" t="str">
            <v>III. TRANSPORTES</v>
          </cell>
          <cell r="E765" t="str">
            <v>Km</v>
          </cell>
          <cell r="F765" t="str">
            <v>PESO</v>
          </cell>
          <cell r="G765" t="str">
            <v>T/KM</v>
          </cell>
          <cell r="H765">
            <v>27.481999999999996</v>
          </cell>
        </row>
        <row r="766">
          <cell r="B766" t="str">
            <v>TR1070</v>
          </cell>
          <cell r="C766" t="str">
            <v xml:space="preserve">Transporte de materiales varios </v>
          </cell>
          <cell r="D766" t="str">
            <v>T/km</v>
          </cell>
          <cell r="E766">
            <v>130</v>
          </cell>
          <cell r="F766">
            <v>3.0199999999999997E-4</v>
          </cell>
          <cell r="G766">
            <v>700</v>
          </cell>
          <cell r="H766">
            <v>27.481999999999996</v>
          </cell>
        </row>
        <row r="767">
          <cell r="B767" t="str">
            <v>IV. MANO DE OBRA</v>
          </cell>
          <cell r="H767">
            <v>2610.5023538062223</v>
          </cell>
        </row>
        <row r="768">
          <cell r="B768" t="str">
            <v>MOFICIAL</v>
          </cell>
          <cell r="C768" t="str">
            <v>Mo oficial</v>
          </cell>
          <cell r="D768" t="str">
            <v>día</v>
          </cell>
          <cell r="E768">
            <v>0.02</v>
          </cell>
          <cell r="G768">
            <v>130525.11769031112</v>
          </cell>
          <cell r="H768">
            <v>2610.5023538062223</v>
          </cell>
        </row>
        <row r="769">
          <cell r="B769" t="str">
            <v>10.4</v>
          </cell>
          <cell r="C769" t="str">
            <v xml:space="preserve">Suministro, transporte y colocación de lavadero en granito de 0.55x0.80m sobre muretes de apoyo en bloque de concreto de 0.12x0.20x0.40m. Incluye grifería económica y todo lo necesario para su correcta instalación. </v>
          </cell>
          <cell r="D769" t="str">
            <v>Un</v>
          </cell>
          <cell r="E769">
            <v>1</v>
          </cell>
          <cell r="G769" t="str">
            <v/>
          </cell>
          <cell r="H769">
            <v>371258</v>
          </cell>
        </row>
        <row r="770">
          <cell r="B770" t="str">
            <v>I. EQUIPO Y HERRAMIENTA</v>
          </cell>
          <cell r="H770">
            <v>3714.2859115178671</v>
          </cell>
        </row>
        <row r="771">
          <cell r="B771" t="str">
            <v>HTAMNR</v>
          </cell>
          <cell r="C771" t="str">
            <v>Herramienta y equipo menor</v>
          </cell>
          <cell r="D771" t="str">
            <v>%</v>
          </cell>
          <cell r="F771">
            <v>0.05</v>
          </cell>
          <cell r="G771">
            <v>74285.718230357335</v>
          </cell>
          <cell r="H771">
            <v>3714.2859115178671</v>
          </cell>
        </row>
        <row r="772">
          <cell r="B772" t="str">
            <v>II. MATERIALES</v>
          </cell>
          <cell r="H772">
            <v>272420.92</v>
          </cell>
        </row>
        <row r="773">
          <cell r="B773" t="str">
            <v>MAT1168</v>
          </cell>
          <cell r="C773" t="str">
            <v>Lavadero prefabricado en grano blanco 0,8*0,6*0,16 m</v>
          </cell>
          <cell r="D773" t="str">
            <v>un</v>
          </cell>
          <cell r="E773">
            <v>1</v>
          </cell>
          <cell r="G773">
            <v>187900</v>
          </cell>
          <cell r="H773">
            <v>187900</v>
          </cell>
        </row>
        <row r="774">
          <cell r="B774" t="str">
            <v>MAT1100</v>
          </cell>
          <cell r="C774" t="str">
            <v>Cinta sellante para elementos roscados - 12mm x 12m</v>
          </cell>
          <cell r="D774" t="str">
            <v>un</v>
          </cell>
          <cell r="E774">
            <v>0.1</v>
          </cell>
          <cell r="G774">
            <v>2900</v>
          </cell>
          <cell r="H774">
            <v>290</v>
          </cell>
        </row>
        <row r="775">
          <cell r="B775" t="str">
            <v>MAT1205</v>
          </cell>
          <cell r="C775" t="str">
            <v>Llave jardín 1/2" x 3/4" cromada</v>
          </cell>
          <cell r="D775" t="str">
            <v>un</v>
          </cell>
          <cell r="E775">
            <v>1</v>
          </cell>
          <cell r="G775">
            <v>34900</v>
          </cell>
          <cell r="H775">
            <v>34900</v>
          </cell>
        </row>
        <row r="776">
          <cell r="B776" t="str">
            <v>MAT1100</v>
          </cell>
          <cell r="C776" t="str">
            <v>Cinta sellante para elementos roscados - 12mm x 12m</v>
          </cell>
          <cell r="D776" t="str">
            <v>un</v>
          </cell>
          <cell r="E776">
            <v>0.1</v>
          </cell>
          <cell r="G776">
            <v>2900</v>
          </cell>
          <cell r="H776">
            <v>290</v>
          </cell>
        </row>
        <row r="777">
          <cell r="B777" t="str">
            <v>MAT1070</v>
          </cell>
          <cell r="C777" t="str">
            <v>Bloque de concreto 12x20x40 - 13 Mpa</v>
          </cell>
          <cell r="D777" t="str">
            <v>un</v>
          </cell>
          <cell r="E777">
            <v>12</v>
          </cell>
          <cell r="G777">
            <v>3200</v>
          </cell>
          <cell r="H777">
            <v>38400</v>
          </cell>
        </row>
        <row r="778">
          <cell r="B778" t="str">
            <v>CTM143</v>
          </cell>
          <cell r="C778" t="str">
            <v>Mortero de pega - SUBANALISIS</v>
          </cell>
          <cell r="D778" t="str">
            <v>m3</v>
          </cell>
          <cell r="E778">
            <v>0.02</v>
          </cell>
          <cell r="G778">
            <v>532046</v>
          </cell>
          <cell r="H778">
            <v>10640.92</v>
          </cell>
        </row>
        <row r="779">
          <cell r="B779" t="str">
            <v>III. TRANSPORTES</v>
          </cell>
          <cell r="E779" t="str">
            <v>Km</v>
          </cell>
          <cell r="F779" t="str">
            <v>PESO</v>
          </cell>
          <cell r="G779" t="str">
            <v>T/KM</v>
          </cell>
          <cell r="H779">
            <v>20837.544000000005</v>
          </cell>
        </row>
        <row r="780">
          <cell r="B780" t="str">
            <v>TR1070</v>
          </cell>
          <cell r="C780" t="str">
            <v xml:space="preserve">Transporte de materiales varios </v>
          </cell>
          <cell r="D780" t="str">
            <v>T/km</v>
          </cell>
          <cell r="E780">
            <v>130</v>
          </cell>
          <cell r="F780">
            <v>0.22898400000000005</v>
          </cell>
          <cell r="G780">
            <v>700</v>
          </cell>
          <cell r="H780">
            <v>20837.544000000005</v>
          </cell>
        </row>
        <row r="781">
          <cell r="B781" t="str">
            <v>IV. MANO DE OBRA</v>
          </cell>
          <cell r="H781">
            <v>74285.718230357335</v>
          </cell>
        </row>
        <row r="782">
          <cell r="B782" t="str">
            <v>MOFICIAL</v>
          </cell>
          <cell r="C782" t="str">
            <v>Mo oficial</v>
          </cell>
          <cell r="D782" t="str">
            <v>día</v>
          </cell>
          <cell r="E782">
            <v>0.4</v>
          </cell>
          <cell r="G782">
            <v>130525.11769031112</v>
          </cell>
          <cell r="H782">
            <v>52210.047076124451</v>
          </cell>
        </row>
        <row r="783">
          <cell r="B783" t="str">
            <v>MOAYUDR</v>
          </cell>
          <cell r="C783" t="str">
            <v>Mo ayudante raso</v>
          </cell>
          <cell r="D783" t="str">
            <v>día</v>
          </cell>
          <cell r="E783">
            <v>0.32</v>
          </cell>
          <cell r="G783">
            <v>68986.472356977785</v>
          </cell>
          <cell r="H783">
            <v>22075.671154232892</v>
          </cell>
        </row>
        <row r="784">
          <cell r="B784" t="str">
            <v>10.5</v>
          </cell>
          <cell r="C784" t="str">
            <v xml:space="preserve">Suministro, transporte y colocación de lavadero en granito de 0.30x0.30x0.30m. Incluye grifería y todo lo necesario para su funcionamiento. </v>
          </cell>
          <cell r="D784" t="str">
            <v>un</v>
          </cell>
          <cell r="E784">
            <v>0</v>
          </cell>
          <cell r="G784" t="str">
            <v/>
          </cell>
          <cell r="H784">
            <v>111798</v>
          </cell>
        </row>
        <row r="785">
          <cell r="B785" t="str">
            <v>I. EQUIPO Y HERRAMIENTA</v>
          </cell>
          <cell r="H785">
            <v>978.93838267733338</v>
          </cell>
        </row>
        <row r="786">
          <cell r="B786" t="str">
            <v>HTAMNR</v>
          </cell>
          <cell r="C786" t="str">
            <v>Herramienta y equipo menor</v>
          </cell>
          <cell r="D786" t="str">
            <v>%</v>
          </cell>
          <cell r="F786">
            <v>0.05</v>
          </cell>
          <cell r="G786">
            <v>19578.767653546667</v>
          </cell>
          <cell r="H786">
            <v>978.93838267733338</v>
          </cell>
        </row>
        <row r="787">
          <cell r="B787" t="str">
            <v>II. MATERIALES</v>
          </cell>
          <cell r="H787">
            <v>91240</v>
          </cell>
        </row>
        <row r="788">
          <cell r="B788" t="str">
            <v>MAT1166</v>
          </cell>
          <cell r="C788" t="str">
            <v>Lavatrapero prefabricado en grano blanco 0,3*0,3*0,30 m</v>
          </cell>
          <cell r="D788" t="str">
            <v>un</v>
          </cell>
          <cell r="E788">
            <v>1</v>
          </cell>
          <cell r="G788">
            <v>55600</v>
          </cell>
          <cell r="H788">
            <v>55600</v>
          </cell>
        </row>
        <row r="789">
          <cell r="B789" t="str">
            <v>MAT1100</v>
          </cell>
          <cell r="C789" t="str">
            <v>Cinta sellante para elementos roscados - 12mm x 12m</v>
          </cell>
          <cell r="D789" t="str">
            <v>un</v>
          </cell>
          <cell r="E789">
            <v>0.1</v>
          </cell>
          <cell r="G789">
            <v>2900</v>
          </cell>
          <cell r="H789">
            <v>290</v>
          </cell>
        </row>
        <row r="790">
          <cell r="B790" t="str">
            <v>MAT1080</v>
          </cell>
          <cell r="C790" t="str">
            <v>Cemento blanco</v>
          </cell>
          <cell r="D790" t="str">
            <v>kg</v>
          </cell>
          <cell r="E790">
            <v>0.25</v>
          </cell>
          <cell r="G790">
            <v>1800</v>
          </cell>
          <cell r="H790">
            <v>450</v>
          </cell>
        </row>
        <row r="791">
          <cell r="B791" t="str">
            <v>MAT1205</v>
          </cell>
          <cell r="C791" t="str">
            <v>Llave jardín 1/2" x 3/4" cromada</v>
          </cell>
          <cell r="D791" t="str">
            <v>un</v>
          </cell>
          <cell r="E791">
            <v>1</v>
          </cell>
          <cell r="G791">
            <v>34900</v>
          </cell>
          <cell r="H791">
            <v>34900</v>
          </cell>
        </row>
        <row r="792">
          <cell r="B792" t="str">
            <v>III. TRANSPORTES</v>
          </cell>
          <cell r="E792" t="str">
            <v>Km</v>
          </cell>
          <cell r="F792" t="str">
            <v>PESO</v>
          </cell>
          <cell r="G792" t="str">
            <v>T/KM</v>
          </cell>
          <cell r="H792">
            <v>0</v>
          </cell>
        </row>
        <row r="793">
          <cell r="B793" t="str">
            <v>TR1070</v>
          </cell>
          <cell r="C793" t="str">
            <v xml:space="preserve">Transporte de materiales varios </v>
          </cell>
          <cell r="D793" t="str">
            <v>T/km</v>
          </cell>
          <cell r="E793">
            <v>130</v>
          </cell>
          <cell r="F793" t="e">
            <v>#DIV/0!</v>
          </cell>
          <cell r="G793">
            <v>700</v>
          </cell>
          <cell r="H793" t="str">
            <v/>
          </cell>
        </row>
        <row r="794">
          <cell r="B794" t="str">
            <v>IV. MANO DE OBRA</v>
          </cell>
          <cell r="H794">
            <v>19578.767653546667</v>
          </cell>
        </row>
        <row r="795">
          <cell r="B795" t="str">
            <v>MOFICIAL</v>
          </cell>
          <cell r="C795" t="str">
            <v>Mo oficial</v>
          </cell>
          <cell r="D795" t="str">
            <v>día</v>
          </cell>
          <cell r="E795">
            <v>0.15</v>
          </cell>
          <cell r="G795">
            <v>130525.11769031112</v>
          </cell>
          <cell r="H795">
            <v>19578.767653546667</v>
          </cell>
        </row>
        <row r="796">
          <cell r="B796" t="str">
            <v>11.</v>
          </cell>
          <cell r="C796" t="str">
            <v>CUBIERTA</v>
          </cell>
        </row>
        <row r="797">
          <cell r="B797" t="str">
            <v>11.1</v>
          </cell>
          <cell r="C797" t="str">
            <v>Suministro, transporte e instalación de cubierta en teja termoacústica UPVC 2.0 mm tipo ECOROOF o similar. Incluye sistemas fijación a elementos estructurales. La medida será tomada en pendiente de cubierta. Color VERDE.</v>
          </cell>
          <cell r="D797" t="str">
            <v>m2</v>
          </cell>
          <cell r="E797">
            <v>60.19</v>
          </cell>
          <cell r="G797" t="str">
            <v/>
          </cell>
          <cell r="H797">
            <v>90084</v>
          </cell>
        </row>
        <row r="798">
          <cell r="B798" t="str">
            <v>I. EQUIPO Y HERRAMIENTA</v>
          </cell>
          <cell r="H798">
            <v>869.05988783217788</v>
          </cell>
        </row>
        <row r="799">
          <cell r="B799" t="str">
            <v>HTAMNR</v>
          </cell>
          <cell r="C799" t="str">
            <v>Herramienta y equipo menor</v>
          </cell>
          <cell r="D799" t="str">
            <v>%</v>
          </cell>
          <cell r="F799">
            <v>0.05</v>
          </cell>
          <cell r="G799">
            <v>14581.197756643556</v>
          </cell>
          <cell r="H799">
            <v>729.05988783217788</v>
          </cell>
        </row>
        <row r="800">
          <cell r="B800" t="str">
            <v>MAT1290</v>
          </cell>
          <cell r="C800" t="str">
            <v>Sección completa andamio 1.20x1.50m</v>
          </cell>
          <cell r="D800" t="str">
            <v>día</v>
          </cell>
          <cell r="E800">
            <v>0.1</v>
          </cell>
          <cell r="G800">
            <v>1400</v>
          </cell>
          <cell r="H800">
            <v>140</v>
          </cell>
        </row>
        <row r="801">
          <cell r="B801" t="str">
            <v>II. MATERIALES</v>
          </cell>
          <cell r="H801">
            <v>72632</v>
          </cell>
        </row>
        <row r="802">
          <cell r="B802" t="str">
            <v>CUB1221</v>
          </cell>
          <cell r="C802" t="str">
            <v>Teja termoacústica UPVC 2.0mm verde tipo ECOROOF o similar</v>
          </cell>
          <cell r="D802" t="str">
            <v>m2</v>
          </cell>
          <cell r="E802">
            <v>1</v>
          </cell>
          <cell r="G802">
            <v>72586</v>
          </cell>
          <cell r="H802">
            <v>72586</v>
          </cell>
        </row>
        <row r="803">
          <cell r="B803" t="str">
            <v>CUB1230</v>
          </cell>
          <cell r="C803" t="str">
            <v>Tornillo C12 2.5"</v>
          </cell>
          <cell r="D803" t="str">
            <v>un</v>
          </cell>
          <cell r="E803">
            <v>0.04</v>
          </cell>
          <cell r="G803">
            <v>1150</v>
          </cell>
          <cell r="H803">
            <v>46</v>
          </cell>
        </row>
        <row r="804">
          <cell r="B804" t="str">
            <v>III. TRANSPORTES</v>
          </cell>
          <cell r="E804" t="str">
            <v>Km</v>
          </cell>
          <cell r="F804" t="str">
            <v>PESO</v>
          </cell>
          <cell r="G804" t="str">
            <v>T/KM</v>
          </cell>
          <cell r="H804">
            <v>2001.9999999999998</v>
          </cell>
        </row>
        <row r="805">
          <cell r="B805" t="str">
            <v>TR1070</v>
          </cell>
          <cell r="C805" t="str">
            <v xml:space="preserve">Transporte de materiales varios </v>
          </cell>
          <cell r="D805" t="str">
            <v>T/km</v>
          </cell>
          <cell r="E805">
            <v>130</v>
          </cell>
          <cell r="F805">
            <v>2.1999999999999999E-2</v>
          </cell>
          <cell r="G805">
            <v>700</v>
          </cell>
          <cell r="H805">
            <v>2001.9999999999998</v>
          </cell>
        </row>
        <row r="806">
          <cell r="B806" t="str">
            <v>IV. MANO DE OBRA</v>
          </cell>
          <cell r="H806">
            <v>14581.197756643556</v>
          </cell>
        </row>
        <row r="807">
          <cell r="B807" t="str">
            <v>MOFICIAL</v>
          </cell>
          <cell r="C807" t="str">
            <v>Mo oficial</v>
          </cell>
          <cell r="D807" t="str">
            <v>día</v>
          </cell>
          <cell r="E807">
            <v>0.08</v>
          </cell>
          <cell r="G807">
            <v>130525.11769031112</v>
          </cell>
          <cell r="H807">
            <v>10442.009415224889</v>
          </cell>
        </row>
        <row r="808">
          <cell r="B808" t="str">
            <v>MOAYUDR</v>
          </cell>
          <cell r="C808" t="str">
            <v>Mo ayudante raso</v>
          </cell>
          <cell r="D808" t="str">
            <v>día</v>
          </cell>
          <cell r="E808">
            <v>0.06</v>
          </cell>
          <cell r="G808">
            <v>68986.472356977785</v>
          </cell>
          <cell r="H808">
            <v>4139.1883414186668</v>
          </cell>
        </row>
        <row r="809">
          <cell r="B809" t="str">
            <v>11.2</v>
          </cell>
          <cell r="C809" t="str">
            <v>Suministro, transporte e instalación de correa en madera pino pátula inmunizada (ES6) de sección 2"x6". Incluye anclajes y todo lo necesario para su correcto funcionamiento.</v>
          </cell>
          <cell r="D809" t="str">
            <v>m</v>
          </cell>
          <cell r="E809">
            <v>35.200000000000003</v>
          </cell>
          <cell r="G809" t="str">
            <v/>
          </cell>
          <cell r="H809">
            <v>27231</v>
          </cell>
        </row>
        <row r="810">
          <cell r="B810" t="str">
            <v>I. EQUIPO Y HERRAMIENTA</v>
          </cell>
          <cell r="H810">
            <v>474.78573893973339</v>
          </cell>
        </row>
        <row r="811">
          <cell r="B811" t="str">
            <v>HTAMNR</v>
          </cell>
          <cell r="C811" t="str">
            <v>Herramienta y equipo menor</v>
          </cell>
          <cell r="D811" t="str">
            <v>%</v>
          </cell>
          <cell r="F811">
            <v>0.05</v>
          </cell>
          <cell r="G811">
            <v>9285.7147787946669</v>
          </cell>
          <cell r="H811">
            <v>464.28573893973339</v>
          </cell>
        </row>
        <row r="812">
          <cell r="B812" t="str">
            <v>MAT1290</v>
          </cell>
          <cell r="C812" t="str">
            <v>Sección completa andamio 1.20x1.50m</v>
          </cell>
          <cell r="D812" t="str">
            <v>día</v>
          </cell>
          <cell r="E812">
            <v>7.4999999999999997E-3</v>
          </cell>
          <cell r="G812">
            <v>1400</v>
          </cell>
          <cell r="H812">
            <v>10.5</v>
          </cell>
        </row>
        <row r="813">
          <cell r="B813" t="str">
            <v>II. MATERIALES</v>
          </cell>
          <cell r="H813">
            <v>17126</v>
          </cell>
        </row>
        <row r="814">
          <cell r="B814" t="str">
            <v>MAT1196</v>
          </cell>
          <cell r="C814" t="str">
            <v>Liston 2"x6" pino pátula inmunizado</v>
          </cell>
          <cell r="D814" t="str">
            <v>m</v>
          </cell>
          <cell r="E814">
            <v>1</v>
          </cell>
          <cell r="G814">
            <v>12800</v>
          </cell>
          <cell r="H814">
            <v>12800</v>
          </cell>
        </row>
        <row r="815">
          <cell r="B815" t="str">
            <v>CUB1156</v>
          </cell>
          <cell r="C815" t="str">
            <v>Perno en varilla roscada 1/4", incluye dos tuercas</v>
          </cell>
          <cell r="D815" t="str">
            <v>un</v>
          </cell>
          <cell r="E815">
            <v>0.6</v>
          </cell>
          <cell r="G815">
            <v>2100</v>
          </cell>
          <cell r="H815">
            <v>1260</v>
          </cell>
        </row>
        <row r="816">
          <cell r="B816" t="str">
            <v>MAT1402</v>
          </cell>
          <cell r="C816" t="str">
            <v>Angulo de 3"x1/4"x6 m</v>
          </cell>
          <cell r="D816" t="str">
            <v>un</v>
          </cell>
          <cell r="E816">
            <v>1.4999999999999999E-2</v>
          </cell>
          <cell r="G816">
            <v>197800</v>
          </cell>
          <cell r="H816">
            <v>2967</v>
          </cell>
        </row>
        <row r="817">
          <cell r="B817" t="str">
            <v>MAT1095</v>
          </cell>
          <cell r="C817" t="str">
            <v>Clavo común 37.5 a 100 mm</v>
          </cell>
          <cell r="D817" t="str">
            <v>lb</v>
          </cell>
          <cell r="E817">
            <v>0.01</v>
          </cell>
          <cell r="G817">
            <v>9900</v>
          </cell>
          <cell r="H817">
            <v>99</v>
          </cell>
        </row>
        <row r="818">
          <cell r="B818" t="str">
            <v>III. TRANSPORTES</v>
          </cell>
          <cell r="E818" t="str">
            <v>Km</v>
          </cell>
          <cell r="F818" t="str">
            <v>PESO</v>
          </cell>
          <cell r="G818" t="str">
            <v>T/KM</v>
          </cell>
          <cell r="H818">
            <v>344.23025000000001</v>
          </cell>
        </row>
        <row r="819">
          <cell r="B819" t="str">
            <v>TR1070</v>
          </cell>
          <cell r="C819" t="str">
            <v xml:space="preserve">Transporte de materiales varios </v>
          </cell>
          <cell r="D819" t="str">
            <v>T/km</v>
          </cell>
          <cell r="E819">
            <v>130</v>
          </cell>
          <cell r="F819">
            <v>3.7827500000000001E-3</v>
          </cell>
          <cell r="G819">
            <v>700</v>
          </cell>
          <cell r="H819">
            <v>344.23025000000001</v>
          </cell>
        </row>
        <row r="820">
          <cell r="B820" t="str">
            <v>IV. MANO DE OBRA</v>
          </cell>
          <cell r="H820">
            <v>9285.7147787946669</v>
          </cell>
        </row>
        <row r="821">
          <cell r="B821" t="str">
            <v>MOFICIAL</v>
          </cell>
          <cell r="C821" t="str">
            <v>Mo oficial</v>
          </cell>
          <cell r="D821" t="str">
            <v>día</v>
          </cell>
          <cell r="E821">
            <v>0.05</v>
          </cell>
          <cell r="G821">
            <v>130525.11769031112</v>
          </cell>
          <cell r="H821">
            <v>6526.2558845155563</v>
          </cell>
        </row>
        <row r="822">
          <cell r="B822" t="str">
            <v>MOAYUDR</v>
          </cell>
          <cell r="C822" t="str">
            <v>Mo ayudante raso</v>
          </cell>
          <cell r="D822" t="str">
            <v>día</v>
          </cell>
          <cell r="E822">
            <v>0.04</v>
          </cell>
          <cell r="G822">
            <v>68986.472356977785</v>
          </cell>
          <cell r="H822">
            <v>2759.4588942791115</v>
          </cell>
        </row>
        <row r="823">
          <cell r="B823" t="str">
            <v>11.3</v>
          </cell>
          <cell r="C823" t="str">
            <v>Suministro, transporte e instalación de correa en madera pino pátula inmunizada (ES6) de sección 3"x4". Incluye anclajes y todo lo necesario para su correcto funcionamiento.</v>
          </cell>
          <cell r="D823" t="str">
            <v>m</v>
          </cell>
          <cell r="E823">
            <v>23.76</v>
          </cell>
          <cell r="G823" t="str">
            <v/>
          </cell>
          <cell r="H823">
            <v>27231</v>
          </cell>
        </row>
        <row r="824">
          <cell r="B824" t="str">
            <v>I. EQUIPO Y HERRAMIENTA</v>
          </cell>
          <cell r="H824">
            <v>474.78573893973339</v>
          </cell>
        </row>
        <row r="825">
          <cell r="B825" t="str">
            <v>HTAMNR</v>
          </cell>
          <cell r="C825" t="str">
            <v>Herramienta y equipo menor</v>
          </cell>
          <cell r="D825" t="str">
            <v>%</v>
          </cell>
          <cell r="F825">
            <v>0.05</v>
          </cell>
          <cell r="G825">
            <v>9285.7147787946669</v>
          </cell>
          <cell r="H825">
            <v>464.28573893973339</v>
          </cell>
        </row>
        <row r="826">
          <cell r="B826" t="str">
            <v>MAT1290</v>
          </cell>
          <cell r="C826" t="str">
            <v>Sección completa andamio 1.20x1.50m</v>
          </cell>
          <cell r="D826" t="str">
            <v>día</v>
          </cell>
          <cell r="E826">
            <v>7.4999999999999997E-3</v>
          </cell>
          <cell r="G826">
            <v>1400</v>
          </cell>
          <cell r="H826">
            <v>10.5</v>
          </cell>
        </row>
        <row r="827">
          <cell r="B827" t="str">
            <v>II. MATERIALES</v>
          </cell>
          <cell r="H827">
            <v>17126</v>
          </cell>
        </row>
        <row r="828">
          <cell r="B828" t="str">
            <v>MAT1195</v>
          </cell>
          <cell r="C828" t="str">
            <v>Liston 3"x4" pino pátula inmunizado</v>
          </cell>
          <cell r="D828" t="str">
            <v>m</v>
          </cell>
          <cell r="E828">
            <v>1</v>
          </cell>
          <cell r="G828">
            <v>12800</v>
          </cell>
          <cell r="H828">
            <v>12800</v>
          </cell>
        </row>
        <row r="829">
          <cell r="B829" t="str">
            <v>CUB1156</v>
          </cell>
          <cell r="C829" t="str">
            <v>Perno en varilla roscada 1/4", incluye dos tuercas</v>
          </cell>
          <cell r="D829" t="str">
            <v>un</v>
          </cell>
          <cell r="E829">
            <v>0.6</v>
          </cell>
          <cell r="G829">
            <v>2100</v>
          </cell>
          <cell r="H829">
            <v>1260</v>
          </cell>
        </row>
        <row r="830">
          <cell r="B830" t="str">
            <v>MAT1402</v>
          </cell>
          <cell r="C830" t="str">
            <v>Angulo de 3"x1/4"x6 m</v>
          </cell>
          <cell r="D830" t="str">
            <v>un</v>
          </cell>
          <cell r="E830">
            <v>1.4999999999999999E-2</v>
          </cell>
          <cell r="G830">
            <v>197800</v>
          </cell>
          <cell r="H830">
            <v>2967</v>
          </cell>
        </row>
        <row r="831">
          <cell r="B831" t="str">
            <v>MAT1095</v>
          </cell>
          <cell r="C831" t="str">
            <v>Clavo común 37.5 a 100 mm</v>
          </cell>
          <cell r="D831" t="str">
            <v>lb</v>
          </cell>
          <cell r="E831">
            <v>0.01</v>
          </cell>
          <cell r="G831">
            <v>9900</v>
          </cell>
          <cell r="H831">
            <v>99</v>
          </cell>
        </row>
        <row r="832">
          <cell r="B832" t="str">
            <v>III. TRANSPORTES</v>
          </cell>
          <cell r="E832" t="str">
            <v>Km</v>
          </cell>
          <cell r="F832" t="str">
            <v>PESO</v>
          </cell>
          <cell r="G832" t="str">
            <v>T/KM</v>
          </cell>
          <cell r="H832">
            <v>344.23024999999996</v>
          </cell>
        </row>
        <row r="833">
          <cell r="B833" t="str">
            <v>TR1070</v>
          </cell>
          <cell r="C833" t="str">
            <v xml:space="preserve">Transporte de materiales varios </v>
          </cell>
          <cell r="D833" t="str">
            <v>T/km</v>
          </cell>
          <cell r="E833">
            <v>130</v>
          </cell>
          <cell r="F833">
            <v>3.7827499999999992E-3</v>
          </cell>
          <cell r="G833">
            <v>700</v>
          </cell>
          <cell r="H833">
            <v>344.23024999999996</v>
          </cell>
        </row>
        <row r="834">
          <cell r="B834" t="str">
            <v>IV. MANO DE OBRA</v>
          </cell>
          <cell r="H834">
            <v>9285.7147787946669</v>
          </cell>
        </row>
        <row r="835">
          <cell r="B835" t="str">
            <v>MOFICIAL</v>
          </cell>
          <cell r="C835" t="str">
            <v>Mo oficial</v>
          </cell>
          <cell r="D835" t="str">
            <v>día</v>
          </cell>
          <cell r="E835">
            <v>0.05</v>
          </cell>
          <cell r="G835">
            <v>130525.11769031112</v>
          </cell>
          <cell r="H835">
            <v>6526.2558845155563</v>
          </cell>
        </row>
        <row r="836">
          <cell r="B836" t="str">
            <v>MOAYUDR</v>
          </cell>
          <cell r="C836" t="str">
            <v>Mo ayudante raso</v>
          </cell>
          <cell r="D836" t="str">
            <v>día</v>
          </cell>
          <cell r="E836">
            <v>0.04</v>
          </cell>
          <cell r="G836">
            <v>68986.472356977785</v>
          </cell>
          <cell r="H836">
            <v>2759.4588942791115</v>
          </cell>
        </row>
        <row r="837">
          <cell r="B837" t="str">
            <v>11.4</v>
          </cell>
          <cell r="C837" t="str">
            <v>Suminsitro, transporte e instalación de alfarda en madera pino pátula inmunizada (ES6) de sección 3"x7". Incluye anclajes y todo lo necesario para su correcto funcionamiento.</v>
          </cell>
          <cell r="D837" t="str">
            <v>m</v>
          </cell>
          <cell r="E837">
            <v>3.55</v>
          </cell>
          <cell r="G837" t="str">
            <v/>
          </cell>
          <cell r="H837">
            <v>29213</v>
          </cell>
        </row>
        <row r="838">
          <cell r="B838" t="str">
            <v>I. EQUIPO Y HERRAMIENTA</v>
          </cell>
          <cell r="H838">
            <v>474.78573893973339</v>
          </cell>
        </row>
        <row r="839">
          <cell r="B839" t="str">
            <v>HTAMNR</v>
          </cell>
          <cell r="C839" t="str">
            <v>Herramienta y equipo menor</v>
          </cell>
          <cell r="D839" t="str">
            <v>%</v>
          </cell>
          <cell r="F839">
            <v>0.05</v>
          </cell>
          <cell r="G839">
            <v>9285.7147787946669</v>
          </cell>
          <cell r="H839">
            <v>464.28573893973339</v>
          </cell>
        </row>
        <row r="840">
          <cell r="B840" t="str">
            <v>MAT1290</v>
          </cell>
          <cell r="C840" t="str">
            <v>Sección completa andamio 1.20x1.50m</v>
          </cell>
          <cell r="D840" t="str">
            <v>día</v>
          </cell>
          <cell r="E840">
            <v>7.4999999999999997E-3</v>
          </cell>
          <cell r="G840">
            <v>1400</v>
          </cell>
          <cell r="H840">
            <v>10.5</v>
          </cell>
        </row>
        <row r="841">
          <cell r="B841" t="str">
            <v>II. MATERIALES</v>
          </cell>
          <cell r="H841">
            <v>18926</v>
          </cell>
        </row>
        <row r="842">
          <cell r="B842" t="str">
            <v>MAT1197</v>
          </cell>
          <cell r="C842" t="str">
            <v>Liston 3"x7" pino pátula inmunizado</v>
          </cell>
          <cell r="D842" t="str">
            <v>m</v>
          </cell>
          <cell r="E842">
            <v>1</v>
          </cell>
          <cell r="G842">
            <v>14600</v>
          </cell>
          <cell r="H842">
            <v>14600</v>
          </cell>
        </row>
        <row r="843">
          <cell r="B843" t="str">
            <v>CUB1156</v>
          </cell>
          <cell r="C843" t="str">
            <v>Perno en varilla roscada 1/4", incluye dos tuercas</v>
          </cell>
          <cell r="D843" t="str">
            <v>un</v>
          </cell>
          <cell r="E843">
            <v>0.6</v>
          </cell>
          <cell r="G843">
            <v>2100</v>
          </cell>
          <cell r="H843">
            <v>1260</v>
          </cell>
        </row>
        <row r="844">
          <cell r="B844" t="str">
            <v>MAT1402</v>
          </cell>
          <cell r="C844" t="str">
            <v>Angulo de 3"x1/4"x6 m</v>
          </cell>
          <cell r="D844" t="str">
            <v>un</v>
          </cell>
          <cell r="E844">
            <v>1.4999999999999999E-2</v>
          </cell>
          <cell r="G844">
            <v>197800</v>
          </cell>
          <cell r="H844">
            <v>2967</v>
          </cell>
        </row>
        <row r="845">
          <cell r="B845" t="str">
            <v>MAT1095</v>
          </cell>
          <cell r="C845" t="str">
            <v>Clavo común 37.5 a 100 mm</v>
          </cell>
          <cell r="D845" t="str">
            <v>lb</v>
          </cell>
          <cell r="E845">
            <v>0.01</v>
          </cell>
          <cell r="G845">
            <v>9900</v>
          </cell>
          <cell r="H845">
            <v>99</v>
          </cell>
        </row>
        <row r="846">
          <cell r="B846" t="str">
            <v>III. TRANSPORTES</v>
          </cell>
          <cell r="E846" t="str">
            <v>Km</v>
          </cell>
          <cell r="F846" t="str">
            <v>PESO</v>
          </cell>
          <cell r="G846" t="str">
            <v>T/KM</v>
          </cell>
          <cell r="H846">
            <v>526.23024999999996</v>
          </cell>
        </row>
        <row r="847">
          <cell r="B847" t="str">
            <v>TR1070</v>
          </cell>
          <cell r="C847" t="str">
            <v xml:space="preserve">Transporte de materiales varios </v>
          </cell>
          <cell r="D847" t="str">
            <v>T/km</v>
          </cell>
          <cell r="E847">
            <v>130</v>
          </cell>
          <cell r="F847">
            <v>5.7827499999999997E-3</v>
          </cell>
          <cell r="G847">
            <v>700</v>
          </cell>
          <cell r="H847">
            <v>526.23024999999996</v>
          </cell>
        </row>
        <row r="848">
          <cell r="B848" t="str">
            <v>IV. MANO DE OBRA</v>
          </cell>
          <cell r="H848">
            <v>9285.7147787946669</v>
          </cell>
        </row>
        <row r="849">
          <cell r="B849" t="str">
            <v>MOFICIAL</v>
          </cell>
          <cell r="C849" t="str">
            <v>Mo oficial</v>
          </cell>
          <cell r="D849" t="str">
            <v>día</v>
          </cell>
          <cell r="E849">
            <v>0.05</v>
          </cell>
          <cell r="G849">
            <v>130525.11769031112</v>
          </cell>
          <cell r="H849">
            <v>6526.2558845155563</v>
          </cell>
        </row>
        <row r="850">
          <cell r="B850" t="str">
            <v>MOAYUDR</v>
          </cell>
          <cell r="C850" t="str">
            <v>Mo ayudante raso</v>
          </cell>
          <cell r="D850" t="str">
            <v>día</v>
          </cell>
          <cell r="E850">
            <v>0.04</v>
          </cell>
          <cell r="G850">
            <v>68986.472356977785</v>
          </cell>
          <cell r="H850">
            <v>2759.4588942791115</v>
          </cell>
        </row>
        <row r="851">
          <cell r="B851" t="str">
            <v>11.5</v>
          </cell>
          <cell r="C851"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851" t="str">
            <v>m</v>
          </cell>
          <cell r="E851">
            <v>16.72</v>
          </cell>
          <cell r="G851" t="str">
            <v/>
          </cell>
          <cell r="H851">
            <v>34021</v>
          </cell>
        </row>
        <row r="852">
          <cell r="B852" t="str">
            <v>I. EQUIPO Y HERRAMIENTA</v>
          </cell>
          <cell r="H852">
            <v>261.05023538062227</v>
          </cell>
        </row>
        <row r="853">
          <cell r="B853" t="str">
            <v>HTAMNR</v>
          </cell>
          <cell r="C853" t="str">
            <v>Herramienta y equipo menor</v>
          </cell>
          <cell r="D853" t="str">
            <v>%</v>
          </cell>
          <cell r="F853">
            <v>0.05</v>
          </cell>
          <cell r="G853">
            <v>5221.0047076124447</v>
          </cell>
          <cell r="H853">
            <v>261.05023538062227</v>
          </cell>
        </row>
        <row r="854">
          <cell r="B854" t="str">
            <v>II. MATERIALES</v>
          </cell>
          <cell r="H854">
            <v>28420</v>
          </cell>
        </row>
        <row r="855">
          <cell r="B855" t="str">
            <v>CUB1030</v>
          </cell>
          <cell r="C855" t="str">
            <v>Canal plástico tipo Raingo o similar</v>
          </cell>
          <cell r="D855" t="str">
            <v>m</v>
          </cell>
          <cell r="E855">
            <v>1</v>
          </cell>
          <cell r="G855">
            <v>18100</v>
          </cell>
          <cell r="H855">
            <v>18100</v>
          </cell>
        </row>
        <row r="856">
          <cell r="B856" t="str">
            <v>CUB1040</v>
          </cell>
          <cell r="C856" t="str">
            <v>Unión de canal tipo Raingo o similar</v>
          </cell>
          <cell r="D856" t="str">
            <v>un</v>
          </cell>
          <cell r="E856">
            <v>0.26666666666666666</v>
          </cell>
          <cell r="G856">
            <v>9900</v>
          </cell>
          <cell r="H856">
            <v>2640</v>
          </cell>
        </row>
        <row r="857">
          <cell r="B857" t="str">
            <v>CUB1080</v>
          </cell>
          <cell r="C857" t="str">
            <v>Tapa externa canal Raingo o similar</v>
          </cell>
          <cell r="D857" t="str">
            <v>un</v>
          </cell>
          <cell r="E857">
            <v>0.26666666666666666</v>
          </cell>
          <cell r="G857">
            <v>7600</v>
          </cell>
          <cell r="H857">
            <v>2026.6666666666667</v>
          </cell>
        </row>
        <row r="858">
          <cell r="B858" t="str">
            <v>CUB1050</v>
          </cell>
          <cell r="C858" t="str">
            <v>Canal - unión de canal a bajante tipo Raingo o similar</v>
          </cell>
          <cell r="D858" t="str">
            <v>un</v>
          </cell>
          <cell r="E858">
            <v>0.26666666666666666</v>
          </cell>
          <cell r="G858">
            <v>8900</v>
          </cell>
          <cell r="H858">
            <v>2373.3333333333335</v>
          </cell>
        </row>
        <row r="859">
          <cell r="B859" t="str">
            <v>CUB1060</v>
          </cell>
          <cell r="C859" t="str">
            <v>Soporte de canal tipo Raingo o similar</v>
          </cell>
          <cell r="D859" t="str">
            <v>un</v>
          </cell>
          <cell r="E859">
            <v>0.4</v>
          </cell>
          <cell r="G859">
            <v>8200</v>
          </cell>
          <cell r="H859">
            <v>3280</v>
          </cell>
        </row>
        <row r="860">
          <cell r="B860" t="str">
            <v>III. TRANSPORTES</v>
          </cell>
          <cell r="E860" t="str">
            <v>Km</v>
          </cell>
          <cell r="F860" t="str">
            <v>PESO</v>
          </cell>
          <cell r="G860" t="str">
            <v>T/KM</v>
          </cell>
          <cell r="H860">
            <v>118.664</v>
          </cell>
        </row>
        <row r="861">
          <cell r="B861" t="str">
            <v>TR1070</v>
          </cell>
          <cell r="C861" t="str">
            <v xml:space="preserve">Transporte de materiales varios </v>
          </cell>
          <cell r="D861" t="str">
            <v>T/km</v>
          </cell>
          <cell r="E861">
            <v>130</v>
          </cell>
          <cell r="F861">
            <v>1.304E-3</v>
          </cell>
          <cell r="G861">
            <v>700</v>
          </cell>
          <cell r="H861">
            <v>118.664</v>
          </cell>
        </row>
        <row r="862">
          <cell r="B862" t="str">
            <v>IV. MANO DE OBRA</v>
          </cell>
          <cell r="H862">
            <v>5221.0047076124447</v>
          </cell>
        </row>
        <row r="863">
          <cell r="B863" t="str">
            <v>MOFICIAL</v>
          </cell>
          <cell r="C863" t="str">
            <v>Mo oficial</v>
          </cell>
          <cell r="D863" t="str">
            <v>día</v>
          </cell>
          <cell r="E863">
            <v>0.04</v>
          </cell>
          <cell r="G863">
            <v>130525.11769031112</v>
          </cell>
          <cell r="H863">
            <v>5221.0047076124447</v>
          </cell>
        </row>
        <row r="864">
          <cell r="B864" t="str">
            <v>11.6</v>
          </cell>
          <cell r="C864" t="str">
            <v>Suministro, transporte y colocación de ruana en lámina galvanizada calibre 26, desarrollo 0.33m. Incluye pintura anticorrosiva a base de aceite, pestaña de 5 cm, y todos los elementos necesarios para su correcta construcción. Según diseño de cubierta.</v>
          </cell>
          <cell r="D864" t="str">
            <v>m</v>
          </cell>
          <cell r="E864">
            <v>7.72</v>
          </cell>
          <cell r="G864" t="str">
            <v/>
          </cell>
          <cell r="H864">
            <v>22042</v>
          </cell>
        </row>
        <row r="865">
          <cell r="B865" t="str">
            <v>I. EQUIPO Y HERRAMIENTA</v>
          </cell>
          <cell r="H865">
            <v>130.52511769031113</v>
          </cell>
        </row>
        <row r="866">
          <cell r="B866" t="str">
            <v>HTAMNR</v>
          </cell>
          <cell r="C866" t="str">
            <v>Herramienta y equipo menor</v>
          </cell>
          <cell r="D866" t="str">
            <v>%</v>
          </cell>
          <cell r="F866">
            <v>0.05</v>
          </cell>
          <cell r="G866">
            <v>2610.5023538062223</v>
          </cell>
          <cell r="H866">
            <v>130.52511769031113</v>
          </cell>
        </row>
        <row r="867">
          <cell r="B867" t="str">
            <v>II. MATERIALES</v>
          </cell>
          <cell r="H867">
            <v>19214</v>
          </cell>
        </row>
        <row r="868">
          <cell r="B868" t="str">
            <v>CUB1260</v>
          </cell>
          <cell r="C868" t="str">
            <v>Ruana en lamina Cal.26</v>
          </cell>
          <cell r="D868" t="str">
            <v>m</v>
          </cell>
          <cell r="E868">
            <v>1</v>
          </cell>
          <cell r="G868">
            <v>17125</v>
          </cell>
          <cell r="H868">
            <v>17125</v>
          </cell>
        </row>
        <row r="869">
          <cell r="B869" t="str">
            <v>MAT1095</v>
          </cell>
          <cell r="C869" t="str">
            <v>Clavo común 37.5 a 100 mm</v>
          </cell>
          <cell r="D869" t="str">
            <v>lb</v>
          </cell>
          <cell r="E869">
            <v>0.01</v>
          </cell>
          <cell r="G869">
            <v>9900</v>
          </cell>
          <cell r="H869">
            <v>99</v>
          </cell>
        </row>
        <row r="870">
          <cell r="B870" t="str">
            <v>AD1246</v>
          </cell>
          <cell r="C870" t="str">
            <v>Silicona multiproposito tipo Sikasil transparente o similar 280 ml</v>
          </cell>
          <cell r="D870" t="str">
            <v>un</v>
          </cell>
          <cell r="E870">
            <v>0.1</v>
          </cell>
          <cell r="G870">
            <v>19900</v>
          </cell>
          <cell r="H870">
            <v>1990</v>
          </cell>
        </row>
        <row r="871">
          <cell r="B871" t="str">
            <v>III. TRANSPORTES</v>
          </cell>
          <cell r="E871" t="str">
            <v>Km</v>
          </cell>
          <cell r="F871" t="str">
            <v>PESO</v>
          </cell>
          <cell r="G871" t="str">
            <v>T/KM</v>
          </cell>
          <cell r="H871">
            <v>86.905000000000001</v>
          </cell>
        </row>
        <row r="872">
          <cell r="B872" t="str">
            <v>TR1070</v>
          </cell>
          <cell r="C872" t="str">
            <v xml:space="preserve">Transporte de materiales varios </v>
          </cell>
          <cell r="D872" t="str">
            <v>T/km</v>
          </cell>
          <cell r="E872">
            <v>130</v>
          </cell>
          <cell r="F872">
            <v>9.5500000000000001E-4</v>
          </cell>
          <cell r="G872">
            <v>700</v>
          </cell>
          <cell r="H872">
            <v>86.905000000000001</v>
          </cell>
        </row>
        <row r="873">
          <cell r="B873" t="str">
            <v>IV. MANO DE OBRA</v>
          </cell>
          <cell r="H873">
            <v>2610.5023538062223</v>
          </cell>
        </row>
        <row r="874">
          <cell r="B874" t="str">
            <v>MOFICIAL</v>
          </cell>
          <cell r="C874" t="str">
            <v>Mo oficial</v>
          </cell>
          <cell r="D874" t="str">
            <v>día</v>
          </cell>
          <cell r="E874">
            <v>0.02</v>
          </cell>
          <cell r="G874">
            <v>130525.11769031112</v>
          </cell>
          <cell r="H874">
            <v>2610.5023538062223</v>
          </cell>
        </row>
        <row r="875">
          <cell r="B875" t="str">
            <v>11.7</v>
          </cell>
          <cell r="C875" t="str">
            <v>Suministro, transporte e instalación de bajante de aguas lluvias PVC-ALL 2". Incluye todo lo requerido para su correcta instalación como codos, soportes y demás elementos necesarios.</v>
          </cell>
          <cell r="D875" t="str">
            <v>un</v>
          </cell>
          <cell r="E875">
            <v>6.6</v>
          </cell>
          <cell r="G875" t="str">
            <v/>
          </cell>
          <cell r="H875">
            <v>18656</v>
          </cell>
        </row>
        <row r="876">
          <cell r="B876" t="str">
            <v>I. EQUIPO Y HERRAMIENTA</v>
          </cell>
          <cell r="H876">
            <v>261.05023538062227</v>
          </cell>
        </row>
        <row r="877">
          <cell r="B877" t="str">
            <v>HTAMNR</v>
          </cell>
          <cell r="C877" t="str">
            <v>Herramienta y equipo menor</v>
          </cell>
          <cell r="D877" t="str">
            <v>%</v>
          </cell>
          <cell r="F877">
            <v>0.05</v>
          </cell>
          <cell r="G877">
            <v>5221.0047076124447</v>
          </cell>
          <cell r="H877">
            <v>261.05023538062227</v>
          </cell>
        </row>
        <row r="878">
          <cell r="B878" t="str">
            <v>II. MATERIALES</v>
          </cell>
          <cell r="H878">
            <v>13113.483636363637</v>
          </cell>
        </row>
        <row r="879">
          <cell r="B879" t="str">
            <v>TB2601</v>
          </cell>
          <cell r="C879" t="str">
            <v>Tubería PVC-ALL 2"</v>
          </cell>
          <cell r="D879" t="str">
            <v>m</v>
          </cell>
          <cell r="E879">
            <v>1</v>
          </cell>
          <cell r="G879">
            <v>9700</v>
          </cell>
          <cell r="H879">
            <v>9700</v>
          </cell>
        </row>
        <row r="880">
          <cell r="B880" t="str">
            <v>TB2110</v>
          </cell>
          <cell r="C880" t="str">
            <v>Grapa Abrazadera Metálica Doble Ala 2" (50 mm)</v>
          </cell>
          <cell r="D880" t="str">
            <v>un</v>
          </cell>
          <cell r="E880">
            <v>0.90909090909090917</v>
          </cell>
          <cell r="G880">
            <v>2900</v>
          </cell>
          <cell r="H880">
            <v>2636.3636363636365</v>
          </cell>
        </row>
        <row r="881">
          <cell r="B881" t="str">
            <v>AD1110</v>
          </cell>
          <cell r="C881" t="str">
            <v>Limpiador PVC 760 gramos (1/4 gal) o similar</v>
          </cell>
          <cell r="D881" t="str">
            <v>un</v>
          </cell>
          <cell r="E881">
            <v>5.0000000000000001E-3</v>
          </cell>
          <cell r="G881">
            <v>49900</v>
          </cell>
          <cell r="H881">
            <v>249.5</v>
          </cell>
        </row>
        <row r="882">
          <cell r="B882" t="str">
            <v>AD1280</v>
          </cell>
          <cell r="C882" t="str">
            <v>Soldadura PVC 1/4 gal o similar</v>
          </cell>
          <cell r="D882" t="str">
            <v>gal</v>
          </cell>
          <cell r="E882">
            <v>5.0000000000000001E-3</v>
          </cell>
          <cell r="G882">
            <v>105524</v>
          </cell>
          <cell r="H882">
            <v>527.62</v>
          </cell>
        </row>
        <row r="883">
          <cell r="B883" t="str">
            <v>III. TRANSPORTES</v>
          </cell>
          <cell r="E883" t="str">
            <v>Km</v>
          </cell>
          <cell r="F883" t="str">
            <v>PESO</v>
          </cell>
          <cell r="G883" t="str">
            <v>T/KM</v>
          </cell>
          <cell r="H883">
            <v>60.35326818181818</v>
          </cell>
        </row>
        <row r="884">
          <cell r="B884" t="str">
            <v>TR1070</v>
          </cell>
          <cell r="C884" t="str">
            <v xml:space="preserve">Transporte de materiales varios </v>
          </cell>
          <cell r="D884" t="str">
            <v>T/km</v>
          </cell>
          <cell r="E884">
            <v>130</v>
          </cell>
          <cell r="F884">
            <v>6.6322272727272727E-4</v>
          </cell>
          <cell r="G884">
            <v>700</v>
          </cell>
          <cell r="H884">
            <v>60.35326818181818</v>
          </cell>
        </row>
        <row r="885">
          <cell r="B885" t="str">
            <v>IV. MANO DE OBRA</v>
          </cell>
          <cell r="H885">
            <v>5221.0047076124447</v>
          </cell>
        </row>
        <row r="886">
          <cell r="B886" t="str">
            <v>MOFICIAL</v>
          </cell>
          <cell r="C886" t="str">
            <v>Mo oficial</v>
          </cell>
          <cell r="D886" t="str">
            <v>día</v>
          </cell>
          <cell r="E886">
            <v>0.04</v>
          </cell>
          <cell r="G886">
            <v>130525.11769031112</v>
          </cell>
          <cell r="H886">
            <v>5221.0047076124447</v>
          </cell>
        </row>
        <row r="887">
          <cell r="B887" t="str">
            <v>11.8</v>
          </cell>
          <cell r="C887" t="str">
            <v>Sistema de aprovechamiento de agua lluvia según diseño. Incluye tanque de polietileno de 500l, tubería PVC-Px2", Tubería PVC-Px1", válvula de bola PVC-P 2", codos PVC-P 90°X 2", codos PVC-P 90°X 1", Tee PVC-P 90°X 2", Tee PVC-P 90°X 1", unión universal PVC-P X 2", unión universal PVC-P X 1", soporte metálico, llave boca manguera para lavadero y llave boca manguera para poceta.</v>
          </cell>
          <cell r="D887" t="str">
            <v>m</v>
          </cell>
          <cell r="E887">
            <v>1</v>
          </cell>
          <cell r="G887" t="str">
            <v/>
          </cell>
          <cell r="H887">
            <v>701701</v>
          </cell>
        </row>
        <row r="888">
          <cell r="B888" t="str">
            <v>I. EQUIPO Y HERRAMIENTA</v>
          </cell>
          <cell r="H888">
            <v>665.03863349096309</v>
          </cell>
        </row>
        <row r="889">
          <cell r="B889" t="str">
            <v>HTAMNR</v>
          </cell>
          <cell r="C889" t="str">
            <v>Herramienta y equipo menor</v>
          </cell>
          <cell r="D889" t="str">
            <v>%</v>
          </cell>
          <cell r="F889">
            <v>0.05</v>
          </cell>
          <cell r="G889">
            <v>13300.77266981926</v>
          </cell>
          <cell r="H889">
            <v>665.03863349096309</v>
          </cell>
        </row>
        <row r="890">
          <cell r="B890" t="str">
            <v>II. MATERIALES</v>
          </cell>
          <cell r="H890">
            <v>596735.12</v>
          </cell>
        </row>
        <row r="891">
          <cell r="B891" t="str">
            <v>TQ1001</v>
          </cell>
          <cell r="C891" t="str">
            <v>Tanque completo 500 lt negro bicapa, Eternit o similar</v>
          </cell>
          <cell r="D891" t="str">
            <v>un</v>
          </cell>
          <cell r="E891">
            <v>1</v>
          </cell>
          <cell r="G891">
            <v>295000</v>
          </cell>
          <cell r="H891">
            <v>295000</v>
          </cell>
        </row>
        <row r="892">
          <cell r="B892" t="str">
            <v>TB2613</v>
          </cell>
          <cell r="C892" t="str">
            <v>Válvula de bola lisa 2"</v>
          </cell>
          <cell r="D892" t="str">
            <v>un</v>
          </cell>
          <cell r="E892">
            <v>1</v>
          </cell>
          <cell r="G892">
            <v>45000</v>
          </cell>
          <cell r="H892">
            <v>45000</v>
          </cell>
        </row>
        <row r="893">
          <cell r="B893" t="str">
            <v>TB1385</v>
          </cell>
          <cell r="C893" t="str">
            <v>Tubería PVC-P RDE-21 2'' 50mm</v>
          </cell>
          <cell r="D893" t="str">
            <v>m</v>
          </cell>
          <cell r="E893">
            <v>3</v>
          </cell>
          <cell r="G893">
            <v>17986</v>
          </cell>
          <cell r="H893">
            <v>53958</v>
          </cell>
        </row>
        <row r="894">
          <cell r="B894" t="str">
            <v>TB1225</v>
          </cell>
          <cell r="C894" t="str">
            <v>Codo PVC-P 90° 50 mm (2")</v>
          </cell>
          <cell r="D894" t="str">
            <v>un</v>
          </cell>
          <cell r="E894">
            <v>1</v>
          </cell>
          <cell r="G894">
            <v>13900</v>
          </cell>
          <cell r="H894">
            <v>13900</v>
          </cell>
        </row>
        <row r="895">
          <cell r="B895" t="str">
            <v>TB1350</v>
          </cell>
          <cell r="C895" t="str">
            <v>Tee PVC-P 50 mm (2")</v>
          </cell>
          <cell r="D895" t="str">
            <v>un</v>
          </cell>
          <cell r="E895">
            <v>1</v>
          </cell>
          <cell r="G895">
            <v>15900</v>
          </cell>
          <cell r="H895">
            <v>15900</v>
          </cell>
        </row>
        <row r="896">
          <cell r="B896" t="str">
            <v>TB1400</v>
          </cell>
          <cell r="C896" t="str">
            <v>Unión acople universal PVC-P 2" (57 mm a 70mm)</v>
          </cell>
          <cell r="D896" t="str">
            <v>un</v>
          </cell>
          <cell r="E896">
            <v>1</v>
          </cell>
          <cell r="G896">
            <v>32900</v>
          </cell>
          <cell r="H896">
            <v>32900</v>
          </cell>
        </row>
        <row r="897">
          <cell r="B897" t="str">
            <v>TB1375</v>
          </cell>
          <cell r="C897" t="str">
            <v>Tubería PVC-P RDE-21 1" (25mm)</v>
          </cell>
          <cell r="D897" t="str">
            <v>m</v>
          </cell>
          <cell r="E897">
            <v>4</v>
          </cell>
          <cell r="G897">
            <v>5100</v>
          </cell>
          <cell r="H897">
            <v>20400</v>
          </cell>
        </row>
        <row r="898">
          <cell r="B898" t="str">
            <v>TB1340</v>
          </cell>
          <cell r="C898" t="str">
            <v>Tee PVC-P 25 mm (1")</v>
          </cell>
          <cell r="D898" t="str">
            <v>un</v>
          </cell>
          <cell r="E898">
            <v>1</v>
          </cell>
          <cell r="G898">
            <v>3400</v>
          </cell>
          <cell r="H898">
            <v>3400</v>
          </cell>
        </row>
        <row r="899">
          <cell r="B899" t="str">
            <v>TB1215</v>
          </cell>
          <cell r="C899" t="str">
            <v>Codo PVC-P 90° 25 mm (1")</v>
          </cell>
          <cell r="D899" t="str">
            <v>un</v>
          </cell>
          <cell r="E899">
            <v>5</v>
          </cell>
          <cell r="G899">
            <v>2800</v>
          </cell>
          <cell r="H899">
            <v>14000</v>
          </cell>
        </row>
        <row r="900">
          <cell r="B900" t="str">
            <v>TB2110</v>
          </cell>
          <cell r="C900" t="str">
            <v>Grapa Abrazadera Metálica Doble Ala 2" (50 mm)</v>
          </cell>
          <cell r="D900" t="str">
            <v>un</v>
          </cell>
          <cell r="E900">
            <v>1</v>
          </cell>
          <cell r="G900">
            <v>2900</v>
          </cell>
          <cell r="H900">
            <v>2900</v>
          </cell>
        </row>
        <row r="901">
          <cell r="B901" t="str">
            <v>TB2111</v>
          </cell>
          <cell r="C901" t="str">
            <v>Grapa Abrazadera Metálica Doble Ala 1" (25 mm)</v>
          </cell>
          <cell r="D901" t="str">
            <v>un</v>
          </cell>
          <cell r="E901">
            <v>4</v>
          </cell>
          <cell r="G901">
            <v>1800</v>
          </cell>
          <cell r="H901">
            <v>7200</v>
          </cell>
        </row>
        <row r="902">
          <cell r="B902" t="str">
            <v>TB1401</v>
          </cell>
          <cell r="C902" t="str">
            <v xml:space="preserve">Unión acople universal PVC-P 1" </v>
          </cell>
          <cell r="D902" t="str">
            <v>un</v>
          </cell>
          <cell r="E902">
            <v>2</v>
          </cell>
          <cell r="G902">
            <v>10800</v>
          </cell>
          <cell r="H902">
            <v>21600</v>
          </cell>
        </row>
        <row r="903">
          <cell r="B903" t="str">
            <v>MAT1205</v>
          </cell>
          <cell r="C903" t="str">
            <v>Llave jardín 1/2" x 3/4" cromada</v>
          </cell>
          <cell r="D903" t="str">
            <v>un</v>
          </cell>
          <cell r="E903">
            <v>2</v>
          </cell>
          <cell r="G903">
            <v>34900</v>
          </cell>
          <cell r="H903">
            <v>69800</v>
          </cell>
        </row>
        <row r="904">
          <cell r="B904" t="str">
            <v>AD1110</v>
          </cell>
          <cell r="C904" t="str">
            <v>Limpiador PVC 760 gramos (1/4 gal) o similar</v>
          </cell>
          <cell r="D904" t="str">
            <v>un</v>
          </cell>
          <cell r="E904">
            <v>5.0000000000000001E-3</v>
          </cell>
          <cell r="G904">
            <v>49900</v>
          </cell>
          <cell r="H904">
            <v>249.5</v>
          </cell>
        </row>
        <row r="905">
          <cell r="B905" t="str">
            <v>AD1280</v>
          </cell>
          <cell r="C905" t="str">
            <v>Soldadura PVC 1/4 gal o similar</v>
          </cell>
          <cell r="D905" t="str">
            <v>gal</v>
          </cell>
          <cell r="E905">
            <v>5.0000000000000001E-3</v>
          </cell>
          <cell r="G905">
            <v>105524</v>
          </cell>
          <cell r="H905">
            <v>527.62</v>
          </cell>
        </row>
        <row r="906">
          <cell r="B906" t="str">
            <v>III. TRANSPORTES</v>
          </cell>
          <cell r="E906" t="str">
            <v>Km</v>
          </cell>
          <cell r="F906" t="str">
            <v>PESO</v>
          </cell>
          <cell r="G906" t="str">
            <v>T/KM</v>
          </cell>
          <cell r="H906">
            <v>91000</v>
          </cell>
        </row>
        <row r="907">
          <cell r="B907" t="str">
            <v>TR1070</v>
          </cell>
          <cell r="C907" t="str">
            <v xml:space="preserve">Transporte de materiales varios </v>
          </cell>
          <cell r="D907" t="str">
            <v>T/km</v>
          </cell>
          <cell r="E907">
            <v>130</v>
          </cell>
          <cell r="F907">
            <v>1</v>
          </cell>
          <cell r="G907">
            <v>700</v>
          </cell>
          <cell r="H907">
            <v>91000</v>
          </cell>
        </row>
        <row r="908">
          <cell r="B908" t="str">
            <v>IV. MANO DE OBRA</v>
          </cell>
          <cell r="H908">
            <v>13300.77266981926</v>
          </cell>
        </row>
        <row r="909">
          <cell r="B909" t="str">
            <v>MOFICIAL</v>
          </cell>
          <cell r="C909" t="str">
            <v>Mo oficial</v>
          </cell>
          <cell r="D909" t="str">
            <v>día</v>
          </cell>
          <cell r="E909">
            <v>6.6666666666666666E-2</v>
          </cell>
          <cell r="G909">
            <v>130525.11769031112</v>
          </cell>
          <cell r="H909">
            <v>8701.6745126874084</v>
          </cell>
        </row>
        <row r="910">
          <cell r="B910" t="str">
            <v>MOAYUDR</v>
          </cell>
          <cell r="C910" t="str">
            <v>Mo ayudante raso</v>
          </cell>
          <cell r="D910" t="str">
            <v>día</v>
          </cell>
          <cell r="E910">
            <v>6.6666666666666666E-2</v>
          </cell>
          <cell r="G910">
            <v>68986.472356977785</v>
          </cell>
          <cell r="H910">
            <v>4599.0981571318525</v>
          </cell>
        </row>
        <row r="911">
          <cell r="B911" t="str">
            <v>12.</v>
          </cell>
          <cell r="C911" t="str">
            <v>SISTEMA SÉPTICO</v>
          </cell>
        </row>
        <row r="912">
          <cell r="B912" t="str">
            <v>12.1</v>
          </cell>
          <cell r="C912" t="str">
            <v>Sistema séptico integrado de 15,000 lts con dimesiones 390x 245mx230 cm, en polietileno color negro, incluye excavación, instalacion, transporte hasta el lugar de intalación, accesorios  y todas las herraminetas para la correcta instalación del sistema .</v>
          </cell>
          <cell r="D912" t="str">
            <v>Un</v>
          </cell>
          <cell r="E912" t="e">
            <v>#N/A</v>
          </cell>
          <cell r="G912" t="str">
            <v/>
          </cell>
          <cell r="H912">
            <v>32143202</v>
          </cell>
        </row>
        <row r="913">
          <cell r="B913" t="str">
            <v>I. EQUIPO Y HERRAMIENTA</v>
          </cell>
          <cell r="H913">
            <v>10910.325849031113</v>
          </cell>
        </row>
        <row r="914">
          <cell r="B914" t="str">
            <v>HTAMNR</v>
          </cell>
          <cell r="C914" t="str">
            <v>Herramienta y equipo menor</v>
          </cell>
          <cell r="D914" t="str">
            <v>%</v>
          </cell>
          <cell r="F914">
            <v>0.05</v>
          </cell>
          <cell r="G914">
            <v>218206.51698062223</v>
          </cell>
          <cell r="H914">
            <v>10910.325849031113</v>
          </cell>
        </row>
        <row r="915">
          <cell r="B915" t="str">
            <v>II. MATERIALES</v>
          </cell>
          <cell r="H915">
            <v>30486085.239999998</v>
          </cell>
        </row>
        <row r="916">
          <cell r="B916" t="str">
            <v>SS1082</v>
          </cell>
          <cell r="C916" t="str">
            <v>SISTEMA SEPTICO INTEGRADO DE 15,000s.</v>
          </cell>
          <cell r="D916" t="str">
            <v>un</v>
          </cell>
          <cell r="E916">
            <v>1</v>
          </cell>
          <cell r="G916">
            <v>30220000</v>
          </cell>
          <cell r="H916">
            <v>30220000</v>
          </cell>
        </row>
        <row r="917">
          <cell r="B917" t="str">
            <v>SS1083</v>
          </cell>
          <cell r="C917" t="str">
            <v>Caja de inspeccion negra 110lts ct</v>
          </cell>
          <cell r="D917" t="str">
            <v>un</v>
          </cell>
          <cell r="E917">
            <v>1</v>
          </cell>
          <cell r="G917">
            <v>205000</v>
          </cell>
          <cell r="H917">
            <v>205000</v>
          </cell>
        </row>
        <row r="918">
          <cell r="B918" t="str">
            <v>TB2420</v>
          </cell>
          <cell r="C918" t="str">
            <v>Tubería PVC-S 4" (100 mm)</v>
          </cell>
          <cell r="D918" t="str">
            <v>m</v>
          </cell>
          <cell r="E918">
            <v>2</v>
          </cell>
          <cell r="G918">
            <v>24800</v>
          </cell>
          <cell r="H918">
            <v>49600</v>
          </cell>
        </row>
        <row r="919">
          <cell r="B919" t="str">
            <v>AD1110</v>
          </cell>
          <cell r="C919" t="str">
            <v>Limpiador PVC 760 gramos (1/4 gal) o similar</v>
          </cell>
          <cell r="D919" t="str">
            <v>un</v>
          </cell>
          <cell r="E919">
            <v>0.01</v>
          </cell>
          <cell r="G919">
            <v>49900</v>
          </cell>
          <cell r="H919">
            <v>499</v>
          </cell>
        </row>
        <row r="920">
          <cell r="B920" t="str">
            <v>AD1280</v>
          </cell>
          <cell r="C920" t="str">
            <v>Soldadura PVC 1/4 gal o similar</v>
          </cell>
          <cell r="D920" t="str">
            <v>gal</v>
          </cell>
          <cell r="E920">
            <v>0.01</v>
          </cell>
          <cell r="G920">
            <v>105524</v>
          </cell>
          <cell r="H920">
            <v>1055.24</v>
          </cell>
        </row>
        <row r="921">
          <cell r="B921" t="str">
            <v>TB2225</v>
          </cell>
          <cell r="C921" t="str">
            <v>Codo PVC-S 90° -1/4 CxC 3" (75 mm)</v>
          </cell>
          <cell r="D921" t="str">
            <v>un</v>
          </cell>
          <cell r="E921">
            <v>1</v>
          </cell>
          <cell r="G921">
            <v>9931</v>
          </cell>
          <cell r="H921">
            <v>9931</v>
          </cell>
        </row>
        <row r="922">
          <cell r="B922" t="str">
            <v>III. TRANSPORTES</v>
          </cell>
          <cell r="E922" t="str">
            <v>Km</v>
          </cell>
          <cell r="F922" t="str">
            <v>PESO</v>
          </cell>
          <cell r="G922" t="str">
            <v>T/KM</v>
          </cell>
          <cell r="H922">
            <v>1428000</v>
          </cell>
        </row>
        <row r="923">
          <cell r="B923" t="str">
            <v>TR1070</v>
          </cell>
          <cell r="C923" t="str">
            <v xml:space="preserve">Transporte de materiales varios </v>
          </cell>
          <cell r="D923" t="str">
            <v>T/km</v>
          </cell>
          <cell r="E923">
            <v>160</v>
          </cell>
          <cell r="F923">
            <v>12.75</v>
          </cell>
          <cell r="G923">
            <v>700</v>
          </cell>
          <cell r="H923">
            <v>1428000</v>
          </cell>
        </row>
        <row r="924">
          <cell r="B924" t="str">
            <v>IV. MANO DE OBRA</v>
          </cell>
          <cell r="H924">
            <v>218206.51698062223</v>
          </cell>
        </row>
        <row r="925">
          <cell r="B925" t="str">
            <v>MOFICIAL</v>
          </cell>
          <cell r="C925" t="str">
            <v>Mo oficial</v>
          </cell>
          <cell r="D925" t="str">
            <v>día</v>
          </cell>
          <cell r="E925">
            <v>1</v>
          </cell>
          <cell r="G925">
            <v>130525.11769031112</v>
          </cell>
          <cell r="H925">
            <v>130525.11769031112</v>
          </cell>
        </row>
        <row r="926">
          <cell r="B926" t="str">
            <v>MOAYUDA</v>
          </cell>
          <cell r="C926" t="str">
            <v>Mo ayudante entendido</v>
          </cell>
          <cell r="D926" t="str">
            <v>día</v>
          </cell>
          <cell r="E926">
            <v>1</v>
          </cell>
          <cell r="G926">
            <v>87681.399290311107</v>
          </cell>
          <cell r="H926">
            <v>87681.399290311107</v>
          </cell>
        </row>
        <row r="927">
          <cell r="B927" t="str">
            <v>12.2</v>
          </cell>
          <cell r="C927" t="str">
            <v>Construcción de pozo de absorción de 1.50 m x 1.50 m (profundidad de referencia 2,0 m) en mampostería construido en sitio, para manejo de clarificante y disposición final; incluye excavación, accesorios PVC, concreto, formaletas y tapa.</v>
          </cell>
          <cell r="D927" t="str">
            <v>Un</v>
          </cell>
          <cell r="E927" t="e">
            <v>#N/A</v>
          </cell>
          <cell r="G927" t="str">
            <v/>
          </cell>
          <cell r="H927">
            <v>745852</v>
          </cell>
        </row>
        <row r="928">
          <cell r="B928" t="str">
            <v>I. EQUIPO Y HERRAMIENTA</v>
          </cell>
          <cell r="H928">
            <v>2182.0651698062225</v>
          </cell>
        </row>
        <row r="929">
          <cell r="B929" t="str">
            <v>HTAMNR</v>
          </cell>
          <cell r="C929" t="str">
            <v>Herramienta y equipo menor</v>
          </cell>
          <cell r="D929" t="str">
            <v>%</v>
          </cell>
          <cell r="F929">
            <v>0.05</v>
          </cell>
          <cell r="G929">
            <v>43641.303396124451</v>
          </cell>
          <cell r="H929">
            <v>2182.0651698062225</v>
          </cell>
        </row>
        <row r="930">
          <cell r="B930" t="str">
            <v>II. MATERIALES</v>
          </cell>
          <cell r="H930">
            <v>700028.38</v>
          </cell>
        </row>
        <row r="931">
          <cell r="B931" t="str">
            <v>CT210KG</v>
          </cell>
          <cell r="C931" t="str">
            <v>Concreto 210kg/cm² 1:2:3</v>
          </cell>
          <cell r="D931" t="str">
            <v>m3</v>
          </cell>
          <cell r="E931">
            <v>0.1</v>
          </cell>
          <cell r="G931">
            <v>583459</v>
          </cell>
          <cell r="H931">
            <v>58345.9</v>
          </cell>
        </row>
        <row r="932">
          <cell r="B932" t="str">
            <v>MAT1020</v>
          </cell>
          <cell r="C932" t="str">
            <v>Angulo de acero de 2-1/2"x2-1/2"x1/4"</v>
          </cell>
          <cell r="D932" t="str">
            <v>m</v>
          </cell>
          <cell r="E932">
            <v>2</v>
          </cell>
          <cell r="G932">
            <v>37500</v>
          </cell>
          <cell r="H932">
            <v>75000</v>
          </cell>
        </row>
        <row r="933">
          <cell r="B933" t="str">
            <v>TB2225</v>
          </cell>
          <cell r="C933" t="str">
            <v>Codo PVC-S 90° -1/4 CxC 3" (75 mm)</v>
          </cell>
          <cell r="D933" t="str">
            <v>un</v>
          </cell>
          <cell r="E933">
            <v>1</v>
          </cell>
          <cell r="G933">
            <v>9931</v>
          </cell>
          <cell r="H933">
            <v>9931</v>
          </cell>
        </row>
        <row r="934">
          <cell r="B934" t="str">
            <v>AD1110</v>
          </cell>
          <cell r="C934" t="str">
            <v>Limpiador PVC 760 gramos (1/4 gal) o similar</v>
          </cell>
          <cell r="D934" t="str">
            <v>un</v>
          </cell>
          <cell r="E934">
            <v>0.02</v>
          </cell>
          <cell r="G934">
            <v>49900</v>
          </cell>
          <cell r="H934">
            <v>998</v>
          </cell>
        </row>
        <row r="935">
          <cell r="B935" t="str">
            <v>AD1280</v>
          </cell>
          <cell r="C935" t="str">
            <v>Soldadura PVC 1/4 gal o similar</v>
          </cell>
          <cell r="D935" t="str">
            <v>gal</v>
          </cell>
          <cell r="E935">
            <v>0.02</v>
          </cell>
          <cell r="G935">
            <v>105524</v>
          </cell>
          <cell r="H935">
            <v>2110.48</v>
          </cell>
        </row>
        <row r="936">
          <cell r="B936" t="str">
            <v>MAT1065</v>
          </cell>
          <cell r="C936" t="str">
            <v>Bloque de concreto 10x20x40 - 10MPa</v>
          </cell>
          <cell r="D936" t="str">
            <v>un</v>
          </cell>
          <cell r="E936">
            <v>60</v>
          </cell>
          <cell r="G936">
            <v>2900</v>
          </cell>
          <cell r="H936">
            <v>174000</v>
          </cell>
        </row>
        <row r="937">
          <cell r="B937" t="str">
            <v>MAT1330</v>
          </cell>
          <cell r="C937" t="str">
            <v>Triturado 3/4''</v>
          </cell>
          <cell r="D937" t="str">
            <v>m3</v>
          </cell>
          <cell r="E937">
            <v>0.5</v>
          </cell>
          <cell r="G937">
            <v>164286</v>
          </cell>
          <cell r="H937">
            <v>82143</v>
          </cell>
        </row>
        <row r="938">
          <cell r="B938" t="str">
            <v>ENS160</v>
          </cell>
          <cell r="C938" t="str">
            <v>Ensayo de percolación de suelos o infiltración directo</v>
          </cell>
          <cell r="D938" t="str">
            <v>un</v>
          </cell>
          <cell r="E938">
            <v>1</v>
          </cell>
          <cell r="G938">
            <v>297500</v>
          </cell>
          <cell r="H938">
            <v>297500</v>
          </cell>
        </row>
        <row r="939">
          <cell r="B939" t="str">
            <v>III. TRANSPORTES</v>
          </cell>
          <cell r="E939" t="str">
            <v>Km</v>
          </cell>
          <cell r="F939" t="str">
            <v>PESO</v>
          </cell>
          <cell r="G939" t="str">
            <v>T/KM</v>
          </cell>
          <cell r="H939">
            <v>0</v>
          </cell>
        </row>
        <row r="940">
          <cell r="B940" t="str">
            <v>TR1070</v>
          </cell>
          <cell r="C940" t="str">
            <v xml:space="preserve">Transporte de materiales varios </v>
          </cell>
          <cell r="D940" t="str">
            <v>T/km</v>
          </cell>
          <cell r="E940">
            <v>130</v>
          </cell>
          <cell r="F940" t="e">
            <v>#N/A</v>
          </cell>
          <cell r="G940">
            <v>700</v>
          </cell>
          <cell r="H940" t="str">
            <v/>
          </cell>
        </row>
        <row r="941">
          <cell r="B941" t="str">
            <v>IV. MANO DE OBRA</v>
          </cell>
          <cell r="H941">
            <v>43641.303396124451</v>
          </cell>
        </row>
        <row r="942">
          <cell r="B942" t="str">
            <v>MOFICIAL</v>
          </cell>
          <cell r="C942" t="str">
            <v>Mo oficial</v>
          </cell>
          <cell r="D942" t="str">
            <v>día</v>
          </cell>
          <cell r="E942">
            <v>0.2</v>
          </cell>
          <cell r="G942">
            <v>130525.11769031112</v>
          </cell>
          <cell r="H942">
            <v>26105.023538062225</v>
          </cell>
        </row>
        <row r="943">
          <cell r="B943" t="str">
            <v>MOAYUDA</v>
          </cell>
          <cell r="C943" t="str">
            <v>Mo ayudante entendido</v>
          </cell>
          <cell r="D943" t="str">
            <v>día</v>
          </cell>
          <cell r="E943">
            <v>0.2</v>
          </cell>
          <cell r="G943">
            <v>87681.399290311107</v>
          </cell>
          <cell r="H943">
            <v>17536.279858062222</v>
          </cell>
        </row>
        <row r="944">
          <cell r="B944">
            <v>13</v>
          </cell>
          <cell r="C944" t="str">
            <v xml:space="preserve">RED AGUAS LLUVIAS </v>
          </cell>
        </row>
        <row r="945">
          <cell r="B945" t="str">
            <v>13.1</v>
          </cell>
          <cell r="C945" t="str">
            <v>LOCALIZACIÓN, TRAZADO Y REPLANTEO. Se utilizará personal experto con equipo de precisión. Se hará con la frecuencia que lo indique la interventoría. Incluye demarcación con pintura, línea de trazado, corte de piso, libretas y planos.</v>
          </cell>
          <cell r="D945" t="str">
            <v>dia</v>
          </cell>
          <cell r="E945">
            <v>3</v>
          </cell>
          <cell r="F945" t="str">
            <v> </v>
          </cell>
          <cell r="G945" t="str">
            <v xml:space="preserve">  </v>
          </cell>
          <cell r="H945">
            <v>623922.02357482666</v>
          </cell>
        </row>
        <row r="946">
          <cell r="B946" t="str">
            <v>I. EQUIPO Y HERRAMIENTA</v>
          </cell>
          <cell r="D946" t="str">
            <v> </v>
          </cell>
          <cell r="E946" t="str">
            <v> </v>
          </cell>
          <cell r="F946" t="str">
            <v> </v>
          </cell>
          <cell r="G946" t="str">
            <v> </v>
          </cell>
          <cell r="H946">
            <v>206858.30588451558</v>
          </cell>
        </row>
        <row r="947">
          <cell r="B947" t="str">
            <v>HTAMNR</v>
          </cell>
          <cell r="C947" t="str">
            <v>Herramienta y equipo menor</v>
          </cell>
          <cell r="D947" t="str">
            <v>%</v>
          </cell>
          <cell r="F947">
            <v>0.05</v>
          </cell>
          <cell r="G947">
            <v>348286.1176903111</v>
          </cell>
          <cell r="H947">
            <v>17414.305884515557</v>
          </cell>
        </row>
        <row r="948">
          <cell r="B948" t="str">
            <v>EQ1170</v>
          </cell>
          <cell r="C948" t="str">
            <v>Nivel de precisión</v>
          </cell>
          <cell r="D948" t="str">
            <v>día</v>
          </cell>
          <cell r="E948">
            <v>1</v>
          </cell>
          <cell r="G948">
            <v>77350</v>
          </cell>
          <cell r="H948">
            <v>77350</v>
          </cell>
        </row>
        <row r="949">
          <cell r="B949" t="str">
            <v>ESTACIONTOTAL</v>
          </cell>
          <cell r="C949" t="str">
            <v>Estación Total</v>
          </cell>
          <cell r="D949" t="str">
            <v>día</v>
          </cell>
          <cell r="E949">
            <v>1</v>
          </cell>
          <cell r="G949">
            <v>112094</v>
          </cell>
          <cell r="H949">
            <v>112094</v>
          </cell>
        </row>
        <row r="950">
          <cell r="B950" t="str">
            <v>II. MATERIALES</v>
          </cell>
          <cell r="D950" t="str">
            <v> </v>
          </cell>
          <cell r="E950" t="str">
            <v> </v>
          </cell>
          <cell r="F950" t="str">
            <v> </v>
          </cell>
          <cell r="G950" t="str">
            <v> </v>
          </cell>
          <cell r="H950">
            <v>43943</v>
          </cell>
        </row>
        <row r="951">
          <cell r="B951" t="str">
            <v>MAT1170</v>
          </cell>
          <cell r="C951" t="str">
            <v>Liston 2" x 2" x 3 m</v>
          </cell>
          <cell r="D951" t="str">
            <v>un</v>
          </cell>
          <cell r="E951">
            <v>0.1</v>
          </cell>
          <cell r="G951">
            <v>9500</v>
          </cell>
          <cell r="H951">
            <v>950</v>
          </cell>
        </row>
        <row r="952">
          <cell r="B952" t="str">
            <v>MAT1095</v>
          </cell>
          <cell r="C952" t="str">
            <v>Clavo común 37.5 a 100 mm</v>
          </cell>
          <cell r="D952" t="str">
            <v>lb</v>
          </cell>
          <cell r="E952">
            <v>1</v>
          </cell>
          <cell r="G952">
            <v>9900</v>
          </cell>
          <cell r="H952">
            <v>9900</v>
          </cell>
        </row>
        <row r="953">
          <cell r="B953" t="str">
            <v>MAT1215</v>
          </cell>
          <cell r="C953" t="str">
            <v>Nylon 0.3 mm x 3.0 m</v>
          </cell>
          <cell r="D953" t="str">
            <v>un</v>
          </cell>
          <cell r="E953">
            <v>1</v>
          </cell>
          <cell r="G953">
            <v>1800</v>
          </cell>
          <cell r="H953">
            <v>1800</v>
          </cell>
        </row>
        <row r="954">
          <cell r="B954" t="str">
            <v>AD1200</v>
          </cell>
          <cell r="C954" t="str">
            <v>Pintura tipo esmalte base aceite</v>
          </cell>
          <cell r="D954" t="str">
            <v>gal</v>
          </cell>
          <cell r="E954">
            <v>0.27</v>
          </cell>
          <cell r="G954">
            <v>115900</v>
          </cell>
          <cell r="H954">
            <v>31293.000000000004</v>
          </cell>
        </row>
        <row r="955">
          <cell r="B955" t="str">
            <v>III. TRANSPORTES</v>
          </cell>
          <cell r="D955" t="str">
            <v> </v>
          </cell>
          <cell r="E955" t="str">
            <v>Km</v>
          </cell>
          <cell r="F955" t="str">
            <v>PESO</v>
          </cell>
          <cell r="G955" t="str">
            <v xml:space="preserve"> T/KM </v>
          </cell>
          <cell r="H955">
            <v>24834.600000000002</v>
          </cell>
        </row>
        <row r="956">
          <cell r="B956" t="str">
            <v>TR1080</v>
          </cell>
          <cell r="C956" t="str">
            <v>Transporte interno materiales</v>
          </cell>
          <cell r="D956" t="str">
            <v>m3</v>
          </cell>
          <cell r="E956">
            <v>1.8</v>
          </cell>
          <cell r="G956">
            <v>13797</v>
          </cell>
          <cell r="H956">
            <v>24834.600000000002</v>
          </cell>
        </row>
        <row r="957">
          <cell r="B957" t="str">
            <v>IV. MANO DE OBRA</v>
          </cell>
          <cell r="C957" t="str">
            <v> </v>
          </cell>
          <cell r="D957" t="str">
            <v> </v>
          </cell>
          <cell r="E957" t="str">
            <v> </v>
          </cell>
          <cell r="F957" t="str">
            <v> </v>
          </cell>
          <cell r="G957" t="str">
            <v> </v>
          </cell>
          <cell r="H957">
            <v>348286.1176903111</v>
          </cell>
        </row>
        <row r="958">
          <cell r="B958" t="str">
            <v>MOTOPO</v>
          </cell>
          <cell r="C958" t="str">
            <v>Topógrafo</v>
          </cell>
          <cell r="D958" t="str">
            <v>día</v>
          </cell>
          <cell r="E958">
            <v>1</v>
          </cell>
          <cell r="G958">
            <v>148775</v>
          </cell>
          <cell r="H958">
            <v>148775</v>
          </cell>
        </row>
        <row r="959">
          <cell r="B959" t="str">
            <v>MOCAD1</v>
          </cell>
          <cell r="C959" t="str">
            <v>Mo cadenero 1</v>
          </cell>
          <cell r="D959" t="str">
            <v>día</v>
          </cell>
          <cell r="E959">
            <v>1</v>
          </cell>
          <cell r="G959">
            <v>130525.11769031112</v>
          </cell>
          <cell r="H959">
            <v>130525.11769031112</v>
          </cell>
        </row>
        <row r="960">
          <cell r="B960" t="str">
            <v>MOCAD2</v>
          </cell>
          <cell r="C960" t="str">
            <v>Cadenero 2</v>
          </cell>
          <cell r="D960" t="str">
            <v>día</v>
          </cell>
          <cell r="E960">
            <v>1</v>
          </cell>
          <cell r="G960">
            <v>68986</v>
          </cell>
          <cell r="H960">
            <v>68986</v>
          </cell>
        </row>
        <row r="961">
          <cell r="B961" t="str">
            <v>13.2</v>
          </cell>
          <cell r="C961" t="str">
            <v>EXCAVACIÓN MANUAL de material heterogéneo DE 0-2 m., bajo cualquier grado de humedad. Incluye: roca descompuesta, bolas de roca de volumen inferior a 0.35 m³., el cargue, transporte interno donde lo indique la interventoría, su medida será en el sitio. No incluye entibado  ni botada.</v>
          </cell>
          <cell r="D961" t="str">
            <v>m3</v>
          </cell>
          <cell r="E961">
            <v>199.09</v>
          </cell>
          <cell r="F961" t="str">
            <v> </v>
          </cell>
          <cell r="G961" t="str">
            <v xml:space="preserve">  </v>
          </cell>
          <cell r="H961">
            <v>50971.820807278942</v>
          </cell>
        </row>
        <row r="962">
          <cell r="B962" t="str">
            <v>I. EQUIPO Y HERRAMIENTA</v>
          </cell>
          <cell r="D962" t="str">
            <v> </v>
          </cell>
          <cell r="E962" t="str">
            <v> </v>
          </cell>
          <cell r="F962" t="str">
            <v> </v>
          </cell>
          <cell r="G962" t="str">
            <v> </v>
          </cell>
          <cell r="H962">
            <v>1573.129562251378</v>
          </cell>
        </row>
        <row r="963">
          <cell r="B963" t="str">
            <v>HTAMNR</v>
          </cell>
          <cell r="C963" t="str">
            <v>Herramienta y equipo menor</v>
          </cell>
          <cell r="D963" t="str">
            <v>%</v>
          </cell>
          <cell r="F963">
            <v>0.05</v>
          </cell>
          <cell r="G963">
            <v>31462.591245027557</v>
          </cell>
          <cell r="H963">
            <v>1573.129562251378</v>
          </cell>
        </row>
        <row r="964">
          <cell r="B964" t="str">
            <v> </v>
          </cell>
          <cell r="C964">
            <v>0</v>
          </cell>
          <cell r="D964">
            <v>0</v>
          </cell>
          <cell r="H964">
            <v>0</v>
          </cell>
        </row>
        <row r="965">
          <cell r="B965" t="str">
            <v>II. MATERIALES</v>
          </cell>
          <cell r="D965" t="str">
            <v> </v>
          </cell>
          <cell r="E965" t="str">
            <v> </v>
          </cell>
          <cell r="F965" t="str">
            <v> </v>
          </cell>
          <cell r="G965" t="str">
            <v> </v>
          </cell>
          <cell r="H965">
            <v>17936.100000000002</v>
          </cell>
        </row>
        <row r="966">
          <cell r="B966" t="str">
            <v> </v>
          </cell>
          <cell r="C966">
            <v>0</v>
          </cell>
          <cell r="D966">
            <v>0</v>
          </cell>
          <cell r="H966">
            <v>0</v>
          </cell>
        </row>
        <row r="967">
          <cell r="B967" t="str">
            <v>TR1080</v>
          </cell>
          <cell r="C967" t="str">
            <v>Transporte interno materiales</v>
          </cell>
          <cell r="D967" t="str">
            <v>m3</v>
          </cell>
          <cell r="E967">
            <v>1.3</v>
          </cell>
          <cell r="G967">
            <v>13797</v>
          </cell>
          <cell r="H967">
            <v>17936.100000000002</v>
          </cell>
        </row>
        <row r="968">
          <cell r="B968" t="str">
            <v>III. TRANSPORTES</v>
          </cell>
          <cell r="D968" t="str">
            <v> </v>
          </cell>
          <cell r="E968" t="str">
            <v>Km</v>
          </cell>
          <cell r="F968" t="str">
            <v>PESO</v>
          </cell>
          <cell r="G968" t="str">
            <v xml:space="preserve"> T/KM </v>
          </cell>
          <cell r="H968">
            <v>0</v>
          </cell>
        </row>
        <row r="969">
          <cell r="B969" t="str">
            <v> </v>
          </cell>
          <cell r="C969">
            <v>0</v>
          </cell>
          <cell r="D969">
            <v>0</v>
          </cell>
          <cell r="H969">
            <v>0</v>
          </cell>
        </row>
        <row r="970">
          <cell r="B970" t="str">
            <v>IV. MANO DE OBRA</v>
          </cell>
          <cell r="D970" t="str">
            <v> </v>
          </cell>
          <cell r="E970" t="str">
            <v> </v>
          </cell>
          <cell r="F970" t="str">
            <v> </v>
          </cell>
          <cell r="G970" t="str">
            <v> </v>
          </cell>
          <cell r="H970">
            <v>31462.591245027557</v>
          </cell>
        </row>
        <row r="971">
          <cell r="B971" t="str">
            <v>MOAYUDA</v>
          </cell>
          <cell r="C971" t="str">
            <v>Mo ayudante entendido</v>
          </cell>
          <cell r="D971" t="str">
            <v>día</v>
          </cell>
          <cell r="E971">
            <v>0.17</v>
          </cell>
          <cell r="G971">
            <v>87681.399290311107</v>
          </cell>
          <cell r="H971">
            <v>14905.83787935289</v>
          </cell>
        </row>
        <row r="972">
          <cell r="B972" t="str">
            <v>MOAYUDR</v>
          </cell>
          <cell r="C972" t="str">
            <v>Mo ayudante raso</v>
          </cell>
          <cell r="D972" t="str">
            <v>día</v>
          </cell>
          <cell r="E972">
            <v>0.24</v>
          </cell>
          <cell r="G972">
            <v>68986.472356977785</v>
          </cell>
          <cell r="H972">
            <v>16556.753365674667</v>
          </cell>
        </row>
        <row r="973">
          <cell r="B973" t="str">
            <v>13.3</v>
          </cell>
          <cell r="C973" t="str">
            <v>EXCAVACIÓN MECÁNICA de material heterogéneo DE 0-2 m, bajo cualquier grado de humedad. Incluye: roca descompuesta, bolas de roca de volumen inferior a 0.35 m³., el cargue, transporte interno y botada de material proveniente de las excavaciones en los sitios donde lo indique la interventoría dentro del predio y su medida será en el sitio. No incluye entibado.</v>
          </cell>
          <cell r="D973" t="str">
            <v>m3</v>
          </cell>
          <cell r="E973">
            <v>0</v>
          </cell>
          <cell r="G973" t="str">
            <v/>
          </cell>
          <cell r="H973">
            <v>49626.90497484267</v>
          </cell>
        </row>
        <row r="974">
          <cell r="B974" t="str">
            <v>I. EQUIPO Y HERRAMIENTA</v>
          </cell>
          <cell r="H974">
            <v>5370.1395226115555</v>
          </cell>
        </row>
        <row r="975">
          <cell r="B975" t="str">
            <v>HTAMNR</v>
          </cell>
          <cell r="C975" t="str">
            <v>Herramienta y equipo menor</v>
          </cell>
          <cell r="D975" t="str">
            <v>%</v>
          </cell>
          <cell r="F975">
            <v>0.05</v>
          </cell>
          <cell r="G975">
            <v>431.1654522311112</v>
          </cell>
          <cell r="H975">
            <v>21.558272611555562</v>
          </cell>
        </row>
        <row r="976">
          <cell r="B976" t="str">
            <v>EQ1200</v>
          </cell>
          <cell r="C976" t="str">
            <v>Retroexcavadora s/ll c:76m³ jcb-214s</v>
          </cell>
          <cell r="D976" t="str">
            <v>hora</v>
          </cell>
          <cell r="E976">
            <v>0.05</v>
          </cell>
          <cell r="G976">
            <v>101150</v>
          </cell>
          <cell r="H976">
            <v>5057.5</v>
          </cell>
        </row>
        <row r="977">
          <cell r="B977" t="str">
            <v>EQ1167</v>
          </cell>
          <cell r="C977" t="str">
            <v xml:space="preserve">Motobomba sumergible 2"- 7 m Prof. 110 v </v>
          </cell>
          <cell r="D977" t="str">
            <v>día</v>
          </cell>
          <cell r="E977">
            <v>6.2500000000000003E-3</v>
          </cell>
          <cell r="G977">
            <v>46573</v>
          </cell>
          <cell r="H977">
            <v>291.08125000000001</v>
          </cell>
        </row>
        <row r="978">
          <cell r="B978" t="str">
            <v>II. MATERIALES</v>
          </cell>
          <cell r="H978">
            <v>0</v>
          </cell>
        </row>
        <row r="979">
          <cell r="D979">
            <v>0</v>
          </cell>
        </row>
        <row r="981">
          <cell r="D981">
            <v>0</v>
          </cell>
        </row>
        <row r="982">
          <cell r="B982" t="str">
            <v>III. TRANSPORTES</v>
          </cell>
          <cell r="E982" t="str">
            <v>Km</v>
          </cell>
          <cell r="F982" t="str">
            <v>PESO</v>
          </cell>
          <cell r="G982" t="str">
            <v>T/KM</v>
          </cell>
          <cell r="H982">
            <v>43825.599999999999</v>
          </cell>
        </row>
        <row r="983">
          <cell r="B983" t="str">
            <v>TR1011</v>
          </cell>
          <cell r="C983" t="str">
            <v>Retiro y botada tierra con cargue mecanico (incluye derecho botada)</v>
          </cell>
          <cell r="D983" t="str">
            <v>m3</v>
          </cell>
          <cell r="E983">
            <v>1.3</v>
          </cell>
          <cell r="G983">
            <v>33712</v>
          </cell>
          <cell r="H983">
            <v>43825.599999999999</v>
          </cell>
        </row>
        <row r="984">
          <cell r="D984">
            <v>0</v>
          </cell>
        </row>
        <row r="985">
          <cell r="B985" t="str">
            <v>IV. MANO DE OBRA</v>
          </cell>
          <cell r="H985">
            <v>431.1654522311112</v>
          </cell>
        </row>
        <row r="986">
          <cell r="B986" t="str">
            <v>MOAYUDR</v>
          </cell>
          <cell r="C986" t="str">
            <v>Mo ayudante raso</v>
          </cell>
          <cell r="D986" t="str">
            <v>día</v>
          </cell>
          <cell r="E986">
            <v>6.2500000000000003E-3</v>
          </cell>
          <cell r="G986">
            <v>68986.472356977785</v>
          </cell>
          <cell r="H986">
            <v>431.1654522311112</v>
          </cell>
        </row>
        <row r="987">
          <cell r="D987">
            <v>0</v>
          </cell>
        </row>
        <row r="989">
          <cell r="B989" t="str">
            <v>13.4</v>
          </cell>
          <cell r="C989" t="str">
            <v>LLENOS EN MATERIAL PROVENIENTE DE LA EXCAVACIÓN, compactados mecánicamente hasta obtener una densidad del 95% de la máxima obtenida en el ensayo del próctor modificado. Incluye transporte interno. Su medida será en sitio ya compactado.</v>
          </cell>
          <cell r="D989" t="str">
            <v>m3</v>
          </cell>
          <cell r="E989">
            <v>117</v>
          </cell>
          <cell r="G989" t="str">
            <v/>
          </cell>
          <cell r="H989">
            <v>45607.784282965338</v>
          </cell>
        </row>
        <row r="990">
          <cell r="B990" t="str">
            <v>I. EQUIPO Y HERRAMIENTA</v>
          </cell>
          <cell r="H990">
            <v>5851.0325849031115</v>
          </cell>
        </row>
        <row r="991">
          <cell r="B991" t="str">
            <v>HTAMNR</v>
          </cell>
          <cell r="C991" t="str">
            <v>Herramienta y equipo menor</v>
          </cell>
          <cell r="D991" t="str">
            <v>%</v>
          </cell>
          <cell r="F991">
            <v>0.05</v>
          </cell>
          <cell r="G991">
            <v>21820.651698062225</v>
          </cell>
          <cell r="H991">
            <v>1091.0325849031112</v>
          </cell>
        </row>
        <row r="992">
          <cell r="B992" t="str">
            <v>EQ1010</v>
          </cell>
          <cell r="C992" t="str">
            <v>Vibrocompactador tipo rana</v>
          </cell>
          <cell r="D992" t="str">
            <v>día</v>
          </cell>
          <cell r="E992">
            <v>0.16</v>
          </cell>
          <cell r="G992">
            <v>29750</v>
          </cell>
          <cell r="H992">
            <v>4760</v>
          </cell>
        </row>
        <row r="993">
          <cell r="B993" t="str">
            <v>II. MATERIALES</v>
          </cell>
          <cell r="H993">
            <v>0</v>
          </cell>
        </row>
        <row r="995">
          <cell r="B995" t="str">
            <v>III. TRANSPORTES</v>
          </cell>
          <cell r="E995" t="str">
            <v>Km</v>
          </cell>
          <cell r="F995" t="str">
            <v>PESO</v>
          </cell>
          <cell r="G995" t="str">
            <v>T/KM</v>
          </cell>
          <cell r="H995">
            <v>17936.100000000002</v>
          </cell>
        </row>
        <row r="996">
          <cell r="B996" t="str">
            <v>TR1080</v>
          </cell>
          <cell r="C996" t="str">
            <v>Transporte interno materiales</v>
          </cell>
          <cell r="D996" t="str">
            <v>m3</v>
          </cell>
          <cell r="E996">
            <v>1.3</v>
          </cell>
          <cell r="G996">
            <v>13797</v>
          </cell>
          <cell r="H996">
            <v>17936.100000000002</v>
          </cell>
        </row>
        <row r="997">
          <cell r="B997" t="str">
            <v>IV. MANO DE OBRA</v>
          </cell>
          <cell r="H997">
            <v>21820.651698062225</v>
          </cell>
        </row>
        <row r="998">
          <cell r="B998" t="str">
            <v>MOFICIAL</v>
          </cell>
          <cell r="C998" t="str">
            <v>Mo oficial</v>
          </cell>
          <cell r="D998" t="str">
            <v>día</v>
          </cell>
          <cell r="E998">
            <v>0.1</v>
          </cell>
          <cell r="G998">
            <v>130525.11769031112</v>
          </cell>
          <cell r="H998">
            <v>13052.511769031113</v>
          </cell>
        </row>
      </sheetData>
      <sheetData sheetId="8" refreshError="1"/>
      <sheetData sheetId="9">
        <row r="7">
          <cell r="B7" t="str">
            <v>AD1050</v>
          </cell>
          <cell r="C7" t="str">
            <v>Boquilla tipo Concolor o similar - color blanco/beige</v>
          </cell>
          <cell r="D7" t="str">
            <v>kg</v>
          </cell>
          <cell r="G7">
            <v>5840</v>
          </cell>
          <cell r="H7">
            <v>1</v>
          </cell>
        </row>
        <row r="8">
          <cell r="B8" t="str">
            <v>AD1110</v>
          </cell>
          <cell r="C8" t="str">
            <v>Limpiador PVC 760 gramos (1/4 gal) o similar</v>
          </cell>
          <cell r="D8" t="str">
            <v>un</v>
          </cell>
          <cell r="G8">
            <v>49900</v>
          </cell>
          <cell r="H8">
            <v>0.78</v>
          </cell>
        </row>
        <row r="9">
          <cell r="B9" t="str">
            <v>AD1160</v>
          </cell>
          <cell r="C9" t="str">
            <v>Adhesivo color gris para la instalación de ceramica, tipo Pegacor o similar.</v>
          </cell>
          <cell r="D9" t="str">
            <v>kg</v>
          </cell>
          <cell r="G9">
            <v>1450</v>
          </cell>
          <cell r="H9">
            <v>1</v>
          </cell>
        </row>
        <row r="10">
          <cell r="B10" t="str">
            <v>AD1180</v>
          </cell>
          <cell r="C10" t="str">
            <v>Pintura para exteriores alta resistencia para muros y zócalos, tipo Bronco, Corona, Koraza o similar.</v>
          </cell>
          <cell r="D10" t="str">
            <v>gal</v>
          </cell>
          <cell r="G10">
            <v>96900</v>
          </cell>
          <cell r="H10">
            <v>3.23</v>
          </cell>
        </row>
        <row r="11">
          <cell r="B11" t="str">
            <v>AD1182</v>
          </cell>
          <cell r="C11" t="str">
            <v>Pintura acrílica base agua para baños y cocinas, tipo Viniltex (baños y cocinas) o similar. Antibacterial</v>
          </cell>
          <cell r="D11" t="str">
            <v>gal</v>
          </cell>
          <cell r="G11">
            <v>96900</v>
          </cell>
          <cell r="H11">
            <v>3.23</v>
          </cell>
        </row>
        <row r="12">
          <cell r="B12" t="str">
            <v>AD1190</v>
          </cell>
          <cell r="C12" t="str">
            <v>Inmunizante insecticida fungicida para madera transparente 3kg, tipo Merulex o similar</v>
          </cell>
          <cell r="D12" t="str">
            <v>Un</v>
          </cell>
          <cell r="G12">
            <v>146000</v>
          </cell>
          <cell r="H12">
            <v>3</v>
          </cell>
        </row>
        <row r="13">
          <cell r="B13" t="str">
            <v>AD1220</v>
          </cell>
          <cell r="C13" t="str">
            <v>Separol - N (20K) o similar</v>
          </cell>
          <cell r="D13" t="str">
            <v>kg</v>
          </cell>
          <cell r="G13">
            <v>17500</v>
          </cell>
          <cell r="H13">
            <v>1</v>
          </cell>
        </row>
        <row r="14">
          <cell r="B14" t="str">
            <v>AD1221</v>
          </cell>
          <cell r="C14" t="str">
            <v>Impermeabilizante con base en cemento tipo Broncosil o similar</v>
          </cell>
          <cell r="D14" t="str">
            <v>kg</v>
          </cell>
          <cell r="G14">
            <v>3356</v>
          </cell>
          <cell r="H14">
            <v>1</v>
          </cell>
        </row>
        <row r="15">
          <cell r="B15" t="str">
            <v>AD1246</v>
          </cell>
          <cell r="C15" t="str">
            <v>Silicona multiproposito tipo Sikasil transparente o similar 280 ml</v>
          </cell>
          <cell r="D15" t="str">
            <v>un</v>
          </cell>
          <cell r="G15">
            <v>19900</v>
          </cell>
          <cell r="H15">
            <v>0.2</v>
          </cell>
        </row>
        <row r="16">
          <cell r="B16" t="str">
            <v>AD1280</v>
          </cell>
          <cell r="C16" t="str">
            <v>Soldadura PVC 1/4 gal o similar</v>
          </cell>
          <cell r="D16" t="str">
            <v>gal</v>
          </cell>
          <cell r="G16">
            <v>105524</v>
          </cell>
          <cell r="H16">
            <v>0.41</v>
          </cell>
        </row>
        <row r="17">
          <cell r="B17" t="str">
            <v>AD1290</v>
          </cell>
          <cell r="C17" t="str">
            <v>Traba química fuerza alta para sellos de fuga en tubería</v>
          </cell>
          <cell r="D17" t="str">
            <v>gr</v>
          </cell>
          <cell r="G17">
            <v>1790</v>
          </cell>
          <cell r="H17">
            <v>1E-3</v>
          </cell>
        </row>
        <row r="18">
          <cell r="B18" t="str">
            <v>CT210KG</v>
          </cell>
          <cell r="C18" t="str">
            <v>Concreto 210kg/cm² 1:2:3</v>
          </cell>
          <cell r="D18" t="str">
            <v>m3</v>
          </cell>
          <cell r="G18">
            <v>583459</v>
          </cell>
          <cell r="H18">
            <v>2400</v>
          </cell>
        </row>
        <row r="19">
          <cell r="B19" t="str">
            <v>CTM143</v>
          </cell>
          <cell r="C19" t="str">
            <v>Mortero de pega - SUBANALISIS</v>
          </cell>
          <cell r="D19" t="str">
            <v>m3</v>
          </cell>
          <cell r="G19">
            <v>532046</v>
          </cell>
          <cell r="H19">
            <v>1859</v>
          </cell>
        </row>
        <row r="20">
          <cell r="B20" t="str">
            <v>CTM144</v>
          </cell>
          <cell r="C20" t="str">
            <v>Mortero de revoque 1:4 - SUBANALISIS</v>
          </cell>
          <cell r="D20" t="str">
            <v>m3</v>
          </cell>
          <cell r="G20">
            <v>532046</v>
          </cell>
          <cell r="H20">
            <v>1859</v>
          </cell>
        </row>
        <row r="21">
          <cell r="B21" t="str">
            <v>CUB1030</v>
          </cell>
          <cell r="C21" t="str">
            <v>Canal plástico tipo Raingo o similar</v>
          </cell>
          <cell r="D21" t="str">
            <v>m</v>
          </cell>
          <cell r="G21">
            <v>18100</v>
          </cell>
          <cell r="H21">
            <v>1</v>
          </cell>
        </row>
        <row r="22">
          <cell r="B22" t="str">
            <v>CUB1040</v>
          </cell>
          <cell r="C22" t="str">
            <v>Unión de canal tipo Raingo o similar</v>
          </cell>
          <cell r="D22" t="str">
            <v>un</v>
          </cell>
          <cell r="G22">
            <v>9900</v>
          </cell>
          <cell r="H22">
            <v>0.5</v>
          </cell>
        </row>
        <row r="23">
          <cell r="B23" t="str">
            <v>CUB1050</v>
          </cell>
          <cell r="C23" t="str">
            <v>Canal - unión de canal a bajante tipo Raingo o similar</v>
          </cell>
          <cell r="D23" t="str">
            <v>un</v>
          </cell>
          <cell r="G23">
            <v>8900</v>
          </cell>
          <cell r="H23">
            <v>0.5</v>
          </cell>
        </row>
        <row r="24">
          <cell r="B24" t="str">
            <v>CUB1060</v>
          </cell>
          <cell r="C24" t="str">
            <v>Soporte de canal tipo Raingo o similar</v>
          </cell>
          <cell r="D24" t="str">
            <v>un</v>
          </cell>
          <cell r="G24">
            <v>8200</v>
          </cell>
          <cell r="H24">
            <v>0.04</v>
          </cell>
        </row>
        <row r="25">
          <cell r="B25" t="str">
            <v>CUB1080</v>
          </cell>
          <cell r="C25" t="str">
            <v>Tapa externa canal Raingo o similar</v>
          </cell>
          <cell r="D25" t="str">
            <v>un</v>
          </cell>
          <cell r="G25">
            <v>7600</v>
          </cell>
          <cell r="H25">
            <v>0.08</v>
          </cell>
        </row>
        <row r="26">
          <cell r="B26" t="str">
            <v>CUB1155</v>
          </cell>
          <cell r="C26" t="str">
            <v>Perno en varilla roscada 3/8", incluye dos tuercas</v>
          </cell>
          <cell r="D26" t="str">
            <v>un</v>
          </cell>
          <cell r="G26">
            <v>3240</v>
          </cell>
          <cell r="H26">
            <v>0.56000000000000005</v>
          </cell>
        </row>
        <row r="27">
          <cell r="B27" t="str">
            <v>CUB1156</v>
          </cell>
          <cell r="C27" t="str">
            <v>Perno en varilla roscada 1/4", incluye dos tuercas</v>
          </cell>
          <cell r="D27" t="str">
            <v>un</v>
          </cell>
          <cell r="G27">
            <v>2100</v>
          </cell>
          <cell r="H27">
            <v>0.25</v>
          </cell>
        </row>
        <row r="28">
          <cell r="B28" t="str">
            <v>CUB1187</v>
          </cell>
          <cell r="C28" t="str">
            <v>Platina metálica de 1/4"</v>
          </cell>
          <cell r="D28" t="str">
            <v>kg</v>
          </cell>
          <cell r="G28">
            <v>12100</v>
          </cell>
          <cell r="H28">
            <v>1</v>
          </cell>
        </row>
        <row r="29">
          <cell r="B29" t="str">
            <v>CUB1221</v>
          </cell>
          <cell r="C29" t="str">
            <v>Teja termoacústica UPVC 2.0mm verde tipo ECOROOF o similar</v>
          </cell>
          <cell r="D29" t="str">
            <v>m2</v>
          </cell>
          <cell r="G29">
            <v>72586</v>
          </cell>
          <cell r="H29">
            <v>4.2</v>
          </cell>
        </row>
        <row r="30">
          <cell r="B30" t="str">
            <v>CUB1230</v>
          </cell>
          <cell r="C30" t="str">
            <v>Tornillo C12 2.5"</v>
          </cell>
          <cell r="D30" t="str">
            <v>un</v>
          </cell>
          <cell r="G30">
            <v>1150</v>
          </cell>
          <cell r="H30">
            <v>0.01</v>
          </cell>
        </row>
        <row r="31">
          <cell r="B31" t="str">
            <v>CUB1260</v>
          </cell>
          <cell r="C31" t="str">
            <v>Ruana en lamina Cal.26</v>
          </cell>
          <cell r="D31" t="str">
            <v>m</v>
          </cell>
          <cell r="G31">
            <v>17125</v>
          </cell>
          <cell r="H31">
            <v>0.93</v>
          </cell>
        </row>
        <row r="32">
          <cell r="B32" t="str">
            <v>EL1025</v>
          </cell>
          <cell r="C32" t="str">
            <v>Varilla, conector y cable para instalación de polo a tierra</v>
          </cell>
          <cell r="D32" t="str">
            <v>un</v>
          </cell>
          <cell r="G32">
            <v>202300</v>
          </cell>
          <cell r="H32">
            <v>3</v>
          </cell>
        </row>
        <row r="33">
          <cell r="B33" t="str">
            <v>EL1030</v>
          </cell>
          <cell r="C33" t="str">
            <v>Breaker de 1x20A enchufable</v>
          </cell>
          <cell r="D33" t="str">
            <v>un</v>
          </cell>
          <cell r="G33">
            <v>10100</v>
          </cell>
          <cell r="H33">
            <v>0.15</v>
          </cell>
        </row>
        <row r="34">
          <cell r="B34" t="str">
            <v>EL1040</v>
          </cell>
          <cell r="C34" t="str">
            <v>Breaker de 1x30A enchufable</v>
          </cell>
          <cell r="D34" t="str">
            <v>un</v>
          </cell>
          <cell r="G34">
            <v>13900</v>
          </cell>
          <cell r="H34">
            <v>0.15</v>
          </cell>
        </row>
        <row r="35">
          <cell r="B35" t="str">
            <v>EL1050</v>
          </cell>
          <cell r="C35" t="str">
            <v>Cable antifraude N°2 x 8 + 8 AWG</v>
          </cell>
          <cell r="D35" t="str">
            <v>m</v>
          </cell>
          <cell r="G35">
            <v>26500</v>
          </cell>
          <cell r="H35">
            <v>0.3</v>
          </cell>
        </row>
        <row r="36">
          <cell r="B36" t="str">
            <v>EL1060</v>
          </cell>
          <cell r="C36" t="str">
            <v>Cable de cobre N°12 AWG-Cu-THHN-THWN 90°C</v>
          </cell>
          <cell r="D36" t="str">
            <v>m</v>
          </cell>
          <cell r="G36">
            <v>2670</v>
          </cell>
          <cell r="H36">
            <v>0.1</v>
          </cell>
        </row>
        <row r="37">
          <cell r="B37" t="str">
            <v>EL1080</v>
          </cell>
          <cell r="C37" t="str">
            <v>Caja para contador eléctrico</v>
          </cell>
          <cell r="D37" t="str">
            <v>un</v>
          </cell>
          <cell r="G37">
            <v>42114</v>
          </cell>
          <cell r="H37">
            <v>1</v>
          </cell>
        </row>
        <row r="38">
          <cell r="B38" t="str">
            <v>EL1090</v>
          </cell>
          <cell r="C38" t="str">
            <v>Caja sencilla 2"x4" PVC</v>
          </cell>
          <cell r="D38" t="str">
            <v>un</v>
          </cell>
          <cell r="G38">
            <v>2100</v>
          </cell>
          <cell r="H38">
            <v>7.5999999999999998E-2</v>
          </cell>
        </row>
        <row r="39">
          <cell r="B39" t="str">
            <v>EL1091</v>
          </cell>
          <cell r="C39" t="str">
            <v>Caja doble 4"x4" PVC con suplemento</v>
          </cell>
          <cell r="D39" t="str">
            <v>un</v>
          </cell>
          <cell r="G39">
            <v>3500</v>
          </cell>
          <cell r="H39">
            <v>7.5999999999999998E-2</v>
          </cell>
        </row>
        <row r="40">
          <cell r="B40" t="str">
            <v>EL1100</v>
          </cell>
          <cell r="C40" t="str">
            <v>Contador eléctrico trifilar 240V 5-60 Calibrado</v>
          </cell>
          <cell r="D40" t="str">
            <v>un</v>
          </cell>
          <cell r="G40">
            <v>110000</v>
          </cell>
          <cell r="H40">
            <v>1.6</v>
          </cell>
        </row>
        <row r="41">
          <cell r="B41" t="str">
            <v>EL1110</v>
          </cell>
          <cell r="C41" t="str">
            <v>Curvas 90° CxE 1/2" PVC Conduit o similar</v>
          </cell>
          <cell r="D41" t="str">
            <v>un</v>
          </cell>
          <cell r="G41">
            <v>1500</v>
          </cell>
          <cell r="H41">
            <v>7.5999999999999998E-2</v>
          </cell>
        </row>
        <row r="42">
          <cell r="B42" t="str">
            <v>EL1112</v>
          </cell>
          <cell r="C42" t="str">
            <v>Curvas 90° CxE 3/4" PVC Conduit o similar</v>
          </cell>
          <cell r="D42" t="str">
            <v>un</v>
          </cell>
          <cell r="G42">
            <v>2050</v>
          </cell>
          <cell r="H42">
            <v>7.5999999999999998E-2</v>
          </cell>
        </row>
        <row r="43">
          <cell r="B43" t="str">
            <v>EL1130</v>
          </cell>
          <cell r="C43" t="str">
            <v>Plafón en baquelita tipo AVE o similar</v>
          </cell>
          <cell r="D43" t="str">
            <v>un</v>
          </cell>
          <cell r="G43">
            <v>4500</v>
          </cell>
          <cell r="H43">
            <v>0.1</v>
          </cell>
        </row>
        <row r="44">
          <cell r="B44" t="str">
            <v>EL1135</v>
          </cell>
          <cell r="C44" t="str">
            <v>Caja Octagonal PVC Pavco o similar</v>
          </cell>
          <cell r="D44" t="str">
            <v>un</v>
          </cell>
          <cell r="G44">
            <v>2600</v>
          </cell>
          <cell r="H44">
            <v>7.5999999999999998E-2</v>
          </cell>
        </row>
        <row r="45">
          <cell r="B45" t="str">
            <v>EL1140</v>
          </cell>
          <cell r="C45" t="str">
            <v>Polietileno negro</v>
          </cell>
          <cell r="D45" t="str">
            <v>m2</v>
          </cell>
          <cell r="G45">
            <v>2050</v>
          </cell>
          <cell r="H45">
            <v>0.3</v>
          </cell>
        </row>
        <row r="46">
          <cell r="B46" t="str">
            <v>EL1150</v>
          </cell>
          <cell r="C46" t="str">
            <v xml:space="preserve">Interruptor Doble Blanco </v>
          </cell>
          <cell r="D46" t="str">
            <v>un</v>
          </cell>
          <cell r="G46">
            <v>12500</v>
          </cell>
          <cell r="H46">
            <v>0.12</v>
          </cell>
        </row>
        <row r="47">
          <cell r="B47" t="str">
            <v>EL1160</v>
          </cell>
          <cell r="C47" t="str">
            <v xml:space="preserve">Interruptor Sencillo Blanco </v>
          </cell>
          <cell r="D47" t="str">
            <v>un</v>
          </cell>
          <cell r="G47">
            <v>5600</v>
          </cell>
          <cell r="H47">
            <v>0.15</v>
          </cell>
        </row>
        <row r="48">
          <cell r="B48" t="str">
            <v>EL1176</v>
          </cell>
          <cell r="C48" t="str">
            <v>Tablero monofásico de distribución de 8 circuitos</v>
          </cell>
          <cell r="D48" t="str">
            <v>un</v>
          </cell>
          <cell r="G48">
            <v>58000</v>
          </cell>
          <cell r="H48">
            <v>1.8</v>
          </cell>
        </row>
        <row r="49">
          <cell r="B49" t="str">
            <v>EL1180</v>
          </cell>
          <cell r="C49" t="str">
            <v>Adaptadores terminales PVC 1/2" Conduit o similar</v>
          </cell>
          <cell r="D49" t="str">
            <v>un</v>
          </cell>
          <cell r="G49">
            <v>100</v>
          </cell>
          <cell r="H49">
            <v>2.5000000000000001E-2</v>
          </cell>
        </row>
        <row r="50">
          <cell r="B50" t="str">
            <v>EL1190</v>
          </cell>
          <cell r="C50" t="str">
            <v>Toma corriente 125v doble con polo a tierra, 15A, con tapa</v>
          </cell>
          <cell r="D50" t="str">
            <v>un</v>
          </cell>
          <cell r="G50">
            <v>5100</v>
          </cell>
          <cell r="H50">
            <v>0.12</v>
          </cell>
        </row>
        <row r="51">
          <cell r="B51" t="str">
            <v>EL1200</v>
          </cell>
          <cell r="C51" t="str">
            <v>Toma corriente GFCI, 125v doble con polo a tierra, 15A, con tapa</v>
          </cell>
          <cell r="D51" t="str">
            <v>un</v>
          </cell>
          <cell r="G51">
            <v>35000</v>
          </cell>
          <cell r="H51">
            <v>0.2</v>
          </cell>
        </row>
        <row r="52">
          <cell r="B52" t="str">
            <v>EL1210</v>
          </cell>
          <cell r="C52" t="str">
            <v>Toma de incrustar 30 amperios, 220 voltios con polo a tierra, pata trabada</v>
          </cell>
          <cell r="D52" t="str">
            <v>un</v>
          </cell>
          <cell r="G52">
            <v>14700</v>
          </cell>
          <cell r="H52">
            <v>0.5</v>
          </cell>
        </row>
        <row r="53">
          <cell r="B53" t="str">
            <v>EL1220</v>
          </cell>
          <cell r="C53" t="str">
            <v>Tubería PVC Conduit de 1/2"</v>
          </cell>
          <cell r="D53" t="str">
            <v>m</v>
          </cell>
          <cell r="G53">
            <v>2500</v>
          </cell>
          <cell r="H53">
            <v>0.42</v>
          </cell>
        </row>
        <row r="54">
          <cell r="B54" t="str">
            <v>EL1230</v>
          </cell>
          <cell r="C54" t="str">
            <v>Tubería PVC Conduit de 3/4"</v>
          </cell>
          <cell r="D54" t="str">
            <v>m</v>
          </cell>
          <cell r="G54">
            <v>3300</v>
          </cell>
          <cell r="H54">
            <v>0.65</v>
          </cell>
        </row>
        <row r="55">
          <cell r="B55" t="str">
            <v>ENS160</v>
          </cell>
          <cell r="C55" t="str">
            <v>Ensayo de percolación de suelos o infiltración directo</v>
          </cell>
          <cell r="D55" t="str">
            <v>un</v>
          </cell>
          <cell r="G55">
            <v>297500</v>
          </cell>
          <cell r="H55">
            <v>0</v>
          </cell>
        </row>
        <row r="56">
          <cell r="B56" t="str">
            <v>EQ1001</v>
          </cell>
          <cell r="C56" t="str">
            <v>Apisonador manual</v>
          </cell>
          <cell r="D56" t="str">
            <v>día</v>
          </cell>
          <cell r="G56">
            <v>1700</v>
          </cell>
          <cell r="H56">
            <v>0</v>
          </cell>
        </row>
        <row r="57">
          <cell r="B57" t="str">
            <v>EQ1010</v>
          </cell>
          <cell r="C57" t="str">
            <v>Vibrocompactador tipo rana</v>
          </cell>
          <cell r="D57" t="str">
            <v>día</v>
          </cell>
          <cell r="G57">
            <v>29750</v>
          </cell>
          <cell r="H57">
            <v>0</v>
          </cell>
        </row>
        <row r="58">
          <cell r="B58" t="str">
            <v>EQ1220</v>
          </cell>
          <cell r="C58" t="str">
            <v>Vibrador a gasolina</v>
          </cell>
          <cell r="D58" t="str">
            <v>día</v>
          </cell>
          <cell r="G58">
            <v>32130</v>
          </cell>
        </row>
        <row r="59">
          <cell r="B59" t="str">
            <v>HTAMNR</v>
          </cell>
          <cell r="C59" t="str">
            <v>Herramienta y equipo menor</v>
          </cell>
          <cell r="D59" t="str">
            <v>%</v>
          </cell>
          <cell r="E59">
            <v>0.05</v>
          </cell>
          <cell r="G59">
            <v>0.05</v>
          </cell>
        </row>
        <row r="60">
          <cell r="B60" t="str">
            <v>MAT1015</v>
          </cell>
          <cell r="C60" t="str">
            <v>Angulo de acero de 2"x2"x1/4"</v>
          </cell>
          <cell r="D60" t="str">
            <v>m</v>
          </cell>
          <cell r="G60">
            <v>36100</v>
          </cell>
          <cell r="H60">
            <v>4.76</v>
          </cell>
        </row>
        <row r="61">
          <cell r="B61" t="str">
            <v>MAT1020</v>
          </cell>
          <cell r="C61" t="str">
            <v>Angulo de acero de 2-1/2"x2-1/2"x1/4"</v>
          </cell>
          <cell r="D61" t="str">
            <v>m</v>
          </cell>
          <cell r="G61">
            <v>37500</v>
          </cell>
          <cell r="H61">
            <v>3.12</v>
          </cell>
        </row>
        <row r="62">
          <cell r="B62" t="str">
            <v>MAT1025</v>
          </cell>
          <cell r="C62" t="str">
            <v>Arena para concreto</v>
          </cell>
          <cell r="D62" t="str">
            <v>m3</v>
          </cell>
          <cell r="G62">
            <v>171429</v>
          </cell>
          <cell r="H62">
            <v>1555</v>
          </cell>
        </row>
        <row r="63">
          <cell r="B63" t="str">
            <v>MAT1030</v>
          </cell>
          <cell r="C63" t="str">
            <v>Arena de pega</v>
          </cell>
          <cell r="D63" t="str">
            <v>m3</v>
          </cell>
          <cell r="G63">
            <v>110000</v>
          </cell>
          <cell r="H63">
            <v>1493</v>
          </cell>
        </row>
        <row r="64">
          <cell r="B64" t="str">
            <v>MAT1040</v>
          </cell>
          <cell r="C64" t="str">
            <v>Baldosa antideslizante para piso blanco.</v>
          </cell>
          <cell r="D64" t="str">
            <v>m2</v>
          </cell>
          <cell r="G64">
            <v>35100</v>
          </cell>
          <cell r="H64">
            <v>22.5</v>
          </cell>
        </row>
        <row r="65">
          <cell r="B65" t="str">
            <v>MAT1045</v>
          </cell>
          <cell r="C65" t="str">
            <v>Baldosa tipo pared blanco antideslizante</v>
          </cell>
          <cell r="D65" t="str">
            <v>m2</v>
          </cell>
          <cell r="G65">
            <v>28500</v>
          </cell>
          <cell r="H65">
            <v>22.5</v>
          </cell>
        </row>
        <row r="66">
          <cell r="B66" t="str">
            <v>MAT1060</v>
          </cell>
          <cell r="C66" t="str">
            <v>Bloque calado 10x20x20</v>
          </cell>
          <cell r="D66" t="str">
            <v>un</v>
          </cell>
          <cell r="G66">
            <v>2300</v>
          </cell>
          <cell r="H66">
            <v>3.3</v>
          </cell>
        </row>
        <row r="67">
          <cell r="B67" t="str">
            <v>MAT1065</v>
          </cell>
          <cell r="C67" t="str">
            <v>Bloque de concreto 10x20x40 - 10MPa</v>
          </cell>
          <cell r="D67" t="str">
            <v>un</v>
          </cell>
          <cell r="G67">
            <v>2900</v>
          </cell>
          <cell r="H67">
            <v>10.8</v>
          </cell>
        </row>
        <row r="68">
          <cell r="B68" t="str">
            <v>MAT1070</v>
          </cell>
          <cell r="C68" t="str">
            <v>Bloque de concreto 12x20x40 - 13 Mpa</v>
          </cell>
          <cell r="D68" t="str">
            <v>un</v>
          </cell>
          <cell r="G68">
            <v>3200</v>
          </cell>
          <cell r="H68">
            <v>11.8</v>
          </cell>
        </row>
        <row r="69">
          <cell r="B69" t="str">
            <v>MAT1080</v>
          </cell>
          <cell r="C69" t="str">
            <v>Cemento blanco</v>
          </cell>
          <cell r="D69" t="str">
            <v>kg</v>
          </cell>
          <cell r="G69">
            <v>1800</v>
          </cell>
          <cell r="H69">
            <v>1</v>
          </cell>
        </row>
        <row r="70">
          <cell r="B70" t="str">
            <v>MAT1085</v>
          </cell>
          <cell r="C70" t="str">
            <v>Cemento gris (50kg)</v>
          </cell>
          <cell r="D70" t="str">
            <v>saco</v>
          </cell>
          <cell r="G70">
            <v>39259</v>
          </cell>
          <cell r="H70" t="str">
            <v>50 Kg</v>
          </cell>
        </row>
        <row r="71">
          <cell r="B71" t="str">
            <v>MAT1090</v>
          </cell>
          <cell r="C71" t="str">
            <v>Chapa económica</v>
          </cell>
          <cell r="D71" t="str">
            <v>un</v>
          </cell>
          <cell r="G71">
            <v>26900</v>
          </cell>
          <cell r="H71">
            <v>0.5</v>
          </cell>
        </row>
        <row r="72">
          <cell r="B72" t="str">
            <v>MAT1095</v>
          </cell>
          <cell r="C72" t="str">
            <v>Clavo común 37.5 a 100 mm</v>
          </cell>
          <cell r="D72" t="str">
            <v>lb</v>
          </cell>
          <cell r="G72">
            <v>9900</v>
          </cell>
          <cell r="H72">
            <v>0.5</v>
          </cell>
        </row>
        <row r="73">
          <cell r="B73" t="str">
            <v>MAT1100</v>
          </cell>
          <cell r="C73" t="str">
            <v>Cinta sellante para elementos roscados - 12mm x 12m</v>
          </cell>
          <cell r="D73" t="str">
            <v>un</v>
          </cell>
          <cell r="G73">
            <v>2900</v>
          </cell>
          <cell r="H73">
            <v>0.02</v>
          </cell>
        </row>
        <row r="74">
          <cell r="B74" t="str">
            <v>MAT1110</v>
          </cell>
          <cell r="C74" t="str">
            <v>Combo de baño Acuacer o Laguna tipo Corona o similar: incluye sanitario + lavamanos de colgar+ 3 accesorios blanco.</v>
          </cell>
          <cell r="D74" t="str">
            <v>un</v>
          </cell>
          <cell r="G74">
            <v>360000</v>
          </cell>
          <cell r="H74">
            <v>40</v>
          </cell>
        </row>
        <row r="75">
          <cell r="B75" t="str">
            <v>MAT1115</v>
          </cell>
          <cell r="C75" t="str">
            <v>Ducha sencilla (tipo Dalia de Grival o similar)</v>
          </cell>
          <cell r="D75" t="str">
            <v>un</v>
          </cell>
          <cell r="G75">
            <v>59900</v>
          </cell>
          <cell r="H75">
            <v>0.3</v>
          </cell>
        </row>
        <row r="76">
          <cell r="B76" t="str">
            <v>MAT1120</v>
          </cell>
          <cell r="C76" t="str">
            <v xml:space="preserve">Estopa blanca </v>
          </cell>
          <cell r="D76" t="str">
            <v>lb</v>
          </cell>
          <cell r="G76">
            <v>5265</v>
          </cell>
          <cell r="H76">
            <v>0.5</v>
          </cell>
        </row>
        <row r="77">
          <cell r="B77" t="str">
            <v>MAT1135</v>
          </cell>
          <cell r="C77" t="str">
            <v>Grifería lavaplatos pico cisne tipo Dalia de Grival o similar</v>
          </cell>
          <cell r="D77" t="str">
            <v>un</v>
          </cell>
          <cell r="G77">
            <v>57000</v>
          </cell>
          <cell r="H77">
            <v>0.7</v>
          </cell>
        </row>
        <row r="78">
          <cell r="B78" t="str">
            <v>MAT1166</v>
          </cell>
          <cell r="C78" t="str">
            <v>Lavatrapero prefabricado en grano blanco 0,3*0,3*0,30 m</v>
          </cell>
          <cell r="D78" t="str">
            <v>un</v>
          </cell>
          <cell r="G78">
            <v>55600</v>
          </cell>
          <cell r="H78">
            <v>25</v>
          </cell>
        </row>
        <row r="79">
          <cell r="B79" t="str">
            <v>MAT1168</v>
          </cell>
          <cell r="C79" t="str">
            <v>Lavadero prefabricado en grano blanco 0,8*0,6*0,16 m</v>
          </cell>
          <cell r="D79" t="str">
            <v>un</v>
          </cell>
          <cell r="G79">
            <v>187900</v>
          </cell>
          <cell r="H79">
            <v>50</v>
          </cell>
        </row>
        <row r="80">
          <cell r="B80" t="str">
            <v>MAT1170</v>
          </cell>
          <cell r="C80" t="str">
            <v>Liston 2" x 2" x 3 m</v>
          </cell>
          <cell r="D80" t="str">
            <v>un</v>
          </cell>
          <cell r="G80">
            <v>9500</v>
          </cell>
          <cell r="H80">
            <v>1.8</v>
          </cell>
        </row>
        <row r="81">
          <cell r="B81" t="str">
            <v>MAT1194</v>
          </cell>
          <cell r="C81" t="str">
            <v>Liston 4"x2" pino pátula inmunizado</v>
          </cell>
          <cell r="D81" t="str">
            <v>m</v>
          </cell>
          <cell r="G81">
            <v>7900</v>
          </cell>
          <cell r="H81">
            <v>5.68</v>
          </cell>
        </row>
        <row r="82">
          <cell r="B82" t="str">
            <v>MAT1195</v>
          </cell>
          <cell r="C82" t="str">
            <v>Liston 3"x4" pino pátula inmunizado</v>
          </cell>
          <cell r="D82" t="str">
            <v>m</v>
          </cell>
          <cell r="G82">
            <v>12800</v>
          </cell>
          <cell r="H82">
            <v>3</v>
          </cell>
        </row>
        <row r="83">
          <cell r="B83" t="str">
            <v>MAT1196</v>
          </cell>
          <cell r="C83" t="str">
            <v>Liston 2"x6" pino pátula inmunizado</v>
          </cell>
          <cell r="D83" t="str">
            <v>m</v>
          </cell>
          <cell r="G83">
            <v>12800</v>
          </cell>
          <cell r="H83">
            <v>3</v>
          </cell>
        </row>
        <row r="84">
          <cell r="B84" t="str">
            <v>MAT1197</v>
          </cell>
          <cell r="C84" t="str">
            <v>Liston 3"x7" pino pátula inmunizado</v>
          </cell>
          <cell r="D84" t="str">
            <v>m</v>
          </cell>
          <cell r="G84">
            <v>14600</v>
          </cell>
          <cell r="H84">
            <v>5</v>
          </cell>
        </row>
        <row r="85">
          <cell r="B85" t="str">
            <v>MAT1200</v>
          </cell>
          <cell r="C85" t="str">
            <v>Liston 4"x4" pino pátula inmunizado</v>
          </cell>
          <cell r="D85" t="str">
            <v>m</v>
          </cell>
          <cell r="G85">
            <v>15700</v>
          </cell>
          <cell r="H85">
            <v>4</v>
          </cell>
        </row>
        <row r="86">
          <cell r="B86" t="str">
            <v>MAT1205</v>
          </cell>
          <cell r="C86" t="str">
            <v>Llave jardín 1/2" x 3/4" cromada</v>
          </cell>
          <cell r="D86" t="str">
            <v>un</v>
          </cell>
          <cell r="G86">
            <v>34900</v>
          </cell>
          <cell r="H86">
            <v>0.2</v>
          </cell>
        </row>
        <row r="87">
          <cell r="B87" t="str">
            <v>MAT1245</v>
          </cell>
          <cell r="C87" t="str">
            <v>Pozuelo en acero inoxidable de 50x35 cm</v>
          </cell>
          <cell r="D87" t="str">
            <v>un</v>
          </cell>
          <cell r="G87">
            <v>80000</v>
          </cell>
          <cell r="H87">
            <v>2.1</v>
          </cell>
        </row>
        <row r="88">
          <cell r="B88" t="str">
            <v>MAT1250</v>
          </cell>
          <cell r="C88" t="str">
            <v>Puerta en madera - 0.80m x 2.10m - incluye marco</v>
          </cell>
          <cell r="D88" t="str">
            <v>un</v>
          </cell>
          <cell r="G88">
            <v>304140</v>
          </cell>
          <cell r="H88">
            <v>22</v>
          </cell>
        </row>
        <row r="89">
          <cell r="B89" t="str">
            <v>MAT1255</v>
          </cell>
          <cell r="C89" t="str">
            <v>Puerta en madera - 1.00m x 2.10m - incluye marco</v>
          </cell>
          <cell r="D89" t="str">
            <v>un</v>
          </cell>
          <cell r="G89">
            <v>384251</v>
          </cell>
          <cell r="H89">
            <v>25</v>
          </cell>
        </row>
        <row r="90">
          <cell r="B90" t="str">
            <v>MAT1268</v>
          </cell>
          <cell r="C90" t="str">
            <v>Puerta metálica 0,96X1,30, 2 alas incluye marco</v>
          </cell>
          <cell r="D90" t="str">
            <v>un</v>
          </cell>
          <cell r="G90">
            <v>165900</v>
          </cell>
          <cell r="H90">
            <v>30</v>
          </cell>
        </row>
        <row r="91">
          <cell r="B91" t="str">
            <v>MAT1270</v>
          </cell>
          <cell r="C91" t="str">
            <v>Recebo B-200</v>
          </cell>
          <cell r="D91" t="str">
            <v>m3</v>
          </cell>
          <cell r="G91">
            <v>64300</v>
          </cell>
          <cell r="H91">
            <v>1450</v>
          </cell>
        </row>
        <row r="92">
          <cell r="B92" t="str">
            <v>MAT1275</v>
          </cell>
          <cell r="C92" t="str">
            <v>Rejilla de piso 2" plástica</v>
          </cell>
          <cell r="D92" t="str">
            <v>un</v>
          </cell>
          <cell r="G92">
            <v>7500</v>
          </cell>
          <cell r="H92">
            <v>0.1</v>
          </cell>
        </row>
        <row r="93">
          <cell r="B93" t="str">
            <v>MAT1290</v>
          </cell>
          <cell r="C93" t="str">
            <v>Sección completa andamio 1.20x1.50m</v>
          </cell>
          <cell r="D93" t="str">
            <v>día</v>
          </cell>
          <cell r="G93">
            <v>1400</v>
          </cell>
          <cell r="H93">
            <v>0</v>
          </cell>
        </row>
        <row r="94">
          <cell r="B94" t="str">
            <v>MAT1295</v>
          </cell>
          <cell r="C94" t="str">
            <v>Tabla madera común 1x8" 3m</v>
          </cell>
          <cell r="D94" t="str">
            <v>un</v>
          </cell>
          <cell r="G94">
            <v>13000</v>
          </cell>
          <cell r="H94">
            <v>10</v>
          </cell>
        </row>
        <row r="95">
          <cell r="B95" t="str">
            <v>MAT1300</v>
          </cell>
          <cell r="C95" t="str">
            <v>Formaleta Supert 15mm 183X244.</v>
          </cell>
          <cell r="D95" t="str">
            <v>m2</v>
          </cell>
          <cell r="G95">
            <v>45900</v>
          </cell>
          <cell r="H95">
            <v>12.989339783212397</v>
          </cell>
        </row>
        <row r="96">
          <cell r="B96" t="str">
            <v>MAT1330</v>
          </cell>
          <cell r="C96" t="str">
            <v>Triturado 3/4''</v>
          </cell>
          <cell r="D96" t="str">
            <v>m3</v>
          </cell>
          <cell r="G96">
            <v>164286</v>
          </cell>
          <cell r="H96">
            <v>1479</v>
          </cell>
        </row>
        <row r="97">
          <cell r="B97" t="str">
            <v>MAT1350</v>
          </cell>
          <cell r="C97" t="str">
            <v>Ventana en madera - 1.20m x 1.20m - incluye marco bisagras y vidrio</v>
          </cell>
          <cell r="D97" t="str">
            <v>un</v>
          </cell>
          <cell r="G97">
            <v>160000</v>
          </cell>
          <cell r="H97">
            <v>18</v>
          </cell>
        </row>
        <row r="98">
          <cell r="B98" t="str">
            <v>MAT1355</v>
          </cell>
          <cell r="C98" t="str">
            <v>Ventana en madera - 1.20m x 2.40m - incluye marco, bisagras y vidrio</v>
          </cell>
          <cell r="D98" t="str">
            <v>un</v>
          </cell>
          <cell r="G98">
            <v>320000</v>
          </cell>
          <cell r="H98">
            <v>25</v>
          </cell>
        </row>
        <row r="99">
          <cell r="B99" t="str">
            <v>MAT1398</v>
          </cell>
          <cell r="C99" t="str">
            <v xml:space="preserve">Angeo plastico Gris </v>
          </cell>
          <cell r="D99" t="str">
            <v>m2</v>
          </cell>
          <cell r="G99">
            <v>5600</v>
          </cell>
          <cell r="H99">
            <v>0.01</v>
          </cell>
        </row>
        <row r="100">
          <cell r="B100" t="str">
            <v>MAT1400</v>
          </cell>
          <cell r="C100" t="str">
            <v>Baldosa para piso 30x30, blanco, antideslizante (ARD)</v>
          </cell>
          <cell r="D100" t="str">
            <v>m2</v>
          </cell>
          <cell r="G100">
            <v>34300</v>
          </cell>
          <cell r="H100">
            <v>22</v>
          </cell>
        </row>
        <row r="101">
          <cell r="B101" t="str">
            <v>MAT1402</v>
          </cell>
          <cell r="C101" t="str">
            <v>Angulo de 3"x1/4"x6 m</v>
          </cell>
          <cell r="D101" t="str">
            <v>un</v>
          </cell>
          <cell r="G101">
            <v>197800</v>
          </cell>
          <cell r="H101">
            <v>41.85</v>
          </cell>
        </row>
        <row r="102">
          <cell r="B102" t="str">
            <v>MOAYUDA</v>
          </cell>
          <cell r="C102" t="str">
            <v>Mo ayudante entendido</v>
          </cell>
          <cell r="D102" t="str">
            <v>día</v>
          </cell>
          <cell r="G102">
            <v>87681.399290311107</v>
          </cell>
        </row>
        <row r="103">
          <cell r="B103" t="str">
            <v>MOAYUDR</v>
          </cell>
          <cell r="C103" t="str">
            <v>Mo ayudante raso</v>
          </cell>
          <cell r="D103" t="str">
            <v>día</v>
          </cell>
          <cell r="G103">
            <v>68986.472356977785</v>
          </cell>
        </row>
        <row r="104">
          <cell r="B104" t="str">
            <v>MOCAD1</v>
          </cell>
          <cell r="C104" t="str">
            <v>Mo cadenero 1</v>
          </cell>
          <cell r="D104" t="str">
            <v>día</v>
          </cell>
          <cell r="G104">
            <v>130525.11769031112</v>
          </cell>
        </row>
        <row r="105">
          <cell r="B105" t="str">
            <v>MOFICIAL</v>
          </cell>
          <cell r="C105" t="str">
            <v>Mo oficial</v>
          </cell>
          <cell r="D105" t="str">
            <v>día</v>
          </cell>
          <cell r="G105">
            <v>130525.11769031112</v>
          </cell>
        </row>
        <row r="106">
          <cell r="B106" t="str">
            <v>RF1000</v>
          </cell>
          <cell r="C106" t="str">
            <v>Alambre negro recocido</v>
          </cell>
          <cell r="D106" t="str">
            <v>kg</v>
          </cell>
          <cell r="G106">
            <v>6500</v>
          </cell>
          <cell r="H106">
            <v>1</v>
          </cell>
        </row>
        <row r="107">
          <cell r="B107" t="str">
            <v>RF1005</v>
          </cell>
          <cell r="C107" t="str">
            <v>Acero G-60 Figurado</v>
          </cell>
          <cell r="D107" t="str">
            <v>Kg</v>
          </cell>
          <cell r="G107">
            <v>5490</v>
          </cell>
          <cell r="H107">
            <v>1</v>
          </cell>
        </row>
        <row r="108">
          <cell r="B108" t="str">
            <v>RF1050</v>
          </cell>
          <cell r="C108" t="str">
            <v>Herraje tapa caja 0.50m x 0.50m</v>
          </cell>
          <cell r="D108" t="str">
            <v>un</v>
          </cell>
          <cell r="G108">
            <v>111240</v>
          </cell>
          <cell r="H108">
            <v>5</v>
          </cell>
        </row>
        <row r="109">
          <cell r="B109" t="str">
            <v>RF1070</v>
          </cell>
          <cell r="C109" t="str">
            <v>Malla electrosoldada D-84 (2,35m x 6m)</v>
          </cell>
          <cell r="D109" t="str">
            <v>un</v>
          </cell>
          <cell r="G109">
            <v>106000</v>
          </cell>
          <cell r="H109">
            <v>15.1</v>
          </cell>
        </row>
        <row r="110">
          <cell r="B110" t="str">
            <v>RF1100</v>
          </cell>
          <cell r="C110" t="str">
            <v>Malla electrosoldada D-106 (2,35m x 6m)</v>
          </cell>
          <cell r="D110" t="str">
            <v>un</v>
          </cell>
          <cell r="G110">
            <v>123292</v>
          </cell>
          <cell r="H110">
            <v>17.600000000000001</v>
          </cell>
        </row>
        <row r="111">
          <cell r="B111" t="str">
            <v>RF1140</v>
          </cell>
          <cell r="C111" t="str">
            <v>Malla electrosoldada D-221 (2,35m x 6m)</v>
          </cell>
          <cell r="D111" t="str">
            <v>un</v>
          </cell>
          <cell r="G111">
            <v>260500</v>
          </cell>
          <cell r="H111">
            <v>30.6</v>
          </cell>
        </row>
        <row r="112">
          <cell r="B112" t="str">
            <v>SS1080</v>
          </cell>
          <cell r="C112" t="str">
            <v>Kit séptico PE - trampa de grasa 250 lt, tanque 1000 lt, fafa 1000 lt</v>
          </cell>
          <cell r="D112" t="str">
            <v>un</v>
          </cell>
          <cell r="G112">
            <v>1718900</v>
          </cell>
          <cell r="H112">
            <v>60</v>
          </cell>
        </row>
        <row r="113">
          <cell r="B113" t="str">
            <v>SS1081</v>
          </cell>
          <cell r="C113" t="str">
            <v>Kit séptico PE - trampa de grasa 250 lt, tanque 1000 lt, fafa 1000 lt</v>
          </cell>
        </row>
        <row r="114">
          <cell r="B114" t="str">
            <v>SS1082</v>
          </cell>
          <cell r="C114" t="str">
            <v>SISTEMA SEPTICO INTEGRADO DE 15,000s.</v>
          </cell>
          <cell r="D114" t="str">
            <v>un</v>
          </cell>
          <cell r="G114">
            <v>30220000</v>
          </cell>
          <cell r="H114">
            <v>300</v>
          </cell>
        </row>
        <row r="115">
          <cell r="B115" t="str">
            <v>SS1083</v>
          </cell>
          <cell r="C115" t="str">
            <v>Caja de inspeccion negra 110lts ct</v>
          </cell>
          <cell r="D115" t="str">
            <v>un</v>
          </cell>
          <cell r="G115">
            <v>205000</v>
          </cell>
          <cell r="H115">
            <v>30</v>
          </cell>
        </row>
        <row r="116">
          <cell r="B116" t="str">
            <v>TB1110</v>
          </cell>
          <cell r="C116" t="str">
            <v>Adaptador hembra PVC-P 1/2''</v>
          </cell>
          <cell r="D116" t="str">
            <v>un</v>
          </cell>
          <cell r="G116">
            <v>550</v>
          </cell>
          <cell r="H116">
            <v>0.05</v>
          </cell>
        </row>
        <row r="117">
          <cell r="B117" t="str">
            <v>TB1140</v>
          </cell>
          <cell r="C117" t="str">
            <v>Adaptador macho PVC-P 1/2''</v>
          </cell>
          <cell r="D117" t="str">
            <v>un</v>
          </cell>
          <cell r="G117">
            <v>458</v>
          </cell>
          <cell r="H117">
            <v>0.05</v>
          </cell>
        </row>
        <row r="118">
          <cell r="B118" t="str">
            <v>TB1205</v>
          </cell>
          <cell r="C118" t="str">
            <v>Codo PVC-P 90° 13 mm (1/2")</v>
          </cell>
          <cell r="D118" t="str">
            <v>un</v>
          </cell>
          <cell r="G118">
            <v>780</v>
          </cell>
          <cell r="H118">
            <v>0.05</v>
          </cell>
        </row>
        <row r="119">
          <cell r="B119" t="str">
            <v>TB1210</v>
          </cell>
          <cell r="C119" t="str">
            <v>Codo PVC-P 90° 19 mm (3/4")</v>
          </cell>
          <cell r="D119" t="str">
            <v>un</v>
          </cell>
          <cell r="G119">
            <v>1225</v>
          </cell>
          <cell r="H119">
            <v>0.06</v>
          </cell>
        </row>
        <row r="120">
          <cell r="B120" t="str">
            <v>TB1215</v>
          </cell>
          <cell r="C120" t="str">
            <v>Codo PVC-P 90° 25 mm (1")</v>
          </cell>
          <cell r="D120" t="str">
            <v>un</v>
          </cell>
          <cell r="G120">
            <v>2800</v>
          </cell>
          <cell r="H120">
            <v>0.1</v>
          </cell>
        </row>
        <row r="121">
          <cell r="B121" t="str">
            <v>TB1225</v>
          </cell>
          <cell r="C121" t="str">
            <v>Codo PVC-P 90° 50 mm (2")</v>
          </cell>
          <cell r="D121" t="str">
            <v>un</v>
          </cell>
          <cell r="G121">
            <v>13900</v>
          </cell>
          <cell r="H121">
            <v>0.1</v>
          </cell>
        </row>
        <row r="122">
          <cell r="B122" t="str">
            <v>TB1330</v>
          </cell>
          <cell r="C122" t="str">
            <v>Tee PVC-P 13 mm (1/2")</v>
          </cell>
          <cell r="D122" t="str">
            <v>un</v>
          </cell>
          <cell r="G122">
            <v>1033</v>
          </cell>
          <cell r="H122">
            <v>0.05</v>
          </cell>
        </row>
        <row r="123">
          <cell r="B123" t="str">
            <v>TB1340</v>
          </cell>
          <cell r="C123" t="str">
            <v>Tee PVC-P 25 mm (1")</v>
          </cell>
          <cell r="D123" t="str">
            <v>un</v>
          </cell>
          <cell r="G123">
            <v>3400</v>
          </cell>
          <cell r="H123">
            <v>0.1</v>
          </cell>
        </row>
        <row r="124">
          <cell r="B124" t="str">
            <v>TB1350</v>
          </cell>
          <cell r="C124" t="str">
            <v>Tee PVC-P 50 mm (2")</v>
          </cell>
          <cell r="D124" t="str">
            <v>un</v>
          </cell>
          <cell r="G124">
            <v>15900</v>
          </cell>
          <cell r="H124">
            <v>0.15</v>
          </cell>
        </row>
        <row r="125">
          <cell r="B125" t="str">
            <v>TB1365</v>
          </cell>
          <cell r="C125" t="str">
            <v>Tubería PVC-P RDE-13.5 1/2" (13mm)</v>
          </cell>
          <cell r="D125" t="str">
            <v>m</v>
          </cell>
          <cell r="G125">
            <v>4200</v>
          </cell>
          <cell r="H125">
            <v>0.2</v>
          </cell>
        </row>
        <row r="126">
          <cell r="B126" t="str">
            <v>TB1370</v>
          </cell>
          <cell r="C126" t="str">
            <v>Tubería PVC-P RDE-21 3/4" (19mm)</v>
          </cell>
          <cell r="D126" t="str">
            <v>m</v>
          </cell>
          <cell r="G126">
            <v>3600</v>
          </cell>
          <cell r="H126">
            <v>0.25</v>
          </cell>
        </row>
        <row r="127">
          <cell r="B127" t="str">
            <v>TB1375</v>
          </cell>
          <cell r="C127" t="str">
            <v>Tubería PVC-P RDE-21 1" (25mm)</v>
          </cell>
          <cell r="D127" t="str">
            <v>m</v>
          </cell>
          <cell r="G127">
            <v>5100</v>
          </cell>
          <cell r="H127">
            <v>0.4</v>
          </cell>
        </row>
        <row r="128">
          <cell r="B128" t="str">
            <v>TB1385</v>
          </cell>
          <cell r="C128" t="str">
            <v>Tubería PVC-P RDE-21 2'' 50mm</v>
          </cell>
          <cell r="D128" t="str">
            <v>m</v>
          </cell>
          <cell r="G128">
            <v>17986</v>
          </cell>
          <cell r="H128">
            <v>0.7</v>
          </cell>
        </row>
        <row r="129">
          <cell r="B129" t="str">
            <v>TB1400</v>
          </cell>
          <cell r="C129" t="str">
            <v>Unión acople universal PVC-P 2" (57 mm a 70mm)</v>
          </cell>
          <cell r="D129" t="str">
            <v>un</v>
          </cell>
          <cell r="G129">
            <v>32900</v>
          </cell>
          <cell r="H129">
            <v>0.4</v>
          </cell>
        </row>
        <row r="130">
          <cell r="B130" t="str">
            <v>TB1401</v>
          </cell>
          <cell r="C130" t="str">
            <v xml:space="preserve">Unión acople universal PVC-P 1" </v>
          </cell>
          <cell r="D130" t="str">
            <v>un</v>
          </cell>
          <cell r="G130">
            <v>10800</v>
          </cell>
          <cell r="H130">
            <v>0.3</v>
          </cell>
        </row>
        <row r="131">
          <cell r="B131" t="str">
            <v>TB1402</v>
          </cell>
          <cell r="C131" t="str">
            <v xml:space="preserve">Codo gran radio 22 - 1/2° pvc ' PVC-P 2" </v>
          </cell>
          <cell r="D131" t="str">
            <v>un</v>
          </cell>
          <cell r="G131">
            <v>36000</v>
          </cell>
          <cell r="H131">
            <v>0.3</v>
          </cell>
        </row>
        <row r="132">
          <cell r="B132" t="str">
            <v>TB1403</v>
          </cell>
          <cell r="C132" t="str">
            <v xml:space="preserve">Codo gran radio 11 - 1/4° PVC-P 2" </v>
          </cell>
          <cell r="D132" t="str">
            <v>un</v>
          </cell>
          <cell r="G132">
            <v>40000</v>
          </cell>
          <cell r="H132">
            <v>0.3</v>
          </cell>
        </row>
        <row r="133">
          <cell r="B133" t="str">
            <v>TB1404</v>
          </cell>
          <cell r="C133" t="str">
            <v xml:space="preserve">Codo gran radio 90 PVC-P 2" </v>
          </cell>
          <cell r="D133" t="str">
            <v>un</v>
          </cell>
          <cell r="G133">
            <v>40000</v>
          </cell>
          <cell r="H133">
            <v>0.3</v>
          </cell>
        </row>
        <row r="134">
          <cell r="B134" t="str">
            <v>TB1405</v>
          </cell>
          <cell r="C134" t="str">
            <v xml:space="preserve">Codo gran radio 45 PVC-P 2" </v>
          </cell>
          <cell r="D134" t="str">
            <v>un</v>
          </cell>
          <cell r="G134">
            <v>40000</v>
          </cell>
          <cell r="H134">
            <v>0.3</v>
          </cell>
        </row>
        <row r="135">
          <cell r="B135" t="str">
            <v>TB1415</v>
          </cell>
          <cell r="C135" t="str">
            <v>Unión PVC-P 13 mm (1/2")</v>
          </cell>
          <cell r="D135" t="str">
            <v>un</v>
          </cell>
          <cell r="G135">
            <v>500</v>
          </cell>
          <cell r="H135">
            <v>0.05</v>
          </cell>
        </row>
        <row r="136">
          <cell r="B136" t="str">
            <v>TB1420</v>
          </cell>
          <cell r="C136" t="str">
            <v>Unión PVC-P 19 mm (3/4")</v>
          </cell>
          <cell r="D136" t="str">
            <v>un</v>
          </cell>
          <cell r="G136">
            <v>800</v>
          </cell>
          <cell r="H136">
            <v>0.06</v>
          </cell>
        </row>
        <row r="137">
          <cell r="B137" t="str">
            <v>TB2110</v>
          </cell>
          <cell r="C137" t="str">
            <v>Grapa Abrazadera Metálica Doble Ala 2" (50 mm)</v>
          </cell>
          <cell r="D137" t="str">
            <v>un</v>
          </cell>
          <cell r="G137">
            <v>2900</v>
          </cell>
          <cell r="H137">
            <v>0.03</v>
          </cell>
        </row>
        <row r="138">
          <cell r="B138" t="str">
            <v>TB2111</v>
          </cell>
          <cell r="C138" t="str">
            <v>Grapa Abrazadera Metálica Doble Ala 1" (25 mm)</v>
          </cell>
          <cell r="D138" t="str">
            <v>un</v>
          </cell>
          <cell r="G138">
            <v>1800</v>
          </cell>
          <cell r="H138">
            <v>0.03</v>
          </cell>
        </row>
        <row r="139">
          <cell r="B139" t="str">
            <v>TB2140</v>
          </cell>
          <cell r="C139" t="str">
            <v>Buje soldado PVC-S 4"x2"</v>
          </cell>
          <cell r="D139" t="str">
            <v>un</v>
          </cell>
          <cell r="G139">
            <v>10900</v>
          </cell>
          <cell r="H139">
            <v>0.08</v>
          </cell>
        </row>
        <row r="140">
          <cell r="B140" t="str">
            <v>TB2170</v>
          </cell>
          <cell r="C140" t="str">
            <v>Codo PVC-S 45° -1/8 CxC 2" (50 mm)</v>
          </cell>
          <cell r="D140" t="str">
            <v>un</v>
          </cell>
          <cell r="G140">
            <v>4150</v>
          </cell>
          <cell r="H140">
            <v>0.1</v>
          </cell>
        </row>
        <row r="141">
          <cell r="B141" t="str">
            <v>TB2175</v>
          </cell>
          <cell r="C141" t="str">
            <v>Codo PVC-S 45° -1/8 CxC 3" (75 mm)</v>
          </cell>
          <cell r="D141" t="str">
            <v>un</v>
          </cell>
          <cell r="G141">
            <v>9810</v>
          </cell>
          <cell r="H141">
            <v>0.1</v>
          </cell>
        </row>
        <row r="142">
          <cell r="B142" t="str">
            <v>TB2180</v>
          </cell>
          <cell r="C142" t="str">
            <v>Codo PVC-S 45° -1/8 CxC 4" (100 mm)</v>
          </cell>
          <cell r="D142" t="str">
            <v>un</v>
          </cell>
          <cell r="G142">
            <v>17375</v>
          </cell>
          <cell r="H142">
            <v>0.2</v>
          </cell>
        </row>
        <row r="143">
          <cell r="B143" t="str">
            <v>TB2220</v>
          </cell>
          <cell r="C143" t="str">
            <v>Codo PVC-S 90° -1/4 CxC 2" (50 mm)</v>
          </cell>
          <cell r="D143" t="str">
            <v>un</v>
          </cell>
          <cell r="G143">
            <v>4200</v>
          </cell>
          <cell r="H143">
            <v>0.1</v>
          </cell>
        </row>
        <row r="144">
          <cell r="B144" t="str">
            <v>TB2225</v>
          </cell>
          <cell r="C144" t="str">
            <v>Codo PVC-S 90° -1/4 CxC 3" (75 mm)</v>
          </cell>
          <cell r="D144" t="str">
            <v>un</v>
          </cell>
          <cell r="G144">
            <v>9931</v>
          </cell>
          <cell r="H144">
            <v>0.15</v>
          </cell>
        </row>
        <row r="145">
          <cell r="B145" t="str">
            <v>TB2230</v>
          </cell>
          <cell r="C145" t="str">
            <v>Codo PVC-S 90° -1/4 CxC 4" (100 mm)</v>
          </cell>
          <cell r="D145" t="str">
            <v>un</v>
          </cell>
          <cell r="G145">
            <v>17667</v>
          </cell>
          <cell r="H145">
            <v>0.8</v>
          </cell>
        </row>
        <row r="146">
          <cell r="B146" t="str">
            <v>TB2305</v>
          </cell>
          <cell r="C146" t="str">
            <v>Sifón PVC-S 2" (50 mm)</v>
          </cell>
          <cell r="D146" t="str">
            <v>un</v>
          </cell>
          <cell r="G146">
            <v>10900</v>
          </cell>
          <cell r="H146">
            <v>0.3</v>
          </cell>
        </row>
        <row r="147">
          <cell r="B147" t="str">
            <v>TB2315</v>
          </cell>
          <cell r="C147" t="str">
            <v>Tapón de prueba PVC-S ø 4" (100mm)</v>
          </cell>
          <cell r="D147" t="str">
            <v>un</v>
          </cell>
          <cell r="G147">
            <v>3500</v>
          </cell>
          <cell r="H147">
            <v>0.2</v>
          </cell>
        </row>
        <row r="148">
          <cell r="B148" t="str">
            <v>TB2316</v>
          </cell>
          <cell r="C148" t="str">
            <v>Tapón de prueba PVCs ø 4 (100mm)</v>
          </cell>
          <cell r="D148" t="str">
            <v>un</v>
          </cell>
          <cell r="G148">
            <v>1850</v>
          </cell>
          <cell r="H148">
            <v>0.1</v>
          </cell>
        </row>
        <row r="149">
          <cell r="B149" t="str">
            <v>TB2340</v>
          </cell>
          <cell r="C149" t="str">
            <v>Tee PVC-S 4" (100 mm)</v>
          </cell>
          <cell r="D149" t="str">
            <v>un</v>
          </cell>
          <cell r="G149">
            <v>20000</v>
          </cell>
          <cell r="H149">
            <v>0.8</v>
          </cell>
        </row>
        <row r="150">
          <cell r="B150" t="str">
            <v>TB2410</v>
          </cell>
          <cell r="C150" t="str">
            <v>Tubería PVC-S 2" (50 mm)</v>
          </cell>
          <cell r="D150" t="str">
            <v>m</v>
          </cell>
          <cell r="G150">
            <v>16498</v>
          </cell>
          <cell r="H150">
            <v>0.63</v>
          </cell>
        </row>
        <row r="151">
          <cell r="B151" t="str">
            <v>TB2415</v>
          </cell>
          <cell r="C151" t="str">
            <v>Tubería PVC-S 3" (75 mm)</v>
          </cell>
          <cell r="D151" t="str">
            <v>m</v>
          </cell>
          <cell r="G151">
            <v>17400</v>
          </cell>
          <cell r="H151">
            <v>1.33</v>
          </cell>
        </row>
        <row r="152">
          <cell r="B152" t="str">
            <v>TB2420</v>
          </cell>
          <cell r="C152" t="str">
            <v>Tubería PVC-S 4" (100 mm)</v>
          </cell>
          <cell r="D152" t="str">
            <v>m</v>
          </cell>
          <cell r="G152">
            <v>24800</v>
          </cell>
          <cell r="H152">
            <v>2.2000000000000002</v>
          </cell>
        </row>
        <row r="153">
          <cell r="B153" t="str">
            <v>TB2465</v>
          </cell>
          <cell r="C153" t="str">
            <v>Unión PVC-S 2" (50 mm)</v>
          </cell>
          <cell r="D153" t="str">
            <v>un</v>
          </cell>
          <cell r="G153">
            <v>2500</v>
          </cell>
          <cell r="H153">
            <v>0.15</v>
          </cell>
        </row>
        <row r="154">
          <cell r="B154" t="str">
            <v>TB2470</v>
          </cell>
          <cell r="C154" t="str">
            <v>Unión PVC-S 3" (75 mm)</v>
          </cell>
          <cell r="D154" t="str">
            <v>un</v>
          </cell>
          <cell r="G154">
            <v>4200</v>
          </cell>
          <cell r="H154">
            <v>0.2</v>
          </cell>
        </row>
        <row r="155">
          <cell r="B155" t="str">
            <v>TB2475</v>
          </cell>
          <cell r="C155" t="str">
            <v>Unión PVC-S 4" (100 mm)</v>
          </cell>
          <cell r="D155" t="str">
            <v>un</v>
          </cell>
          <cell r="G155">
            <v>7500</v>
          </cell>
          <cell r="H155">
            <v>0.5</v>
          </cell>
        </row>
        <row r="156">
          <cell r="B156" t="str">
            <v>TB2495</v>
          </cell>
          <cell r="C156" t="str">
            <v>Yee PVC-S 4" (100 mm)</v>
          </cell>
          <cell r="D156" t="str">
            <v>un</v>
          </cell>
          <cell r="G156">
            <v>18900</v>
          </cell>
          <cell r="H156">
            <v>0.5</v>
          </cell>
        </row>
        <row r="157">
          <cell r="B157" t="str">
            <v>TB2505</v>
          </cell>
          <cell r="C157" t="str">
            <v>Yee PVC-S reducida 4"x2"</v>
          </cell>
          <cell r="D157" t="str">
            <v>un</v>
          </cell>
          <cell r="G157">
            <v>25400</v>
          </cell>
          <cell r="H157">
            <v>0.5</v>
          </cell>
        </row>
        <row r="158">
          <cell r="B158" t="str">
            <v>TB2601</v>
          </cell>
          <cell r="C158" t="str">
            <v>Tubería PVC-ALL 2"</v>
          </cell>
          <cell r="D158" t="str">
            <v>m</v>
          </cell>
          <cell r="G158">
            <v>9700</v>
          </cell>
          <cell r="H158">
            <v>0.63</v>
          </cell>
        </row>
        <row r="159">
          <cell r="B159" t="str">
            <v>TB2602</v>
          </cell>
          <cell r="C159" t="str">
            <v>Kit Silla Yee Alcantarillado S8 200x160mm. Incluye Hidrosellos y abrazaderas</v>
          </cell>
          <cell r="D159" t="str">
            <v>un</v>
          </cell>
          <cell r="G159">
            <v>132900</v>
          </cell>
          <cell r="H159">
            <v>1</v>
          </cell>
        </row>
        <row r="160">
          <cell r="B160" t="str">
            <v>TB2603</v>
          </cell>
          <cell r="C160" t="str">
            <v>Tubo Novafort 6"X 6 Mts</v>
          </cell>
          <cell r="D160" t="str">
            <v>un</v>
          </cell>
          <cell r="G160">
            <v>196900</v>
          </cell>
          <cell r="H160">
            <v>12.78</v>
          </cell>
        </row>
        <row r="161">
          <cell r="B161" t="str">
            <v>TB2613</v>
          </cell>
          <cell r="C161" t="str">
            <v>Válvula de bola lisa 2"</v>
          </cell>
          <cell r="D161" t="str">
            <v>un</v>
          </cell>
          <cell r="G161">
            <v>45000</v>
          </cell>
          <cell r="H161">
            <v>1</v>
          </cell>
        </row>
        <row r="162">
          <cell r="B162" t="str">
            <v>TQ1001</v>
          </cell>
          <cell r="C162" t="str">
            <v>Tanque completo 500 lt negro bicapa, Eternit o similar</v>
          </cell>
          <cell r="D162" t="str">
            <v>un</v>
          </cell>
          <cell r="G162">
            <v>295000</v>
          </cell>
          <cell r="H162">
            <v>13</v>
          </cell>
        </row>
        <row r="163">
          <cell r="B163" t="str">
            <v>TR1060</v>
          </cell>
          <cell r="C163" t="str">
            <v xml:space="preserve">Transporte de materiales en volqueta </v>
          </cell>
          <cell r="D163" t="str">
            <v>viaje</v>
          </cell>
          <cell r="G163">
            <v>540000</v>
          </cell>
          <cell r="H163">
            <v>0</v>
          </cell>
        </row>
        <row r="164">
          <cell r="B164" t="str">
            <v>TR1070</v>
          </cell>
          <cell r="C164" t="str">
            <v xml:space="preserve">Transporte de materiales varios </v>
          </cell>
          <cell r="D164" t="str">
            <v>T/km</v>
          </cell>
          <cell r="G164">
            <v>700</v>
          </cell>
          <cell r="H164">
            <v>0</v>
          </cell>
        </row>
        <row r="165">
          <cell r="B165" t="str">
            <v>TR1080</v>
          </cell>
          <cell r="C165" t="str">
            <v>Transporte interno materiales</v>
          </cell>
          <cell r="D165" t="str">
            <v>viaje</v>
          </cell>
          <cell r="G165">
            <v>13797</v>
          </cell>
          <cell r="H165">
            <v>0</v>
          </cell>
        </row>
        <row r="166">
          <cell r="B166" t="str">
            <v>VPVC12</v>
          </cell>
          <cell r="C166" t="str">
            <v>Válvula de regulación - abasto 1/2"</v>
          </cell>
          <cell r="D166" t="str">
            <v>un</v>
          </cell>
          <cell r="G166">
            <v>11000</v>
          </cell>
          <cell r="H166">
            <v>0.5</v>
          </cell>
        </row>
      </sheetData>
      <sheetData sheetId="10" refreshError="1"/>
      <sheetData sheetId="11"/>
      <sheetData sheetId="12" refreshError="1"/>
      <sheetData sheetId="13"/>
      <sheetData sheetId="14" refreshError="1"/>
      <sheetData sheetId="15" refreshError="1"/>
      <sheetData sheetId="16" refreshError="1"/>
      <sheetData sheetId="17" refreshError="1"/>
      <sheetData sheetId="1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DEF"/>
      <sheetName val="BENEFIC"/>
      <sheetName val="FORMATO"/>
      <sheetName val="3-Cantidades Ban Rur"/>
      <sheetName val="3-Cantidades Ban Urb"/>
      <sheetName val="3-Cantidades Hab"/>
      <sheetName val="3-Cantidades Coc"/>
      <sheetName val="1-1"/>
      <sheetName val="1-2"/>
      <sheetName val="1-4"/>
      <sheetName val="1-5"/>
      <sheetName val="1-6"/>
      <sheetName val="1-7"/>
      <sheetName val="1-8"/>
      <sheetName val="1-9"/>
      <sheetName val="1-11"/>
      <sheetName val="1-12"/>
      <sheetName val="1-13"/>
      <sheetName val="1-14"/>
      <sheetName val="1-15"/>
      <sheetName val="1-18"/>
      <sheetName val="1-19"/>
      <sheetName val="1-20"/>
      <sheetName val="1-21"/>
      <sheetName val="1-22"/>
      <sheetName val="1-23"/>
      <sheetName val="1-24"/>
      <sheetName val="1-25"/>
      <sheetName val="1-27"/>
      <sheetName val="1-28"/>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2-3"/>
      <sheetName val="2-4"/>
      <sheetName val="2-6"/>
      <sheetName val="2-7"/>
      <sheetName val="2-8"/>
      <sheetName val="2-10"/>
      <sheetName val="2-13"/>
      <sheetName val="2-16"/>
      <sheetName val="2-18"/>
      <sheetName val="2-19"/>
      <sheetName val="2-23"/>
      <sheetName val="2-27"/>
      <sheetName val="2-29"/>
      <sheetName val="2-30"/>
      <sheetName val="2-31"/>
      <sheetName val="2-32"/>
      <sheetName val="2-33"/>
      <sheetName val="2-34"/>
      <sheetName val="2-36"/>
      <sheetName val="2-37"/>
      <sheetName val="2-38"/>
      <sheetName val="2-40"/>
      <sheetName val="2-41"/>
      <sheetName val="2-43"/>
      <sheetName val="2-44"/>
      <sheetName val="2-45"/>
      <sheetName val="2-46"/>
      <sheetName val="2-47"/>
      <sheetName val="2-49"/>
      <sheetName val="2-50"/>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4-01"/>
      <sheetName val="4-02"/>
      <sheetName val="4-03"/>
      <sheetName val="4-04"/>
      <sheetName val="4-05"/>
      <sheetName val="4-06"/>
      <sheetName val="4-07"/>
      <sheetName val="4-08"/>
      <sheetName val="4-09"/>
      <sheetName val="4-12"/>
      <sheetName val="4-13"/>
      <sheetName val="4-14"/>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6"/>
      <sheetName val="4-47"/>
      <sheetName val="4-48"/>
      <sheetName val="4-49"/>
      <sheetName val="4-50"/>
      <sheetName val="5-01"/>
      <sheetName val="5-02"/>
      <sheetName val="5-04"/>
      <sheetName val="5-06"/>
      <sheetName val="5-07"/>
      <sheetName val="5-08"/>
      <sheetName val="5-09"/>
      <sheetName val="5-10"/>
      <sheetName val="5-11"/>
      <sheetName val="5-12"/>
      <sheetName val="5-13"/>
      <sheetName val="5-14"/>
      <sheetName val="5-16"/>
      <sheetName val="5-17"/>
      <sheetName val="5-18"/>
      <sheetName val="5-19"/>
      <sheetName val="5-20"/>
      <sheetName val="5-21"/>
      <sheetName val="5-23"/>
      <sheetName val="5-24"/>
      <sheetName val="5-25"/>
      <sheetName val="5-27"/>
      <sheetName val="5-28"/>
      <sheetName val="5-31"/>
      <sheetName val="5-32"/>
      <sheetName val="5-34"/>
      <sheetName val="5-35"/>
      <sheetName val="5-36"/>
      <sheetName val="5-37"/>
      <sheetName val="5-38"/>
      <sheetName val="5-39"/>
      <sheetName val="5-41"/>
      <sheetName val="5-42"/>
      <sheetName val="5-43"/>
      <sheetName val="5-45"/>
      <sheetName val="5-46"/>
      <sheetName val="5-47"/>
      <sheetName val="5-48"/>
      <sheetName val="5-49"/>
      <sheetName val="5-5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Menu"/>
      <sheetName val="1-Resumen Ejecutivo"/>
      <sheetName val="2-Presupuesto"/>
      <sheetName val="3-Cant Obra"/>
      <sheetName val="4-APU"/>
      <sheetName val="4.1-APU Aux"/>
      <sheetName val="HIERRO"/>
      <sheetName val="Insumos BASE"/>
      <sheetName val="4.2-Insumos"/>
      <sheetName val="4.3-Factor Prest"/>
      <sheetName val="5-Costos Administracion"/>
      <sheetName val="Polizas"/>
      <sheetName val="6-Costos Ambientales"/>
      <sheetName val="7-Interventoria"/>
      <sheetName val="7.1-Base Calculo FM"/>
      <sheetName val="8-Supervisión"/>
      <sheetName val="9-Cierre Financiero"/>
      <sheetName val="Inversion"/>
      <sheetName val="8-Costos Operacionales"/>
      <sheetName val="9-Flujo de inversion"/>
      <sheetName val="10-Prog fisico-financ"/>
      <sheetName val="9.1-Inv mens-Inv acum"/>
      <sheetName val="Salarios"/>
      <sheetName val="Flujo de inversion"/>
    </sheetNames>
    <sheetDataSet>
      <sheetData sheetId="0">
        <row r="2">
          <cell r="A2" t="str">
            <v>Ítem</v>
          </cell>
          <cell r="B2" t="str">
            <v>Descripción</v>
          </cell>
          <cell r="C2" t="str">
            <v>Unidad</v>
          </cell>
          <cell r="D2" t="str">
            <v>Cantidad</v>
          </cell>
        </row>
        <row r="3">
          <cell r="A3">
            <v>1</v>
          </cell>
          <cell r="B3" t="str">
            <v>PRELIMINARES</v>
          </cell>
        </row>
        <row r="4">
          <cell r="A4">
            <v>1.1000000000000001</v>
          </cell>
          <cell r="B4" t="str">
            <v>LOCALIZACION Y REPLANTEO METODO MANUAL. INCLUYE LARGUEROS, NYLON, TRANSPORTE INTERNO Y TODO LO NECESARIO PARA SU CORRECTA EJECUCION.</v>
          </cell>
          <cell r="C4" t="str">
            <v>m2</v>
          </cell>
          <cell r="D4">
            <v>47.36</v>
          </cell>
        </row>
        <row r="5">
          <cell r="A5">
            <v>1.2</v>
          </cell>
          <cell r="B5" t="str">
            <v>NIVELACION DEL TERRENO METODO MANUAL. INCLUYE HERRAMIENTA PARA APISONADO.</v>
          </cell>
          <cell r="C5" t="str">
            <v>m2</v>
          </cell>
          <cell r="D5">
            <v>47.36</v>
          </cell>
        </row>
        <row r="6">
          <cell r="A6">
            <v>2</v>
          </cell>
          <cell r="B6" t="str">
            <v>EXCAVACIONES Y CIMENTACIONES</v>
          </cell>
        </row>
        <row r="7">
          <cell r="A7">
            <v>2.1</v>
          </cell>
          <cell r="B7"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C7" t="str">
            <v>m3</v>
          </cell>
          <cell r="D7">
            <v>14.16</v>
          </cell>
        </row>
        <row r="8">
          <cell r="A8">
            <v>2.2000000000000002</v>
          </cell>
          <cell r="B8" t="str">
            <v>VIGA DE FUNDACIÓN EN CONCRETO DE 21 MPa A NIVEL DE CIMENTACION, DE SECCION 30 x 30 cms. INCLUYE FORMALETA, EQUIPO Y TODO LO NECESARIO PARA SU CORRECTA COLOCACION Y FUNCIONAMIENTO.</v>
          </cell>
          <cell r="C8" t="str">
            <v>m</v>
          </cell>
          <cell r="D8">
            <v>35.85</v>
          </cell>
        </row>
        <row r="9">
          <cell r="A9">
            <v>2.2999999999999998</v>
          </cell>
          <cell r="B9" t="str">
            <v xml:space="preserve">SOBRECIMIENTO DOS HILADAS EN BLOQUE DE 10 cm NORMALIZADO. INCLUYE IMPERMEABILIZACIÓN A 3 CARAS. </v>
          </cell>
          <cell r="C9" t="str">
            <v>m</v>
          </cell>
          <cell r="D9">
            <v>33.35</v>
          </cell>
        </row>
        <row r="10">
          <cell r="A10">
            <v>2.4</v>
          </cell>
          <cell r="B10" t="str">
            <v>ZAPATA DE CIMENTACIÓN PARA COLUMNA METÁLICA EN CONCRETO DE 21MPa,DE SECCIÓN 80x80cms. INCLUYE TODO LO NECESARIO PARA SU CORRECTA COLOCACIÓN Y FUNCIONAMIENTO</v>
          </cell>
          <cell r="C10" t="str">
            <v>und</v>
          </cell>
          <cell r="D10">
            <v>1</v>
          </cell>
        </row>
        <row r="11">
          <cell r="A11">
            <v>2.5</v>
          </cell>
          <cell r="B11" t="str">
            <v>BOTADA DE ESCOMBROS PROVENIENTES DE CONSTRUCCIÓN Y MATERIAL SOBRANTE DE LA EXCAVACIÓN. NO SE PERMITE DISPOSICIÓN EN EL LOTE</v>
          </cell>
          <cell r="C11" t="str">
            <v>m3</v>
          </cell>
          <cell r="D11">
            <v>14.16</v>
          </cell>
        </row>
        <row r="12">
          <cell r="A12">
            <v>3</v>
          </cell>
          <cell r="B12" t="str">
            <v>ELEMENTOS ESTRUCTURALES</v>
          </cell>
        </row>
        <row r="13">
          <cell r="A13">
            <v>3.1</v>
          </cell>
          <cell r="B13" t="str">
            <v>VIGA DE AMARRE SUPERIOR EN CONCRETO A LA VISTA DE 21 MPa SOBRE MAMPOSTERIA, DE SECCION 10 x 20 cms. INCLUYE FORMALETA, EQUIPO Y TODO LO NECESARIO PARA SU CORRECTA COLOCACION Y FUNCIONAMIENTO.</v>
          </cell>
          <cell r="C13" t="str">
            <v>m</v>
          </cell>
          <cell r="D13">
            <v>36.25</v>
          </cell>
        </row>
        <row r="14">
          <cell r="A14">
            <v>3.2</v>
          </cell>
          <cell r="B14" t="str">
            <v>VIGA CINTA EN CONCRETO A LA VISTA DE 21 MPa SOBRE MAMPOSTERIA, DE SECCION 10 x 10 cms. INCLUYE FORMALETA, EQUIPO Y TODO LO NECESARIO PARA SU CORRECTA COLOCACION Y FUNCIONAMIENTO.</v>
          </cell>
          <cell r="C14" t="str">
            <v>m</v>
          </cell>
          <cell r="D14">
            <v>24.65</v>
          </cell>
        </row>
        <row r="15">
          <cell r="A15">
            <v>3.3</v>
          </cell>
          <cell r="B15" t="str">
            <v>COLUMNA DE CONFINAMIENTO EN CONCRETO DE A LA VISTA 21 MPa  DE SECCION 0.15X0.20 M. INCLUYE REFUERZO EN ACERO SEGÚN DISEÑO.</v>
          </cell>
          <cell r="C15" t="str">
            <v>m</v>
          </cell>
          <cell r="D15">
            <v>36.4</v>
          </cell>
        </row>
        <row r="16">
          <cell r="A16">
            <v>3.4</v>
          </cell>
          <cell r="B16" t="str">
            <v>CONSTRUCCION DE PISO EN CONCRETO DE 21 MPa PARA BAÑO, ACABADO ESCOBILLADO, E=10 CM, REFORZADO CON MALLA ELECTROSOLDADA D84. CON DESNIVEL HACIA DESAGUE PARA EVITAR ENCHARCAMIENTO, CON ZONA DE ENCHARQUE EN DUCHA DE -0,03M, INCLUYE EL CONCRETO, LA MALLA, FORMALETERIA, POLIETILENO Y TODO LO NECESARIO PARA SU CORRECTA INSTALACION.</v>
          </cell>
          <cell r="C16" t="str">
            <v>m2</v>
          </cell>
          <cell r="D16">
            <v>2.2999999999999998</v>
          </cell>
        </row>
        <row r="17">
          <cell r="A17">
            <v>3.5</v>
          </cell>
          <cell r="B17" t="str">
            <v>CONSTRUCCION DE PISO EN CONCRETO DE 21 MPa, ACABADO ESCOBILLADO, E=10 CM, REFORZADO CON MALLA ELECTROSOLDADA D188. INCLUYE EL CONCRETO, LA MALLA, FORMALETERIA, MATERIAL DE RECEBO B-200 E=10 CM, POLIETILENO Y TODO LO NECESARIO PARA SU CORRECTA INSTALACION.</v>
          </cell>
          <cell r="C17" t="str">
            <v>m2</v>
          </cell>
          <cell r="D17">
            <v>41.2</v>
          </cell>
        </row>
        <row r="18">
          <cell r="A18">
            <v>4</v>
          </cell>
          <cell r="B18" t="str">
            <v>MAMPOSTERIA Y ELEMENTOS NO ESTRUCTURALES</v>
          </cell>
        </row>
        <row r="19">
          <cell r="A19">
            <v>4.0999999999999996</v>
          </cell>
          <cell r="B19" t="str">
            <v>CONSTRUCCION DE MAMPOSTERIA EN LADRILLO, PERFORACION HORIZONTAL, DE 10x20x40 CM. REVITADA A DOS CARAS, SIN REBABAS. INCLUYE EL SUMINISTRO, TRANSPORTE Y COLOCACION DEL LADRILLO, EL MORTERO DE PEGA, ESPESOR DE PEGA MAX=0.02 M Y TODOS LOS ELEMENTOS NECESARIOS PARA SU CORRECTA INSTALACION.</v>
          </cell>
          <cell r="C19" t="str">
            <v>m2</v>
          </cell>
          <cell r="D19">
            <v>73.23</v>
          </cell>
        </row>
        <row r="20">
          <cell r="A20">
            <v>4.2</v>
          </cell>
          <cell r="B20" t="str">
            <v>CONSTRUCCION DE MAMPOSTERIA EN MURO CALADO DE 10X20X20 CM. EN ZONA DE BAÑOS, SEGÚN DETALLE. REVITADO A DOS CARAS, SIN REBABAS. INCLUYE EL SUMINISTRO, TRANSPORTE Y COLOCACION DEL LADRILLO, EL MORTERO DE PEGA, ESPESOR DE PEGA MAX=0.02 M Y TODOS LOS ELEMENTOS NECESARIOS PARA SU CORRECTA INSTALACION.</v>
          </cell>
          <cell r="C20" t="str">
            <v>m2</v>
          </cell>
          <cell r="D20">
            <v>0.48</v>
          </cell>
        </row>
        <row r="21">
          <cell r="A21">
            <v>4.3</v>
          </cell>
          <cell r="B21" t="str">
            <v>ENCORAZADO EN LISTON DE MADERA CHANUL</v>
          </cell>
          <cell r="C21" t="str">
            <v>m</v>
          </cell>
          <cell r="D21">
            <v>28.24</v>
          </cell>
        </row>
        <row r="22">
          <cell r="A22">
            <v>4.4000000000000004</v>
          </cell>
          <cell r="B22" t="str">
            <v>REVOQUE PARA ADECUACION DE SUPERFICIE EN ZONAS DE SALPICADERO EN COCINA Y LAVADERO PARA INSTALACIÓN DE ENCHAPE. ALTURA DE 40 CMS</v>
          </cell>
          <cell r="C22" t="str">
            <v>m2</v>
          </cell>
          <cell r="D22">
            <v>0.88</v>
          </cell>
        </row>
        <row r="23">
          <cell r="A23">
            <v>4.5</v>
          </cell>
          <cell r="B23" t="str">
            <v>MESON DE 1.20mX0.50m EN ACERO INOXIDABLE, CON POCETA DERECHA, INCLUYE 2 MACHONES DE SOPORTE. DESAGUES Y DEMAS ELEMENTOS</v>
          </cell>
          <cell r="C23" t="str">
            <v>un</v>
          </cell>
          <cell r="D23">
            <v>1</v>
          </cell>
        </row>
        <row r="24">
          <cell r="A24">
            <v>5</v>
          </cell>
          <cell r="B24" t="str">
            <v>INSTALACIONES HIDRÁULICAS E HIDROSANITARIAS</v>
          </cell>
        </row>
        <row r="25">
          <cell r="A25">
            <v>5.0999999999999996</v>
          </cell>
          <cell r="B25" t="str">
            <v>PUNTO HIDRÁULICO EN PVC-P 1/2" RDE 13.5, INCLUYE TUBERÍA PRESIÓN, ACCESORIOS, LIMPIADOR, SOLDADURA Y TODOS LOS ELEMENTOS NECESARIOS PARA SU CORRECTA INSTALACIÓN.</v>
          </cell>
          <cell r="C25" t="str">
            <v>Un</v>
          </cell>
          <cell r="D25">
            <v>4</v>
          </cell>
        </row>
        <row r="26">
          <cell r="A26">
            <v>5.2</v>
          </cell>
          <cell r="B26" t="str">
            <v>SUMINISTRO, TRANSPORTE E INSTALACIÓN DE TUBERÍA PVC-P X 1/2" RDE-13.5, INCLUYE TUBERÍA PRESIÓN, ACCESORIOS, LIMPIADOR, SOLDADURA Y TODOS LOS ELEMENTOS NECESARIOS PARA SU CORRECTA INSTALACIÓN.</v>
          </cell>
          <cell r="C26" t="str">
            <v>m</v>
          </cell>
          <cell r="D26">
            <v>10</v>
          </cell>
        </row>
        <row r="27">
          <cell r="A27">
            <v>5.3</v>
          </cell>
          <cell r="B27" t="str">
            <v>SUMINISTRO E INSTALACIÓN VÁLVULA DE BOLA EN PVC 1/2" EXTREMO SOLDADO. SE ENTREGARÁ DEBIDAMENTE INSTALADA SIN PRESENCIA DE FUGAS NI FISURAS.</v>
          </cell>
          <cell r="C27" t="str">
            <v>Un</v>
          </cell>
          <cell r="D27">
            <v>1</v>
          </cell>
        </row>
        <row r="28">
          <cell r="A28">
            <v>5.4</v>
          </cell>
          <cell r="B28" t="str">
            <v>SALIDAS SANITARIAS DE 2" INCLUYE MATERIALES, ACCESORIOS Y TODOS LOS ELEMENTOS NECESARIOS PARA SU CORRECTA INSTALACIÓN Y FUNCIONAMIENTO</v>
          </cell>
          <cell r="C28" t="str">
            <v>Un</v>
          </cell>
          <cell r="D28">
            <v>4</v>
          </cell>
        </row>
        <row r="29">
          <cell r="A29">
            <v>5.5</v>
          </cell>
          <cell r="B29" t="str">
            <v>SALIDA SANITARIA DE 4" INCLUYE MATERIALES, ACCESORIOS Y TODOS LOS ELEMENTOS NECESARIOS PARA SU CORRECTA INSTALACIÓN Y FUNCIONAMIENTO</v>
          </cell>
          <cell r="C29" t="str">
            <v>Un</v>
          </cell>
          <cell r="D29">
            <v>1</v>
          </cell>
        </row>
        <row r="30">
          <cell r="A30">
            <v>5.6</v>
          </cell>
          <cell r="B30" t="str">
            <v>RED SANITARIA DE PISO PARA EN TUBERÍA PVC-S 2", INCUYE ACCESORIOS Y TODO LO NECESARIO PARA SU CORRECTA INSTALACIÓN.</v>
          </cell>
          <cell r="C30" t="str">
            <v>m</v>
          </cell>
          <cell r="D30">
            <v>4.5</v>
          </cell>
        </row>
        <row r="31">
          <cell r="A31">
            <v>5.7</v>
          </cell>
          <cell r="B31" t="str">
            <v>RED SANITARIA DE PISO EN TUBERÍA PVC-S 4", INCUYE ACCESORIOS Y TODO LO NECESARIO PARA SU CORRECTA INSTALACIÓN. SOMETIDA AL SISTEMA YA PRESURIZADO.</v>
          </cell>
          <cell r="C31" t="str">
            <v>m</v>
          </cell>
          <cell r="D31">
            <v>14</v>
          </cell>
        </row>
        <row r="32">
          <cell r="A32">
            <v>5.8</v>
          </cell>
          <cell r="B32" t="str">
            <v>SUMINISTRO E INSTALACIÓN DE RED SANITARIA DE VENTILACIÓN EN PVC-S 2". INCUYE ACCESORIOS Y TODO LO NECESARIO PARA SU CORRECTA INSTALACIÓN.</v>
          </cell>
          <cell r="C32" t="str">
            <v>m</v>
          </cell>
          <cell r="D32">
            <v>3.5</v>
          </cell>
        </row>
        <row r="33">
          <cell r="A33">
            <v>5.9</v>
          </cell>
          <cell r="B33" t="str">
            <v>CONSTRUCCIÓN DE CAJA DE EMPALME, DIMENSIONES DE 0,5 M X 0,5 MTS, CON ALTURA DE 0,7 M-ESPESOR DE PAREDES 0,1 MTS.  INCLUYE: HERRAJE PARA TAPA, CAÑUELA Y TODOS LOS MATERIALES INDICADOS EN EL PLANO, MANO DE OBRA, HERRAMIENTAS, FORMALETA, EQUIPO, CONCRETO DE 21 MPA, TODOS LOS DEMÁS ELEMENTOS NECESARIOS PARA EL NORMAL DESARROLLO DE LA ACTIVIDAD.</v>
          </cell>
          <cell r="C33" t="str">
            <v>Un</v>
          </cell>
          <cell r="D33">
            <v>1</v>
          </cell>
        </row>
        <row r="34">
          <cell r="A34">
            <v>6</v>
          </cell>
          <cell r="B34" t="str">
            <v>INSTALACIONES ELECTRICAS</v>
          </cell>
        </row>
        <row r="35">
          <cell r="A35">
            <v>6.1</v>
          </cell>
          <cell r="B35" t="str">
            <v xml:space="preserve">SUMINISTRO E INSTALACIÓN DE  TOMA CORRIENTE 125V DOBLE CON POLO A TIERRA, 15A. </v>
          </cell>
          <cell r="C35" t="str">
            <v>Un</v>
          </cell>
          <cell r="D35">
            <v>11</v>
          </cell>
        </row>
        <row r="36">
          <cell r="A36">
            <v>6.2</v>
          </cell>
          <cell r="B36" t="str">
            <v>SUMINISTRO E INSTALACIÓN DE TOMAS GFCI.</v>
          </cell>
          <cell r="C36" t="str">
            <v>Un</v>
          </cell>
          <cell r="D36">
            <v>2</v>
          </cell>
        </row>
        <row r="37">
          <cell r="A37">
            <v>6.3</v>
          </cell>
          <cell r="B37" t="str">
            <v>SUMINISTRO E INSTALACIÓN DE INTERRUPTOR SENCILLO.</v>
          </cell>
          <cell r="C37" t="str">
            <v>Un</v>
          </cell>
          <cell r="D37">
            <v>6</v>
          </cell>
        </row>
        <row r="38">
          <cell r="A38">
            <v>6.4</v>
          </cell>
          <cell r="B38" t="str">
            <v>SUMINISTRO E INSTALACIÓN DE INTERRUPTOR DOBLE</v>
          </cell>
          <cell r="C38" t="str">
            <v>Un</v>
          </cell>
          <cell r="D38">
            <v>1</v>
          </cell>
        </row>
        <row r="39">
          <cell r="A39">
            <v>6.5</v>
          </cell>
          <cell r="B39" t="str">
            <v>SUMINISTRO E INSTALACIÓN DE PLAFONES - SALIDAS PARA ILUMINACION.</v>
          </cell>
          <cell r="C39" t="str">
            <v>Un</v>
          </cell>
          <cell r="D39">
            <v>8</v>
          </cell>
        </row>
        <row r="40">
          <cell r="A40">
            <v>6.6</v>
          </cell>
          <cell r="B40" t="str">
            <v>SUMINISTRO E INSTALACIÓN DE PROTECCION DEL CIRCUITO DE 1X20 A.</v>
          </cell>
          <cell r="C40" t="str">
            <v>Un</v>
          </cell>
          <cell r="D40">
            <v>4</v>
          </cell>
        </row>
        <row r="41">
          <cell r="A41">
            <v>6.7</v>
          </cell>
          <cell r="B41" t="str">
            <v>SUMINISTRO E INSTALACIÓN DE PROTECCION DEL CIRCUITO DE 1X30 A.</v>
          </cell>
          <cell r="C41" t="str">
            <v>Un</v>
          </cell>
          <cell r="D41">
            <v>1</v>
          </cell>
        </row>
        <row r="42">
          <cell r="A42">
            <v>6.8</v>
          </cell>
          <cell r="B42" t="str">
            <v>SUMINISTRO E INSTALACIÓN DE CABLE  ANTIFRAUDE  2 No. 8  Cu THWN  + 1 No. 10 Cu THWN.</v>
          </cell>
          <cell r="C42" t="str">
            <v>m</v>
          </cell>
          <cell r="D42">
            <v>12</v>
          </cell>
        </row>
        <row r="43">
          <cell r="A43">
            <v>6.9</v>
          </cell>
          <cell r="B43" t="str">
            <v xml:space="preserve">SUMINISTRO E INSTALACIÓN DE TUBERIA PVC 1/2 PULGADA </v>
          </cell>
          <cell r="C43" t="str">
            <v>m</v>
          </cell>
          <cell r="D43">
            <v>70</v>
          </cell>
        </row>
        <row r="44">
          <cell r="A44" t="str">
            <v>6.10</v>
          </cell>
          <cell r="B44" t="str">
            <v>SUMINISTRO E INSTALACIÓN DE CABLE DE COBRE 12AWG-CU-THHN-THWN 90°C</v>
          </cell>
          <cell r="C44" t="str">
            <v>m</v>
          </cell>
          <cell r="D44">
            <v>230</v>
          </cell>
        </row>
        <row r="45">
          <cell r="A45">
            <v>6.11</v>
          </cell>
          <cell r="B45" t="str">
            <v>SUMINISTRO E INSTALACIÓN DE ACCESORIOS, FIJACIONES Y TODOS LOS ELEMENTOS PARA SU CORRECTA INSTALACIÓN. LOS MATERIALES DEBEN CUMPLIR CON CERTIFICACION RETIE.</v>
          </cell>
          <cell r="C45" t="str">
            <v>Un</v>
          </cell>
          <cell r="D45">
            <v>27</v>
          </cell>
        </row>
        <row r="46">
          <cell r="A46">
            <v>6.12</v>
          </cell>
          <cell r="B46" t="str">
            <v>SUMINISTRO E INSTALACIÓN DE CAJAS PVC CON TAPA SUPLEMENTO Y  TODOS LOS ELEMENTOS PARA SU CORRECTA INSTALACIÓN. LOS MATERIALES DEBEN CUMPLIR CON CERTIFICACION RETIE.</v>
          </cell>
          <cell r="C46" t="str">
            <v>Un</v>
          </cell>
          <cell r="D46">
            <v>11</v>
          </cell>
        </row>
        <row r="47">
          <cell r="A47">
            <v>6.13</v>
          </cell>
          <cell r="B47" t="str">
            <v>SUMINISTRO E INSTALACIÓN DE CONTADOR BIFASICO CON TODOS LOS ELEMENTOS PARA SU CORRECTA INSTALACIÓN. LOS MATERIALES DEBEN CUMPLIR CON CERTIFICACION RETIE.</v>
          </cell>
          <cell r="C47" t="str">
            <v>Un</v>
          </cell>
          <cell r="D47">
            <v>1</v>
          </cell>
        </row>
        <row r="48">
          <cell r="A48">
            <v>6.14</v>
          </cell>
          <cell r="B48" t="str">
            <v>SUMINISTRO E INSTALACIÓN DE VARILLA DE PUESTA A TIERRA, CON CONECTOR Y CABLE.  DEBE CUMPLIR CON CERTIFICACION RETIE.</v>
          </cell>
          <cell r="C48" t="str">
            <v>Un</v>
          </cell>
          <cell r="D48">
            <v>1</v>
          </cell>
        </row>
        <row r="49">
          <cell r="A49">
            <v>6.15</v>
          </cell>
          <cell r="B49" t="str">
            <v>SUMINISTRO E INSTALACIÓN DE TABLERO DE DISTRIBUCIÓN CON TODOS LOS ELEMENTOS PARA SU CORRECTA INSTALACIÓN. LOS MATERIALES DEBEN CUMPLIR CON CERTIFICACION RETIE.</v>
          </cell>
          <cell r="C49" t="str">
            <v>Un</v>
          </cell>
          <cell r="D49">
            <v>1</v>
          </cell>
        </row>
        <row r="50">
          <cell r="A50">
            <v>7</v>
          </cell>
          <cell r="B50" t="str">
            <v>ENCHAPES Y ACABADOS</v>
          </cell>
        </row>
        <row r="51">
          <cell r="A51">
            <v>7.1</v>
          </cell>
          <cell r="B51" t="str">
            <v>ENCHAPE EN CERAMICA PARA DUCHA EN PISO, COLOR BLANCO. INCLUYE MORTERO DE E=2 CM, RELACION 1:4 MAS IMPERBEALIZANTE INTEGRAL TIPO SIKA 1 O EQUIVALENTE, LECHADA, PEGA Y TODO LO NECESARIO PARA SU CORRECTA INSTALACION</v>
          </cell>
          <cell r="C51" t="str">
            <v>m2</v>
          </cell>
          <cell r="D51">
            <v>2.2799999999999998</v>
          </cell>
        </row>
        <row r="52">
          <cell r="A52">
            <v>7.2</v>
          </cell>
          <cell r="B52" t="str">
            <v>ENCHAPE CERAMICO EN PARED EN EL AREA DE  LA DUCHA, COLOR BLANCO. INCLUYE MATERIAL DE PEGA, LECHADA, LIMPIEZA Y TODO LO NECESARIO PARA SU CORRECTA INSTALACION. ALTURA DE 1,80 M</v>
          </cell>
          <cell r="C52" t="str">
            <v>m2</v>
          </cell>
          <cell r="D52">
            <v>5.92</v>
          </cell>
        </row>
        <row r="53">
          <cell r="A53">
            <v>7.3</v>
          </cell>
          <cell r="B53" t="str">
            <v>APLICACION DE PINTURA VINILICA PARA EXTERIORES (TIPO KORAZA O SIMILAR) SOBRE ADOBE EN FACHADA, DOS MANOS, COLOR A DEFINIR. INCLUYE ADECUACION DE LA SUPERFICIE ANTES DE APLICACION, LIMPIEZA DE SUPERFICIE, RESANES DE PERFORACIONES MENORES, APLICACION FINAL Y TODO LO NECESARIO PARA SU CORRECTO ACABADO.</v>
          </cell>
          <cell r="C53" t="str">
            <v>m2</v>
          </cell>
          <cell r="D53">
            <v>18.559999999999999</v>
          </cell>
        </row>
        <row r="54">
          <cell r="A54">
            <v>8</v>
          </cell>
          <cell r="B54" t="str">
            <v>CUBIERTA</v>
          </cell>
        </row>
        <row r="55">
          <cell r="A55">
            <v>8.1</v>
          </cell>
          <cell r="B55" t="str">
            <v>SUMINISTRO, TRANSPORTE E INSTALACION DE CUBIERTA EN TEJA ECOROOF, INCLUYE SISTEMAS DE ANCLAJE A ELEMENTOS ESTRUCTURALES Y DE FIJACION. LA MEDIDA SERA TOMADA EN PENDIENTE DE CUBIERTA.</v>
          </cell>
          <cell r="C55" t="str">
            <v>m2</v>
          </cell>
          <cell r="D55">
            <v>54.56</v>
          </cell>
        </row>
        <row r="56">
          <cell r="A56">
            <v>8.1999999999999993</v>
          </cell>
          <cell r="B56" t="str">
            <v>SUMINISTRO E INSTALACIÓN DE CORREAS METÁLICAS PHR C 120X60X1.2mm.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C56" t="str">
            <v>m</v>
          </cell>
          <cell r="D56">
            <v>25.2</v>
          </cell>
        </row>
        <row r="57">
          <cell r="A57">
            <v>8.3000000000000007</v>
          </cell>
          <cell r="B57" t="str">
            <v>SUMINISTRO E INSTALACIÓN DE CORREAS METÁLICAS PHR C 120X60X3.0mm.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C57" t="str">
            <v>m</v>
          </cell>
          <cell r="D57">
            <v>25.2</v>
          </cell>
        </row>
        <row r="58">
          <cell r="A58">
            <v>8.4</v>
          </cell>
          <cell r="B58" t="str">
            <v>SUMINISTRO E INSTALACIÓN DE COLUMNA METÁLICA PTS 100X100X4mm.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C58" t="str">
            <v>m</v>
          </cell>
          <cell r="D58">
            <v>2.4</v>
          </cell>
        </row>
        <row r="59">
          <cell r="A59">
            <v>9</v>
          </cell>
          <cell r="B59" t="str">
            <v>APARATOS Y MUEBLES ESPECIALES</v>
          </cell>
        </row>
        <row r="60">
          <cell r="A60">
            <v>9.1</v>
          </cell>
          <cell r="B60" t="str">
            <v>SUMINISTRO E INSTALACION DE REJILLA DE PISO CUADRADA PARA DUCHA 2". INCLUYE MATERIAL DE PEGA Y TODO LO NECESARIO PARA SU CORRECTA INSTALACION.</v>
          </cell>
          <cell r="C60" t="str">
            <v>Un</v>
          </cell>
          <cell r="D60">
            <v>2</v>
          </cell>
        </row>
        <row r="61">
          <cell r="A61">
            <v>9.1999999999999993</v>
          </cell>
          <cell r="B61" t="str">
            <v>SANITARIO ECONÓMICO, INCLUYE ACCESORIOS Y TODOS LOS MATERIALES NECESARIOS PARA SU CORRECTA EJECUCION.</v>
          </cell>
          <cell r="C61" t="str">
            <v>Un</v>
          </cell>
          <cell r="D61">
            <v>1</v>
          </cell>
        </row>
        <row r="62">
          <cell r="A62">
            <v>9.3000000000000007</v>
          </cell>
          <cell r="B62" t="str">
            <v>GRIFERIA SENCILLA PARA DUCHA. COMPRENDE EL SUMINISTRO E INSTALACION DE GRIFERIA SENCILLA (MONOCONTROL) REFERENCIA PISCIS O EQUIVALENTE.</v>
          </cell>
          <cell r="C62" t="str">
            <v>Un</v>
          </cell>
          <cell r="D62">
            <v>1</v>
          </cell>
        </row>
        <row r="63">
          <cell r="A63">
            <v>9.4</v>
          </cell>
          <cell r="B63" t="str">
            <v>GRIFERIA SENCILLA PARA LAVAPLATOS. COMPRENDE EL SUMINISTRO E INSTALACION DE GRIFERIA SENCILLA TIPO CUELLO DE GANSO (MONOCONTROL) REFERENCIA PISCIS O EQUIVALENTE.</v>
          </cell>
          <cell r="C63" t="str">
            <v>Un</v>
          </cell>
          <cell r="D63">
            <v>1</v>
          </cell>
        </row>
        <row r="64">
          <cell r="A64">
            <v>9.5</v>
          </cell>
          <cell r="B64" t="str">
            <v>SUMINISTRO, TRANSPORTE E INSTALACION DE LAVADERO DE 100X60 CM EN GRANO BLANCO; INCLUYE MURETES DE SOPORTE.</v>
          </cell>
          <cell r="C64" t="str">
            <v>Un</v>
          </cell>
          <cell r="D64">
            <v>1</v>
          </cell>
        </row>
        <row r="65">
          <cell r="A65">
            <v>10</v>
          </cell>
          <cell r="B65" t="str">
            <v>CARPINTERIA EN MADERA</v>
          </cell>
        </row>
        <row r="66">
          <cell r="A66">
            <v>10.1</v>
          </cell>
          <cell r="B66" t="str">
            <v>SUMINISTRO DE PUERTA EN MADERA TIPO ECONOMICA DE 1.00X2.10 M, INCLUYE MARCO, CHAPA ECONOMICA, BISAGRAS Y DEMAS ELEMENTOS PARA SU CORRECTO FUNCIONAMIENTO.</v>
          </cell>
          <cell r="C66" t="str">
            <v>Un</v>
          </cell>
          <cell r="D66">
            <v>2</v>
          </cell>
        </row>
        <row r="67">
          <cell r="A67">
            <v>10.199999999999999</v>
          </cell>
          <cell r="B67" t="str">
            <v>SUMINISTRO DE PUERTA EN MADERA TIPO ECONOMICA DE 0.80X2.10 M, INCLUYE MARCO, CHAPA ECONOMICA, BISAGRAS Y DEMAS ELEMENTOS PARA SU CORRECTO FUNCIONAMIENTO.</v>
          </cell>
          <cell r="C67" t="str">
            <v>Un</v>
          </cell>
          <cell r="D67">
            <v>1</v>
          </cell>
        </row>
        <row r="68">
          <cell r="A68">
            <v>10.3</v>
          </cell>
          <cell r="B68" t="str">
            <v>SUMINISTRO DE VENTANA EN MADERA TIPO ECONOMICA DE 1.20X1.40 M, INCLUYE MARCO, BISAGRAS Y DEMAS ELEMENTOS PARA SU CORRECTO FUNCIONAMIENTO.</v>
          </cell>
          <cell r="C68" t="str">
            <v>Un</v>
          </cell>
          <cell r="D68">
            <v>3</v>
          </cell>
        </row>
        <row r="69">
          <cell r="A69">
            <v>10.4</v>
          </cell>
          <cell r="B69" t="str">
            <v>SUMINISTRO DE VENTANA EN MADERA TIPO ECONOMICA DE 1.20X1.20 M, INCLUYE MARCO, BISAGRAS Y DEMAS ELEMENTOS PARA SU CORRECTO FUNCIONAMIENTO.</v>
          </cell>
          <cell r="C69" t="str">
            <v>Un</v>
          </cell>
          <cell r="D69">
            <v>1</v>
          </cell>
        </row>
        <row r="70">
          <cell r="A70">
            <v>11</v>
          </cell>
          <cell r="B70" t="str">
            <v>SISTEMA SÉPTICO</v>
          </cell>
        </row>
        <row r="71">
          <cell r="A71">
            <v>11.1</v>
          </cell>
          <cell r="B71" t="str">
            <v xml:space="preserve">SISTEMA SÉPTICO EN POLIETILENO, COMPUESTO POR: TRAMPA DE GRASAS 250L, TANQUE SÉPTICO DE 1000L Y TANQUE PARA FILTRO ANAERÓBICO DE FLUJO ASCENDENTE -FAFA 1000L. INCUYE ACCESORIOS Y TODOS LOS ELEMENTOS NECESARIOS PARA SU CORRECTA INSTALACIÓN. SISTEMA DISEÑADO CONFORME AL RAS – RESOLUCIÓN 0330 DE 2017 Y PREFABRICADO CONFORME A LA NTC 4384. </v>
          </cell>
          <cell r="C71" t="str">
            <v>Un</v>
          </cell>
          <cell r="D71">
            <v>1</v>
          </cell>
        </row>
        <row r="72">
          <cell r="A72">
            <v>11.2</v>
          </cell>
          <cell r="B72" t="str">
            <v>CONSTRUCCION DE POZO DE ABSORCION DE 1.50 M X 1.50 M (PROFUNDIDAD DE REFERENCIA 2,0 M) EN MAMPOSTERIA CONSTRUIDO EN SITIO, PARA MANEJO DE CLARIFICANTE Y DISPOSICION FINAL; INCLUYE EXCAVACION, ACCESORIOS PVC, CONCRETO, FORMALETAS Y TAPA</v>
          </cell>
          <cell r="C72" t="str">
            <v>Un</v>
          </cell>
          <cell r="D72">
            <v>1</v>
          </cell>
        </row>
      </sheetData>
      <sheetData sheetId="1" refreshError="1"/>
      <sheetData sheetId="2">
        <row r="40">
          <cell r="E40">
            <v>56</v>
          </cell>
        </row>
      </sheetData>
      <sheetData sheetId="3">
        <row r="5">
          <cell r="B5" t="str">
            <v>Ítem</v>
          </cell>
        </row>
      </sheetData>
      <sheetData sheetId="4" refreshError="1"/>
      <sheetData sheetId="5">
        <row r="4">
          <cell r="B4" t="str">
            <v>ITEM</v>
          </cell>
        </row>
      </sheetData>
      <sheetData sheetId="6" refreshError="1"/>
      <sheetData sheetId="7" refreshError="1"/>
      <sheetData sheetId="8">
        <row r="4">
          <cell r="B4" t="str">
            <v>COD</v>
          </cell>
        </row>
      </sheetData>
      <sheetData sheetId="9">
        <row r="5">
          <cell r="B5" t="str">
            <v>1N140</v>
          </cell>
        </row>
      </sheetData>
      <sheetData sheetId="10">
        <row r="37">
          <cell r="C37">
            <v>1000000</v>
          </cell>
        </row>
        <row r="44">
          <cell r="C44">
            <v>66666.666666666672</v>
          </cell>
        </row>
      </sheetData>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ITEMS DEF"/>
      <sheetName val="1-Resumen Ejecutivo"/>
      <sheetName val="2.1-Presupuesto VNR"/>
      <sheetName val="3.1-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10-Propuesta de Giro SGR"/>
      <sheetName val="12-Flujo de inversion"/>
      <sheetName val="Polizas"/>
      <sheetName val="Salar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DEF ACT"/>
      <sheetName val="EJEC PPTAL"/>
      <sheetName val="ELEC"/>
      <sheetName val="CALC CANT"/>
      <sheetName val="APUS"/>
      <sheetName val="Insumos"/>
      <sheetName val="Auxiliares"/>
      <sheetName val="Muebles Ruben"/>
      <sheetName val="CANT MUEBLES"/>
      <sheetName val="Hoja1"/>
      <sheetName val="Enchapes"/>
      <sheetName val="Hoja3"/>
      <sheetName val="Enchapes DEF"/>
      <sheetName val="Cerrajeria"/>
      <sheetName val="Cerrajeria (2)"/>
      <sheetName val="O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BRA"/>
      <sheetName val="CRONOGRAMA FINANCIERO"/>
      <sheetName val="PPTO OBRA AUXILIAR"/>
      <sheetName val="PPTO CAPITULOS"/>
      <sheetName val="APUs"/>
      <sheetName val="PMA"/>
      <sheetName val="FACTOR PRESTACIONAL"/>
      <sheetName val="AIU"/>
      <sheetName val="PMT"/>
      <sheetName val="INTERVENTORIA"/>
      <sheetName val="F.M."/>
      <sheetName val="Concretos"/>
      <sheetName val="MATERIALES"/>
      <sheetName val="CUADRILLAS"/>
      <sheetName val="TRANSPORTE"/>
      <sheetName val="EQUIPOS"/>
      <sheetName val="DATOS ENTR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DIAGNOSTICO"/>
      <sheetName val="FORMATO PPTO DE CIERRE"/>
      <sheetName val="MATRIZ"/>
      <sheetName val="APU"/>
      <sheetName val="LISTADO DE MATERIAL"/>
      <sheetName val="ANALIS JORNAL REAL"/>
    </sheetNames>
    <sheetDataSet>
      <sheetData sheetId="0">
        <row r="1">
          <cell r="I1">
            <v>1300000</v>
          </cell>
        </row>
      </sheetData>
      <sheetData sheetId="1"/>
      <sheetData sheetId="2">
        <row r="1">
          <cell r="A1" t="str">
            <v>N°</v>
          </cell>
          <cell r="B1" t="str">
            <v xml:space="preserve">DESCRIPCIÓN </v>
          </cell>
          <cell r="C1" t="str">
            <v>UN</v>
          </cell>
          <cell r="D1" t="str">
            <v>VALOR UNITARIO 2024</v>
          </cell>
        </row>
        <row r="2">
          <cell r="A2" t="str">
            <v>1</v>
          </cell>
          <cell r="B2" t="str">
            <v xml:space="preserve">PRELIMINARES </v>
          </cell>
          <cell r="C2"/>
          <cell r="D2"/>
        </row>
        <row r="3">
          <cell r="A3" t="str">
            <v>101</v>
          </cell>
          <cell r="B3" t="str">
            <v xml:space="preserve">DEMOLICIONES </v>
          </cell>
          <cell r="C3"/>
          <cell r="D3"/>
        </row>
        <row r="4">
          <cell r="A4" t="str">
            <v>10101</v>
          </cell>
          <cell r="B4" t="str">
            <v>Demolicion de muro lad. 10-15, incluye botada</v>
          </cell>
          <cell r="C4" t="str">
            <v>M2</v>
          </cell>
          <cell r="D4">
            <v>36519.094505000001</v>
          </cell>
        </row>
        <row r="5">
          <cell r="A5" t="str">
            <v>10102</v>
          </cell>
          <cell r="B5" t="str">
            <v>Demolicion piso mortero (0 - 20 cm), incluye botada</v>
          </cell>
          <cell r="C5" t="str">
            <v>M2</v>
          </cell>
          <cell r="D5">
            <v>23108.914624999998</v>
          </cell>
        </row>
        <row r="6">
          <cell r="A6" t="str">
            <v>10103</v>
          </cell>
          <cell r="B6" t="str">
            <v>Demolicion enchape de muros , incluye botada</v>
          </cell>
          <cell r="C6" t="str">
            <v>M2</v>
          </cell>
          <cell r="D6">
            <v>15333.014359000001</v>
          </cell>
        </row>
        <row r="7">
          <cell r="A7" t="str">
            <v>10104</v>
          </cell>
          <cell r="B7" t="str">
            <v>Retiro aparatos sanitarios, desmonte de cabinas, puertas y ventanas (botada)</v>
          </cell>
          <cell r="C7" t="str">
            <v>UN</v>
          </cell>
          <cell r="D7">
            <v>38920.182000000001</v>
          </cell>
        </row>
        <row r="8">
          <cell r="A8" t="str">
            <v>10105</v>
          </cell>
          <cell r="B8" t="str">
            <v>Demolicion de revoque, incluye botada</v>
          </cell>
          <cell r="C8" t="str">
            <v>M2</v>
          </cell>
          <cell r="D8">
            <v>15507.480500000001</v>
          </cell>
        </row>
        <row r="9">
          <cell r="A9" t="str">
            <v>10106</v>
          </cell>
          <cell r="B9" t="str">
            <v>Demolicion de lavadero (botada)</v>
          </cell>
          <cell r="C9" t="str">
            <v>UN</v>
          </cell>
          <cell r="D9">
            <v>22715.447639999999</v>
          </cell>
        </row>
        <row r="10">
          <cell r="A10" t="str">
            <v>10107</v>
          </cell>
          <cell r="B10" t="str">
            <v>Desmonte de cubierta en Fibrocemento, Lámina Metálica, Plástico (botada)</v>
          </cell>
          <cell r="C10" t="str">
            <v>M2</v>
          </cell>
          <cell r="D10">
            <v>24994.355255000002</v>
          </cell>
        </row>
        <row r="11">
          <cell r="A11" t="str">
            <v>10108</v>
          </cell>
          <cell r="B11" t="str">
            <v>Desmonte de cubierta en teja de barro (botada)</v>
          </cell>
          <cell r="C11" t="str">
            <v>M2</v>
          </cell>
          <cell r="D11">
            <v>44703.558749999997</v>
          </cell>
        </row>
        <row r="12">
          <cell r="A12" t="str">
            <v>10109</v>
          </cell>
          <cell r="B12"/>
          <cell r="C12"/>
          <cell r="D12"/>
        </row>
        <row r="13">
          <cell r="A13" t="str">
            <v>10110</v>
          </cell>
          <cell r="B13" t="str">
            <v>Preparación de superficie de losa existente para adherencia de enchape o impermeabilización</v>
          </cell>
          <cell r="C13" t="str">
            <v>M2</v>
          </cell>
          <cell r="D13">
            <v>6563.5846999999994</v>
          </cell>
        </row>
        <row r="14">
          <cell r="A14" t="str">
            <v>10111</v>
          </cell>
          <cell r="B14" t="str">
            <v>Buitron de 3" en losa aligerada</v>
          </cell>
          <cell r="C14" t="str">
            <v>UN</v>
          </cell>
          <cell r="D14">
            <v>206669.57500000001</v>
          </cell>
        </row>
        <row r="15">
          <cell r="A15" t="str">
            <v>10112</v>
          </cell>
          <cell r="B15" t="str">
            <v>Rocería</v>
          </cell>
          <cell r="C15" t="str">
            <v>M2</v>
          </cell>
          <cell r="D15">
            <v>4078.2345</v>
          </cell>
        </row>
        <row r="16">
          <cell r="A16" t="str">
            <v>10113</v>
          </cell>
          <cell r="B16" t="str">
            <v>Instalación de CERRAMIENTO PROVISIONAL en tela verde con una altura de 2,1 m. Incluye suministro, transporte e instalación de la tela, estructura en taco de madera común, concreto de 17.5 Mpa para fijación de estructura en madera común, excavación manual en cualquier material, cargue, transporte y botada de material y todos los demás elementos necesarios para su correcta instalación.</v>
          </cell>
          <cell r="C16" t="str">
            <v>M</v>
          </cell>
          <cell r="D16">
            <v>13457.967250000002</v>
          </cell>
        </row>
        <row r="17">
          <cell r="A17" t="str">
            <v>10114</v>
          </cell>
          <cell r="B17" t="str">
            <v>Preparación de superficie de muro para aplicación de revoque, incluye retiro de pinturas , cal y/o superficies contaminadas, hasta garantizar la adherencia del revoque nuevo en la superficie.</v>
          </cell>
          <cell r="C17" t="str">
            <v>M2</v>
          </cell>
          <cell r="D17">
            <v>2437.2106000000003</v>
          </cell>
        </row>
        <row r="18">
          <cell r="A18" t="str">
            <v>10115</v>
          </cell>
          <cell r="B18" t="str">
            <v>Demolicion piso mortero y enchape de piso, incluye botada</v>
          </cell>
          <cell r="C18" t="str">
            <v>M2</v>
          </cell>
          <cell r="D18">
            <v>27407.288500000002</v>
          </cell>
        </row>
        <row r="19">
          <cell r="A19" t="str">
            <v>10116</v>
          </cell>
          <cell r="B19" t="str">
            <v>Demolicion enchape de piso , incluye botada</v>
          </cell>
          <cell r="C19" t="str">
            <v>M2</v>
          </cell>
          <cell r="D19">
            <v>10156.00345</v>
          </cell>
        </row>
        <row r="20">
          <cell r="A20" t="str">
            <v>10202</v>
          </cell>
          <cell r="B20" t="str">
            <v>VOLADURA DE ROCA EN FRIO con CEMENTO DEMOLEDOR no explosivo tipo CRAS o equivalente con diámetro de perforación de 30mm</v>
          </cell>
          <cell r="C20" t="str">
            <v>M3</v>
          </cell>
          <cell r="D20">
            <v>493200.91694999998</v>
          </cell>
        </row>
        <row r="21">
          <cell r="A21" t="str">
            <v>10203</v>
          </cell>
          <cell r="B21" t="str">
            <v>Demolición de concreto reforzado, incluye desembombe y botada</v>
          </cell>
          <cell r="C21" t="str">
            <v>M3</v>
          </cell>
          <cell r="D21">
            <v>331648.5</v>
          </cell>
        </row>
        <row r="22">
          <cell r="A22" t="str">
            <v>102</v>
          </cell>
          <cell r="B22" t="str">
            <v xml:space="preserve">EXCAVACIONES </v>
          </cell>
          <cell r="C22"/>
          <cell r="D22"/>
        </row>
        <row r="23">
          <cell r="A23" t="str">
            <v>10201</v>
          </cell>
          <cell r="B23" t="str">
            <v>Excavacion  manual  de  0 a  2 m  en material heterogeneo (incluye botada)</v>
          </cell>
          <cell r="C23" t="str">
            <v>M3</v>
          </cell>
          <cell r="D23">
            <v>155638.03333333333</v>
          </cell>
        </row>
        <row r="24">
          <cell r="A24" t="str">
            <v>103</v>
          </cell>
          <cell r="B24" t="str">
            <v>LLENOS</v>
          </cell>
          <cell r="C24"/>
          <cell r="D24"/>
        </row>
        <row r="25">
          <cell r="A25" t="str">
            <v>10301</v>
          </cell>
          <cell r="B25" t="str">
            <v>Llenos en arenilla compactada</v>
          </cell>
          <cell r="C25" t="str">
            <v>M3</v>
          </cell>
          <cell r="D25">
            <v>102033.9126</v>
          </cell>
        </row>
        <row r="26">
          <cell r="A26" t="str">
            <v>10302</v>
          </cell>
          <cell r="B26" t="str">
            <v>Lleno con piedra de canto rodado</v>
          </cell>
          <cell r="C26" t="str">
            <v>M3</v>
          </cell>
          <cell r="D26">
            <v>153309.24000000002</v>
          </cell>
        </row>
        <row r="27">
          <cell r="A27" t="str">
            <v>2</v>
          </cell>
          <cell r="B27" t="str">
            <v xml:space="preserve">CONCRETOS </v>
          </cell>
          <cell r="C27"/>
          <cell r="D27"/>
        </row>
        <row r="28">
          <cell r="A28" t="str">
            <v>20101</v>
          </cell>
          <cell r="B28" t="str">
            <v xml:space="preserve">Suministro y colocación de Entresuelo en piedra e=10cm </v>
          </cell>
          <cell r="C28" t="str">
            <v>M2</v>
          </cell>
          <cell r="D28">
            <v>43199.033129999996</v>
          </cell>
        </row>
        <row r="29">
          <cell r="A29" t="str">
            <v>20102</v>
          </cell>
          <cell r="B29" t="str">
            <v>Mortero de nivelación para piso 1:5 preparado en obra, Incluye malla electrosoldada D-50 y todos los materiales necerios para su correcta ejecucion.</v>
          </cell>
          <cell r="C29" t="str">
            <v>M3</v>
          </cell>
          <cell r="D29">
            <v>887337.09197999991</v>
          </cell>
        </row>
        <row r="30">
          <cell r="A30" t="str">
            <v>20103</v>
          </cell>
          <cell r="B30" t="str">
            <v>Mortero de nivelación para piso 1:5, Incluye los materiales necesarios para su correcta ejecucion.</v>
          </cell>
          <cell r="C30" t="str">
            <v>M3</v>
          </cell>
          <cell r="D30">
            <v>836501.95313999988</v>
          </cell>
        </row>
        <row r="31">
          <cell r="A31" t="str">
            <v>20104</v>
          </cell>
          <cell r="B31" t="str">
            <v>Pisos en cemento esmaltado mortero  1:4 , e= 0,08 m, juntas inducidas, sellador elástico de poliuretano hasta una profundidad de 5mm, limpieza de la junta,garantizar acabado uniforme, incluye refruerzo y todos los materiales necesario para su correcta ejecución.</v>
          </cell>
          <cell r="C31" t="str">
            <v>M2</v>
          </cell>
          <cell r="D31">
            <v>111396.78899999999</v>
          </cell>
        </row>
        <row r="32">
          <cell r="A32" t="str">
            <v>20105</v>
          </cell>
          <cell r="B32" t="str">
            <v>Viga superior para techo seccion de 0,10 m x 0,20 m, incluye refuerzo, figuracion y todos los materiales necesario para su correcta ejecución.</v>
          </cell>
          <cell r="C32" t="str">
            <v>M</v>
          </cell>
          <cell r="D32">
            <v>107408.14380000001</v>
          </cell>
        </row>
        <row r="33">
          <cell r="A33" t="str">
            <v>20106</v>
          </cell>
          <cell r="B33" t="str">
            <v>Viga superior para techo sección de 0,12 m x 0,20 m, incluye refruerzo y todos los materiales necesario para su correcta ejecución.</v>
          </cell>
          <cell r="C33" t="str">
            <v>M</v>
          </cell>
          <cell r="D33">
            <v>113913.40823999999</v>
          </cell>
        </row>
        <row r="34">
          <cell r="A34" t="str">
            <v>20107</v>
          </cell>
          <cell r="B34" t="str">
            <v>Viga superior para techo seccion de 0,15 m x 0,20 m, incluye refruerzo y todos los materiales necesario para su correcta ejecución.</v>
          </cell>
          <cell r="C34" t="str">
            <v>M</v>
          </cell>
          <cell r="D34">
            <v>119459.93724</v>
          </cell>
        </row>
        <row r="35">
          <cell r="A35" t="str">
            <v>20108</v>
          </cell>
          <cell r="B35" t="str">
            <v>Escalera en Concreto de 3.000 Psi, espesor de losa o alma e=0.08m. incluye refruerzo y todos los materiales necesario para su correcta ejecución. No incluye Acabados</v>
          </cell>
          <cell r="C35" t="str">
            <v>M3</v>
          </cell>
          <cell r="D35">
            <v>1641037.5116999997</v>
          </cell>
        </row>
        <row r="36">
          <cell r="A36" t="str">
            <v>20109</v>
          </cell>
          <cell r="B36" t="str">
            <v>Viga de Amarre Fundacion de 0,30 m x 0.30 m.  Concreto 3.000 Psi. incluye refruerzo y todos los materiales necesarios para su correcta ejecución</v>
          </cell>
          <cell r="C36" t="str">
            <v>M</v>
          </cell>
          <cell r="D36">
            <v>175951.18026000002</v>
          </cell>
        </row>
        <row r="37">
          <cell r="A37" t="str">
            <v>20110</v>
          </cell>
          <cell r="B37" t="str">
            <v>Viga cinta para techo seccion de 0,10 m x 0,12 m, incluye refruerzo y todos los materiales necesario para su correcta ejecución.</v>
          </cell>
          <cell r="C37" t="str">
            <v>M</v>
          </cell>
          <cell r="D37">
            <v>73956.169800000003</v>
          </cell>
        </row>
        <row r="38">
          <cell r="A38" t="str">
            <v>20111</v>
          </cell>
          <cell r="B38" t="str">
            <v>Columnas en concreto 0,12 x 0,20, incluye refuerzo</v>
          </cell>
          <cell r="C38" t="str">
            <v>M</v>
          </cell>
          <cell r="D38">
            <v>98882.59626000002</v>
          </cell>
        </row>
        <row r="39">
          <cell r="A39" t="str">
            <v>20112</v>
          </cell>
          <cell r="B39" t="str">
            <v>Columna en concreto de 0.20 m x 0.20 m. Concreto 3.000 Psi. incluye refruerzo y todos los materiales necesario para su correcta ejecución.</v>
          </cell>
          <cell r="C39" t="str">
            <v>M</v>
          </cell>
          <cell r="D39">
            <v>132998.07312000002</v>
          </cell>
        </row>
        <row r="40">
          <cell r="A40" t="str">
            <v>20113</v>
          </cell>
          <cell r="B40" t="str">
            <v>Viga de fundación 0.30 m. x 0.30 m. en cocreto ciclópeo. Incluye todos los materiales para su correta ejecución</v>
          </cell>
          <cell r="C40" t="str">
            <v>M</v>
          </cell>
          <cell r="D40">
            <v>56616.015572160766</v>
          </cell>
        </row>
        <row r="41">
          <cell r="A41" t="str">
            <v>20114</v>
          </cell>
          <cell r="B41" t="str">
            <v>Suministro e intalación de solado de limpieza e =0.05, incluye todos los materiales necesarios para su correcta ejecución.</v>
          </cell>
          <cell r="C41" t="str">
            <v>M3</v>
          </cell>
          <cell r="D41">
            <v>649742.55084000004</v>
          </cell>
        </row>
        <row r="42">
          <cell r="A42" t="str">
            <v>20115</v>
          </cell>
          <cell r="B42" t="str">
            <v>Recinte en concreto de 21 Mpa ciclopéo 50% piedra, espesor 20 cm. Incluye todo lo necesario para su correcta construcción</v>
          </cell>
          <cell r="C42" t="str">
            <v>M</v>
          </cell>
          <cell r="D42">
            <v>181338.7535039424</v>
          </cell>
        </row>
        <row r="43">
          <cell r="A43" t="str">
            <v>20116</v>
          </cell>
          <cell r="B43" t="str">
            <v>Columnas en concreto 10X20 incluye refuerzo</v>
          </cell>
          <cell r="C43" t="str">
            <v>M</v>
          </cell>
          <cell r="D43">
            <v>104871.39579</v>
          </cell>
        </row>
        <row r="44">
          <cell r="A44" t="str">
            <v>20117</v>
          </cell>
          <cell r="B44" t="str">
            <v>Columnas en concreto 0.15 m X 0.20 m , concreto 3000 psi e incluye refuerzo y todos los materiales necesarios para su correcta ejecución.</v>
          </cell>
          <cell r="C44" t="str">
            <v>M</v>
          </cell>
          <cell r="D44">
            <v>121649.74470000001</v>
          </cell>
        </row>
        <row r="45">
          <cell r="A45" t="str">
            <v>20118</v>
          </cell>
          <cell r="B45" t="str">
            <v>Columnas en concreto 0.15 m X 0.15 m , concreto 3000 psi e incluye refuerzo y todos los materiales necesarios para su correcta ejecución.</v>
          </cell>
          <cell r="C45" t="str">
            <v>M</v>
          </cell>
          <cell r="D45">
            <v>115616.31082200001</v>
          </cell>
        </row>
        <row r="46">
          <cell r="A46" t="str">
            <v>20119</v>
          </cell>
          <cell r="B46" t="str">
            <v>Concreto de 3.000 Psi, espesor de losa e=0.08m. incluye refruerzo y todos los materiales necesario para su correcta ejecución.</v>
          </cell>
          <cell r="C46" t="str">
            <v>M3</v>
          </cell>
          <cell r="D46">
            <v>1186820.98236</v>
          </cell>
        </row>
        <row r="47">
          <cell r="A47" t="str">
            <v>20120</v>
          </cell>
          <cell r="B47" t="str">
            <v>Zapata en concreto 3000 psi e incluye refuerzo y todos los elementos necesarios para su correcta ejecución.</v>
          </cell>
          <cell r="C47" t="str">
            <v>M3</v>
          </cell>
          <cell r="D47">
            <v>1145678.4950400002</v>
          </cell>
        </row>
        <row r="48">
          <cell r="A48" t="str">
            <v>20121</v>
          </cell>
          <cell r="B48" t="str">
            <v>Pedestal 4-1/2" concreto 3000 psi e incluye refuerzo y todos los elementos necesarios para su correcta ejecución.</v>
          </cell>
          <cell r="C48" t="str">
            <v>M3</v>
          </cell>
          <cell r="D48">
            <v>1739373.3675760936</v>
          </cell>
        </row>
        <row r="49">
          <cell r="A49" t="str">
            <v>20122</v>
          </cell>
          <cell r="B49" t="str">
            <v>Columnas en concreto 0.25 m X 0.25 m , 4-1/2"  concreto 3000 psi e incluye refuerzo y todos los materiales necesarios para su correcta ejecución.</v>
          </cell>
          <cell r="C49" t="str">
            <v>M</v>
          </cell>
          <cell r="D49">
            <v>265977.36930600001</v>
          </cell>
        </row>
        <row r="50">
          <cell r="A50" t="str">
            <v>20123</v>
          </cell>
          <cell r="B50" t="str">
            <v>Columnas en concreto 0.25 m X 0.25 m , 4-5/8"  concreto 3000 psi e incluye refuerzo y todos los materiales necesarios para su correcta ejecución.</v>
          </cell>
          <cell r="C50" t="str">
            <v>M</v>
          </cell>
          <cell r="D50">
            <v>285994.94682599994</v>
          </cell>
        </row>
        <row r="51">
          <cell r="A51" t="str">
            <v>20124</v>
          </cell>
          <cell r="B51" t="str">
            <v>Columnas en concreto 0.30 m X 0.30 m , 4-5/8"  concreto 3000 psi e incluye refuerzo y todos los materiales necesarios para su correcta ejecución.</v>
          </cell>
          <cell r="C51" t="str">
            <v>M</v>
          </cell>
          <cell r="D51">
            <v>303089.68902599998</v>
          </cell>
        </row>
        <row r="52">
          <cell r="A52" t="str">
            <v>20125</v>
          </cell>
          <cell r="B52" t="str">
            <v>Losa aligerada e=15 cm</v>
          </cell>
          <cell r="C52" t="str">
            <v>M2</v>
          </cell>
          <cell r="D52">
            <v>282396.72702599998</v>
          </cell>
        </row>
        <row r="53">
          <cell r="A53" t="str">
            <v>20126</v>
          </cell>
          <cell r="B53" t="str">
            <v>Losa aligerada e=20 cm</v>
          </cell>
          <cell r="C53" t="str">
            <v>M2</v>
          </cell>
          <cell r="D53">
            <v>321144.48750600003</v>
          </cell>
        </row>
        <row r="54">
          <cell r="A54" t="str">
            <v>20127</v>
          </cell>
          <cell r="B54" t="str">
            <v>Muro de contención en bloque de 0.20 hasta h=2.40 m</v>
          </cell>
          <cell r="C54" t="str">
            <v>M2</v>
          </cell>
          <cell r="D54">
            <v>674280.07178400003</v>
          </cell>
        </row>
        <row r="55">
          <cell r="A55" t="str">
            <v>20128</v>
          </cell>
          <cell r="B55" t="str">
            <v>Columna Nueva CC2-A (0.15x0.10m) Confinante, concreto 3000 psi e incluye refuerzo y todos los materiales necesarios para su correcta ejecución.</v>
          </cell>
          <cell r="C55" t="str">
            <v>M</v>
          </cell>
          <cell r="D55">
            <v>108991.23912</v>
          </cell>
        </row>
        <row r="56">
          <cell r="A56" t="str">
            <v>20129</v>
          </cell>
          <cell r="B56" t="str">
            <v xml:space="preserve">Acero de refuerzo 1/4" #2 resistencia F´c = 6,000psi </v>
          </cell>
          <cell r="C56" t="str">
            <v>M</v>
          </cell>
          <cell r="D56">
            <v>4764.7865250000004</v>
          </cell>
        </row>
        <row r="57">
          <cell r="A57" t="str">
            <v>20130</v>
          </cell>
          <cell r="B57"/>
          <cell r="C57"/>
          <cell r="D57"/>
        </row>
        <row r="58">
          <cell r="A58" t="str">
            <v>20131</v>
          </cell>
          <cell r="B58" t="str">
            <v>Viga aerea H=2.30 en concreto 0.25 m X 0.25 m , 4-1/2"  concreto 3000 psi e incluye refuerzo y todos los materiales necesarios para su correcta ejecución.</v>
          </cell>
          <cell r="C58" t="str">
            <v>M</v>
          </cell>
          <cell r="D58">
            <v>222697.4553</v>
          </cell>
        </row>
        <row r="59">
          <cell r="A59" t="str">
            <v>20132</v>
          </cell>
          <cell r="B59" t="str">
            <v>Anclaje o fijación de barra hasta barra # 5</v>
          </cell>
          <cell r="C59" t="str">
            <v>UN</v>
          </cell>
          <cell r="D59">
            <v>37150.394208460544</v>
          </cell>
        </row>
        <row r="60">
          <cell r="A60" t="str">
            <v>20133</v>
          </cell>
          <cell r="B60" t="str">
            <v>Adherente para junta en frio (concreto existente con mortero)</v>
          </cell>
          <cell r="C60" t="str">
            <v>M2</v>
          </cell>
          <cell r="D60">
            <v>36823.000788000005</v>
          </cell>
        </row>
        <row r="61">
          <cell r="A61" t="str">
            <v>20134</v>
          </cell>
          <cell r="B61" t="str">
            <v>Encamizado en concreto para de columna de 45 X 0,05 incluye malla electrosoldada D106, acero de refuerzo 3/8" y todas las actividades para su correcta instalación</v>
          </cell>
          <cell r="C61" t="str">
            <v>M2</v>
          </cell>
          <cell r="D61">
            <v>102896.46702000001</v>
          </cell>
        </row>
        <row r="62">
          <cell r="A62" t="str">
            <v>20135</v>
          </cell>
          <cell r="B62" t="str">
            <v>Concreto ciclópeo (40% piedra, concreto 1:3:4)</v>
          </cell>
          <cell r="C62" t="str">
            <v>M3</v>
          </cell>
          <cell r="D62">
            <v>653814.39114000008</v>
          </cell>
        </row>
        <row r="63">
          <cell r="A63" t="str">
            <v>20136</v>
          </cell>
          <cell r="B63" t="str">
            <v>Viga de fundación 25X25, concreto 3000 psi e incluye refuerzo y todos los materiales necesarios para su correcta ejecución.</v>
          </cell>
          <cell r="C63" t="str">
            <v>M</v>
          </cell>
          <cell r="D63">
            <v>112020.39935999998</v>
          </cell>
        </row>
        <row r="64">
          <cell r="A64" t="str">
            <v>20137</v>
          </cell>
          <cell r="B64" t="str">
            <v>Viga de fundación 25X30, concreto 3000 psi e incluye refuerzo y todos los materiales necesarios para su correcta ejecución.</v>
          </cell>
          <cell r="C64" t="str">
            <v>M</v>
          </cell>
          <cell r="D64">
            <v>147116.42064</v>
          </cell>
        </row>
        <row r="65">
          <cell r="A65" t="str">
            <v>20138</v>
          </cell>
          <cell r="B65" t="str">
            <v xml:space="preserve">Acero de refuerzo 1/2" #4 resistencia F´c = 6,000psi </v>
          </cell>
          <cell r="C65" t="str">
            <v>M</v>
          </cell>
          <cell r="D65">
            <v>7910.8265250000004</v>
          </cell>
        </row>
        <row r="66">
          <cell r="A66" t="str">
            <v>20139</v>
          </cell>
          <cell r="B66" t="str">
            <v xml:space="preserve">Acero de refuerzo 3/8" #3 resistencia F´c = 6,000psi </v>
          </cell>
          <cell r="C66" t="str">
            <v>M</v>
          </cell>
          <cell r="D66">
            <v>6112.6265250000006</v>
          </cell>
        </row>
        <row r="67">
          <cell r="A67" t="str">
            <v>20140</v>
          </cell>
          <cell r="B67" t="str">
            <v xml:space="preserve">Losa maciza concreto 3000 psi e incluye refuerzo y todos los materiales necesarios para su correcta ejecución. e=12 cm - 3000 psi </v>
          </cell>
          <cell r="C67" t="str">
            <v>M2</v>
          </cell>
          <cell r="D67">
            <v>267648.31161000003</v>
          </cell>
        </row>
        <row r="68">
          <cell r="A68" t="str">
            <v>20141</v>
          </cell>
          <cell r="B68" t="str">
            <v>Retaque de Losa</v>
          </cell>
          <cell r="C68" t="str">
            <v>M2</v>
          </cell>
          <cell r="D68">
            <v>17186.03082</v>
          </cell>
        </row>
        <row r="69">
          <cell r="A69" t="str">
            <v>3</v>
          </cell>
          <cell r="B69" t="str">
            <v>MAMPOSTERIA</v>
          </cell>
          <cell r="C69"/>
          <cell r="D69"/>
        </row>
        <row r="70">
          <cell r="A70" t="str">
            <v>30101</v>
          </cell>
          <cell r="B70" t="str">
            <v>Mamposteria a la vista en ladrillo de 10 m x 20 m x 40 m, incluye revitado liso y limpieza  todos los materiales necesarios para su correcta ejecución</v>
          </cell>
          <cell r="C70" t="str">
            <v>M2</v>
          </cell>
          <cell r="D70">
            <v>71540.299440000003</v>
          </cell>
        </row>
        <row r="71">
          <cell r="A71" t="str">
            <v>30102</v>
          </cell>
          <cell r="B71" t="str">
            <v>Mamposteria a la vista en ladrillo de 15 m x 20 m x 40 m,  Incluye revitado liso y limpieza y todos los materiales necesarios para su correcta ejecución</v>
          </cell>
          <cell r="C71" t="str">
            <v>M2</v>
          </cell>
          <cell r="D71">
            <v>86823.710567999995</v>
          </cell>
        </row>
        <row r="72">
          <cell r="A72" t="str">
            <v>30103</v>
          </cell>
          <cell r="B72" t="str">
            <v>Sobrecimiento en bloque de concreto 15 m x 20 m x 40 cm. Incluye revitado liso y todos los materiales necesarios para su correcta ejecución.</v>
          </cell>
          <cell r="C72" t="str">
            <v>M2</v>
          </cell>
          <cell r="D72">
            <v>101462.72436000001</v>
          </cell>
        </row>
        <row r="73">
          <cell r="A73" t="str">
            <v>30104</v>
          </cell>
          <cell r="B73" t="str">
            <v>Mamposteria en adobe calado de  0,10 m x 0,20 m x 0,20 m,  Incluye revitado liso y todos los materiales necesarios para su correcta ejecución.</v>
          </cell>
          <cell r="C73" t="str">
            <v>M2</v>
          </cell>
          <cell r="D73">
            <v>131324.49615600001</v>
          </cell>
        </row>
        <row r="74">
          <cell r="A74" t="str">
            <v>30105</v>
          </cell>
          <cell r="B74" t="str">
            <v>Suministro e Instalacion de Lagrimal en concreto, Incluye todos los materiales necesarios para su correcta ejecución.</v>
          </cell>
          <cell r="C74" t="str">
            <v>M</v>
          </cell>
          <cell r="D74">
            <v>47364.319433499048</v>
          </cell>
        </row>
        <row r="75">
          <cell r="A75" t="str">
            <v>30106</v>
          </cell>
          <cell r="B75" t="str">
            <v>Muro estructural en bloque 15cm x 20 cm x 40cm, incluye dovelas cada 33 cms en varilla  de 1/2, Grauting y todos los materiales  necesarios para su correcta ejecucion.</v>
          </cell>
          <cell r="C75" t="str">
            <v>M2</v>
          </cell>
          <cell r="D75">
            <v>135887.87340000001</v>
          </cell>
        </row>
        <row r="76">
          <cell r="A76" t="str">
            <v>30107</v>
          </cell>
          <cell r="B76"/>
          <cell r="C76"/>
          <cell r="D76"/>
        </row>
        <row r="77">
          <cell r="A77" t="str">
            <v>30108</v>
          </cell>
          <cell r="B77" t="str">
            <v>Mamposteria para revoque en ladrillo de 10 m x 20 m x 40 m, incluye todos los materiales necesarios para su correcta ejecución</v>
          </cell>
          <cell r="C77" t="str">
            <v>M2</v>
          </cell>
          <cell r="D77">
            <v>57470.056415999999</v>
          </cell>
        </row>
        <row r="78">
          <cell r="A78" t="str">
            <v>30109</v>
          </cell>
          <cell r="B78" t="str">
            <v>Mamposteria para revoque en ladrillo de 15 m x 20 m x 40 m, incluye todos los materiales necesarios para su correcta ejecución</v>
          </cell>
          <cell r="C78" t="str">
            <v>M2</v>
          </cell>
          <cell r="D78">
            <v>81568.268729999996</v>
          </cell>
        </row>
        <row r="79">
          <cell r="A79" t="str">
            <v>4</v>
          </cell>
          <cell r="B79" t="str">
            <v xml:space="preserve">REVOQUES </v>
          </cell>
          <cell r="C79"/>
          <cell r="D79"/>
        </row>
        <row r="80">
          <cell r="A80" t="str">
            <v>40101</v>
          </cell>
          <cell r="B80" t="str">
            <v>Revoque impermeabilizado. Incluye fajas, ranuras, filetes y todos los materiales necesarios para su correcta ejecución.</v>
          </cell>
          <cell r="C80" t="str">
            <v>M2</v>
          </cell>
          <cell r="D80">
            <v>52906.373910000009</v>
          </cell>
        </row>
        <row r="81">
          <cell r="A81" t="str">
            <v>40102</v>
          </cell>
          <cell r="B81" t="str">
            <v>Revoque liso sobre pared. Incluye fajas, ranuras, filetes y todos los materiales necesarios para su correcta ejecución.</v>
          </cell>
          <cell r="C81" t="str">
            <v>M2</v>
          </cell>
          <cell r="D81">
            <v>49893.052950000005</v>
          </cell>
        </row>
        <row r="82">
          <cell r="A82" t="str">
            <v>40103</v>
          </cell>
          <cell r="B82" t="str">
            <v>Suministro de emulsion asfaltica  para losas en concreto. Incluye materiales para su correcta instalacion</v>
          </cell>
          <cell r="C82" t="str">
            <v>M2</v>
          </cell>
          <cell r="D82">
            <v>53592.613469999997</v>
          </cell>
        </row>
        <row r="83">
          <cell r="A83" t="str">
            <v>40104</v>
          </cell>
          <cell r="B83" t="str">
            <v>Revoque liso sobre cielos</v>
          </cell>
          <cell r="C83" t="str">
            <v>M2</v>
          </cell>
          <cell r="D83">
            <v>53627.139179999998</v>
          </cell>
        </row>
        <row r="84">
          <cell r="A84" t="str">
            <v>40105</v>
          </cell>
          <cell r="B84" t="str">
            <v>Suministro e instalación de encorozado h=0.15 m, incluye adobe, revoque (ambas caras), y los materiales necesarios para su correcta ejecución.</v>
          </cell>
          <cell r="C84" t="str">
            <v>M</v>
          </cell>
          <cell r="D84">
            <v>25554.540265162967</v>
          </cell>
        </row>
        <row r="85">
          <cell r="A85" t="str">
            <v>40106</v>
          </cell>
          <cell r="B85" t="str">
            <v>Recubrimiento de Concreto Armado con Barras de 3/8"@0.50m e = 6cm</v>
          </cell>
          <cell r="C85" t="str">
            <v>M2</v>
          </cell>
          <cell r="D85">
            <v>89378.631349604286</v>
          </cell>
        </row>
        <row r="86">
          <cell r="A86" t="str">
            <v>40107</v>
          </cell>
          <cell r="B86" t="str">
            <v>Recubrimiento de Concreto Armado con Barras de 3/8"@0.50m e = 3cm</v>
          </cell>
          <cell r="C86" t="str">
            <v>M2</v>
          </cell>
          <cell r="D86">
            <v>60418.527661549924</v>
          </cell>
        </row>
        <row r="87">
          <cell r="A87" t="str">
            <v>40108</v>
          </cell>
          <cell r="B87" t="str">
            <v>Revoque estructural con Malla Electrosoldada e=3cm</v>
          </cell>
          <cell r="C87" t="str">
            <v>M2</v>
          </cell>
          <cell r="D87">
            <v>85910.562746788375</v>
          </cell>
        </row>
        <row r="88">
          <cell r="A88" t="str">
            <v>5</v>
          </cell>
          <cell r="B88" t="str">
            <v>ENCHAPES</v>
          </cell>
          <cell r="C88"/>
          <cell r="D88"/>
        </row>
        <row r="89">
          <cell r="A89" t="str">
            <v>50101</v>
          </cell>
          <cell r="B89" t="str">
            <v>Enchape ceramico para pared de zonas humedas (baño, cocina, lavadero) incluye todos los materiales necesarios para su correcta ejecución.</v>
          </cell>
          <cell r="C89" t="str">
            <v>M2</v>
          </cell>
          <cell r="D89">
            <v>114661.59066</v>
          </cell>
        </row>
        <row r="90">
          <cell r="A90" t="str">
            <v>50102</v>
          </cell>
          <cell r="B90" t="str">
            <v>Enchape ceramico para piso baño mayor adherancia "antideslizante" incluye todos los materiales necesarios para su correcta ejecución.</v>
          </cell>
          <cell r="C90" t="str">
            <v>M2</v>
          </cell>
          <cell r="D90">
            <v>124237.34748000001</v>
          </cell>
        </row>
        <row r="91">
          <cell r="A91" t="str">
            <v>50103</v>
          </cell>
          <cell r="B91" t="str">
            <v>Enchape ceramico para piso incluye todos los materiales necesarios para su correcta ejecucion.</v>
          </cell>
          <cell r="C91" t="str">
            <v>M2</v>
          </cell>
          <cell r="D91">
            <v>112931.10666000002</v>
          </cell>
        </row>
        <row r="92">
          <cell r="A92" t="str">
            <v>50104</v>
          </cell>
          <cell r="B92" t="str">
            <v>Suministro e instalación de guarda escobas en material ceramico h min=0,08 m, incluye remates superiores (tipo chaflan), laterales y todos los materiales necesarios para su correcta ejecucion.</v>
          </cell>
          <cell r="C92" t="str">
            <v>M</v>
          </cell>
          <cell r="D92">
            <v>24689.317449600003</v>
          </cell>
        </row>
        <row r="93">
          <cell r="A93" t="str">
            <v>50105</v>
          </cell>
          <cell r="B93" t="str">
            <v>Pirlan de aluminio</v>
          </cell>
          <cell r="C93" t="str">
            <v>M</v>
          </cell>
          <cell r="D93">
            <v>16982.682479999999</v>
          </cell>
        </row>
        <row r="94">
          <cell r="A94" t="str">
            <v>50106</v>
          </cell>
          <cell r="B94" t="str">
            <v>Suministro e instalación de cenefa decorativa pared en material ceramico para baño (15x45), incluye todos los materiales necesarios para su correcta ejecucion.</v>
          </cell>
          <cell r="C94" t="str">
            <v>M</v>
          </cell>
          <cell r="D94">
            <v>50373.134279999998</v>
          </cell>
        </row>
        <row r="95">
          <cell r="A95" t="str">
            <v>50107</v>
          </cell>
          <cell r="B95" t="str">
            <v>Enchape ceramico para piso de escalas mayor adherancia "antideslizante" incluye todos los materiales necesarios para su correcta ejecución.</v>
          </cell>
          <cell r="C95" t="str">
            <v>M2</v>
          </cell>
          <cell r="D95">
            <v>138308.82516000001</v>
          </cell>
        </row>
        <row r="96">
          <cell r="A96" t="str">
            <v>50108</v>
          </cell>
          <cell r="B96" t="str">
            <v>Suministro e instalación de cenefa decorativa pared en material ceramico para cocina(8x45), incluye todos los materiales necesarios para su correcta ejecucion.</v>
          </cell>
          <cell r="C96" t="str">
            <v>M</v>
          </cell>
          <cell r="D96">
            <v>39588.146280000001</v>
          </cell>
        </row>
        <row r="97">
          <cell r="A97" t="str">
            <v>6</v>
          </cell>
          <cell r="B97" t="str">
            <v xml:space="preserve"> APARATOS  SANITARIOS </v>
          </cell>
          <cell r="C97"/>
          <cell r="D97"/>
        </row>
        <row r="98">
          <cell r="A98" t="str">
            <v>60101</v>
          </cell>
          <cell r="B98" t="str">
            <v>Suministro e instalación de sanitario, incluye abasto, accesorios y todos los materiales necesarios para su correcta ejecución.</v>
          </cell>
          <cell r="C98" t="str">
            <v>UN</v>
          </cell>
          <cell r="D98">
            <v>386029.4166</v>
          </cell>
        </row>
        <row r="99">
          <cell r="A99" t="str">
            <v>60102</v>
          </cell>
          <cell r="B99" t="str">
            <v>Suministro e instalación de lavamanos, incluye abasto, accesorios y todos los materiales necesarios para su correcta ejecución.</v>
          </cell>
          <cell r="C99" t="str">
            <v>UN</v>
          </cell>
          <cell r="D99">
            <v>252500.53049999999</v>
          </cell>
        </row>
        <row r="100">
          <cell r="A100" t="str">
            <v>60103</v>
          </cell>
          <cell r="B100" t="str">
            <v xml:space="preserve">Suministro e instalación de 3 Incrustaciones para baño, incluye Papelera, Jabonera, toallera y todos los demas elementos necesarios para su correcta ejecución. </v>
          </cell>
          <cell r="C100" t="str">
            <v>JUEGO</v>
          </cell>
          <cell r="D100">
            <v>116061.27525000001</v>
          </cell>
        </row>
        <row r="101">
          <cell r="A101" t="str">
            <v>60104</v>
          </cell>
          <cell r="B101" t="str">
            <v xml:space="preserve">Suministro e instalación de 5 Incrustaciones para baño, incluye Papelera, 2 Jabonera, 2 toallera y todos los demas elementos necesarios para su correcta ejecución. </v>
          </cell>
          <cell r="C101" t="str">
            <v>JUEGO</v>
          </cell>
          <cell r="D101">
            <v>144678.46212000001</v>
          </cell>
        </row>
        <row r="102">
          <cell r="A102" t="str">
            <v>60105</v>
          </cell>
          <cell r="B102" t="str">
            <v>Suministro e instalación de ducha, incluye registro, accesorios y todo lo necesario para su correcta ejecución.</v>
          </cell>
          <cell r="C102" t="str">
            <v>UN</v>
          </cell>
          <cell r="D102">
            <v>162561.97017000002</v>
          </cell>
        </row>
        <row r="103">
          <cell r="A103" t="str">
            <v>60106</v>
          </cell>
          <cell r="B103" t="str">
            <v>Suministro e instalacion de combo: Sanitario, Lavamanos, Incrustaciones (3), ducha, incluye accesorios y todos los materiales necesarios para su correcta ejecución.</v>
          </cell>
          <cell r="C103" t="str">
            <v>UN</v>
          </cell>
          <cell r="D103">
            <v>884974.03740000003</v>
          </cell>
        </row>
        <row r="104">
          <cell r="A104" t="str">
            <v>60107</v>
          </cell>
          <cell r="B104" t="str">
            <v>Orinal  ceramico</v>
          </cell>
          <cell r="C104" t="str">
            <v>UN</v>
          </cell>
          <cell r="D104">
            <v>384286.45049999998</v>
          </cell>
        </row>
        <row r="105">
          <cell r="A105" t="str">
            <v>60108</v>
          </cell>
          <cell r="B105" t="str">
            <v xml:space="preserve">Suministro e instalacion de teleducha </v>
          </cell>
          <cell r="C105" t="str">
            <v>UN</v>
          </cell>
          <cell r="D105">
            <v>120356.70525</v>
          </cell>
        </row>
        <row r="106">
          <cell r="A106" t="str">
            <v>60109</v>
          </cell>
          <cell r="B106" t="str">
            <v>Reinstalacion de aparato sanitario, incluye el remplazo de los accesorios y todos los materiales necesarios para su correcta ejecución.</v>
          </cell>
          <cell r="C106" t="str">
            <v>UN</v>
          </cell>
          <cell r="D106">
            <v>86897.542499999996</v>
          </cell>
        </row>
        <row r="107">
          <cell r="A107" t="str">
            <v>7</v>
          </cell>
          <cell r="B107" t="str">
            <v xml:space="preserve">REDES </v>
          </cell>
          <cell r="C107"/>
          <cell r="D107"/>
        </row>
        <row r="108">
          <cell r="A108" t="str">
            <v>701</v>
          </cell>
          <cell r="B108" t="str">
            <v xml:space="preserve">RED  ELECTRICA </v>
          </cell>
          <cell r="C108"/>
          <cell r="D108"/>
        </row>
        <row r="109">
          <cell r="A109" t="str">
            <v>70101</v>
          </cell>
          <cell r="B109" t="str">
            <v>Salida de energia, incluye todos los materiales necesarios para su correcta ejecución y la instalacion de positivo, negativo y neutro. (los materiales y accesorios deben de cumplir con las normas vigentes), desmonte, canchas, resanes y todos las actividades complementarias para su correcta instalación.</v>
          </cell>
          <cell r="C109" t="str">
            <v>PTO</v>
          </cell>
          <cell r="D109">
            <v>129960.81788434526</v>
          </cell>
        </row>
        <row r="110">
          <cell r="A110" t="str">
            <v>70102</v>
          </cell>
          <cell r="B110" t="str">
            <v>Toma GFCI</v>
          </cell>
          <cell r="C110" t="str">
            <v>PTO</v>
          </cell>
          <cell r="D110">
            <v>166467.1263734361</v>
          </cell>
        </row>
        <row r="111">
          <cell r="A111" t="str">
            <v>70103</v>
          </cell>
          <cell r="B111" t="str">
            <v>Salida de energia, incluye todos los materiales necesarios para su correcta ejecución y la instalacion de positivo, negativo y neutro, cajas y aparatos nuevos, (reutilización de tuberia ) incluye resane de ser necesario y todos las actividades complementarias para su correcta instalación.</v>
          </cell>
          <cell r="C111" t="str">
            <v>PTO</v>
          </cell>
          <cell r="D111">
            <v>96896.142274031605</v>
          </cell>
        </row>
        <row r="112">
          <cell r="A112" t="str">
            <v>702</v>
          </cell>
          <cell r="B112" t="str">
            <v>RED HIDRAULICA</v>
          </cell>
          <cell r="C112"/>
          <cell r="D112"/>
        </row>
        <row r="113">
          <cell r="A113" t="str">
            <v>70201</v>
          </cell>
          <cell r="B113" t="str">
            <v>Salida hidraúlica de 1/2"</v>
          </cell>
          <cell r="C113" t="str">
            <v>UN</v>
          </cell>
          <cell r="D113">
            <v>39382.825806000008</v>
          </cell>
        </row>
        <row r="114">
          <cell r="A114" t="str">
            <v>70202</v>
          </cell>
          <cell r="B114" t="str">
            <v>Tuberia PVC presión de 1/2" RDE 13.5, Incluye accesorios</v>
          </cell>
          <cell r="C114" t="str">
            <v>M</v>
          </cell>
          <cell r="D114">
            <v>10855.187351999999</v>
          </cell>
        </row>
        <row r="115">
          <cell r="A115" t="str">
            <v>703</v>
          </cell>
          <cell r="B115" t="str">
            <v xml:space="preserve">RED  SANITARIA </v>
          </cell>
          <cell r="C115"/>
          <cell r="D115"/>
        </row>
        <row r="116">
          <cell r="A116" t="str">
            <v>70301</v>
          </cell>
          <cell r="B116" t="str">
            <v>Desague tuberia sanitaria de 2", 3" y 4"</v>
          </cell>
          <cell r="C116" t="str">
            <v>UN</v>
          </cell>
          <cell r="D116">
            <v>151295.1642</v>
          </cell>
        </row>
        <row r="117">
          <cell r="A117" t="str">
            <v>70302</v>
          </cell>
          <cell r="B117" t="str">
            <v>Tuberia PVC sanitaria de 2"</v>
          </cell>
          <cell r="C117" t="str">
            <v>M</v>
          </cell>
          <cell r="D117">
            <v>35734.682692800008</v>
          </cell>
        </row>
        <row r="118">
          <cell r="A118" t="str">
            <v>70303</v>
          </cell>
          <cell r="B118" t="str">
            <v>Tuberia PVC sanitaria de 3"</v>
          </cell>
          <cell r="C118" t="str">
            <v>M</v>
          </cell>
          <cell r="D118">
            <v>53910.694465199995</v>
          </cell>
        </row>
        <row r="119">
          <cell r="A119" t="str">
            <v>70304</v>
          </cell>
          <cell r="B119" t="str">
            <v>Tuberia PVC sanitaria de 4"</v>
          </cell>
          <cell r="C119" t="str">
            <v>M</v>
          </cell>
          <cell r="D119">
            <v>71001.454867200009</v>
          </cell>
        </row>
        <row r="120">
          <cell r="A120" t="str">
            <v>70305</v>
          </cell>
          <cell r="B120" t="str">
            <v>Tuberia PVC sanitaria de 6"</v>
          </cell>
          <cell r="C120" t="str">
            <v>M</v>
          </cell>
          <cell r="D120">
            <v>151605.7213644</v>
          </cell>
        </row>
        <row r="121">
          <cell r="A121" t="str">
            <v>70306</v>
          </cell>
          <cell r="B121" t="str">
            <v>Caja de Inspección y/o de Empalme de 0.50x0.50</v>
          </cell>
          <cell r="C121" t="str">
            <v>UN</v>
          </cell>
          <cell r="D121">
            <v>314691.37901999999</v>
          </cell>
        </row>
        <row r="122">
          <cell r="A122" t="str">
            <v>70307</v>
          </cell>
          <cell r="B122" t="str">
            <v>Rejilla de piso</v>
          </cell>
          <cell r="C122" t="str">
            <v>UN</v>
          </cell>
          <cell r="D122">
            <v>35562.992624999999</v>
          </cell>
        </row>
        <row r="123">
          <cell r="A123" t="str">
            <v>70308</v>
          </cell>
          <cell r="B123" t="str">
            <v>Suministro e instalacion de filtro 0.50 m X 0.50 m, incluye tuberia de 4" perforada, triturado, geotextil (recubre toda la tuberia)  y los elementos necesarios para su correcta ejecuciòn y funcionamiento.</v>
          </cell>
          <cell r="C123" t="str">
            <v>M</v>
          </cell>
          <cell r="D123">
            <v>161488.5741</v>
          </cell>
        </row>
        <row r="124">
          <cell r="A124" t="str">
            <v>70309</v>
          </cell>
          <cell r="B124" t="str">
            <v>Suministro e instalación de polietileno de alta densidad</v>
          </cell>
          <cell r="C124" t="str">
            <v>M2</v>
          </cell>
          <cell r="D124">
            <v>8931.0146400000012</v>
          </cell>
        </row>
        <row r="125">
          <cell r="A125" t="str">
            <v>70310</v>
          </cell>
          <cell r="B125" t="str">
            <v>Suministro, transporte e instalación de sistema séptico domiciliario con capacidad de 2000 lt , compuesto por un tanque séptico de 1000 lt, un FAFA de 1000 lt y una trampa de grasa de 250 lt) para vivienda de hasta 6 personas. Incluye rosetones, accesorios y todos los demas elementos para su puesta en marcha y funcionamiento, entregar manual de mantenimiento.</v>
          </cell>
          <cell r="C125" t="str">
            <v>un</v>
          </cell>
          <cell r="D125">
            <v>3399841.9186200001</v>
          </cell>
        </row>
        <row r="126">
          <cell r="A126" t="str">
            <v>8</v>
          </cell>
          <cell r="B126" t="str">
            <v>CARPINTERIAS</v>
          </cell>
          <cell r="C126"/>
          <cell r="D126"/>
        </row>
        <row r="127">
          <cell r="A127" t="str">
            <v>801</v>
          </cell>
          <cell r="B127" t="str">
            <v>PUERTAS</v>
          </cell>
          <cell r="C127"/>
          <cell r="D127"/>
        </row>
        <row r="128">
          <cell r="A128" t="str">
            <v>80101</v>
          </cell>
          <cell r="B128" t="str">
            <v xml:space="preserve">Suministro e instalacion de Cabina para baño, en aluminio crudo o  anonizado </v>
          </cell>
          <cell r="C128" t="str">
            <v>M2</v>
          </cell>
          <cell r="D128">
            <v>421701.35430599999</v>
          </cell>
        </row>
        <row r="129">
          <cell r="A129" t="str">
            <v>80102</v>
          </cell>
          <cell r="B129" t="str">
            <v>Suministro e instalación de puerta metálica de 0.70 x 2.10 m calibre 20. Incluye marco, ala, chapa, pintura anticorrosivo y todos los materiales necesarios para su correcta ejecución.</v>
          </cell>
          <cell r="C129" t="str">
            <v xml:space="preserve">UN </v>
          </cell>
          <cell r="D129">
            <v>609445.42225199996</v>
          </cell>
        </row>
        <row r="130">
          <cell r="A130" t="str">
            <v>80103</v>
          </cell>
          <cell r="B130" t="str">
            <v>Suministro e instalación de puerta metálica de 0.80 x 2.10 m calibre 20. Incluye marco, ala, chapa  pintura anticorrosivo  y todos los materiales necesarios para su correcta ejecución.</v>
          </cell>
          <cell r="C130" t="str">
            <v xml:space="preserve">UN </v>
          </cell>
          <cell r="D130">
            <v>651558.00535200012</v>
          </cell>
        </row>
        <row r="131">
          <cell r="A131" t="str">
            <v>80104</v>
          </cell>
          <cell r="B131" t="str">
            <v>Suministro e instalación de puerta metálica de 1.00 x 2.10 m calibre 20. Incluye marco, ala, chapa  pintura anticorrosivo  y todos los materiales necesarios para su correcta ejecución.</v>
          </cell>
          <cell r="C131" t="str">
            <v xml:space="preserve">UN </v>
          </cell>
          <cell r="D131">
            <v>757425.85963200009</v>
          </cell>
        </row>
        <row r="132">
          <cell r="A132" t="str">
            <v>80105</v>
          </cell>
          <cell r="B132" t="str">
            <v>Suministro e instalación de puerta en madera de 0.70 x 2.10 m, incluye, marco en madera, ala en triplex, cerradura de pomo y todos los materiales para su correcta ejecuión.</v>
          </cell>
          <cell r="C132" t="str">
            <v>UN</v>
          </cell>
          <cell r="D132">
            <v>389061.59430599998</v>
          </cell>
        </row>
        <row r="133">
          <cell r="A133" t="str">
            <v>80106</v>
          </cell>
          <cell r="B133" t="str">
            <v>Suministro e instalación de puerta en madera de 0.80 x 2.10 m, incluye, marco en madera, ala en triplex, cerradura de pomo y todos los materiales para su correcta ejecuión.</v>
          </cell>
          <cell r="C133" t="str">
            <v>UN</v>
          </cell>
          <cell r="D133">
            <v>413881.07430599997</v>
          </cell>
        </row>
        <row r="134">
          <cell r="A134" t="str">
            <v>80107</v>
          </cell>
          <cell r="B134" t="str">
            <v>Suministro e instalación de puerta en madera de 0.90 x 2.10 m, incluye, marco en madera, ala en triplex, cerradura de pomo y todos los materiales para su correcta ejecuión.</v>
          </cell>
          <cell r="C134" t="str">
            <v>UN</v>
          </cell>
          <cell r="D134">
            <v>445825.31430599996</v>
          </cell>
        </row>
        <row r="135">
          <cell r="A135" t="str">
            <v>80108</v>
          </cell>
          <cell r="B135" t="str">
            <v>Suministro e instalación de puerta para baño de 0,70 a 0,90 m, incluye, marco en aluminio, ala perfil en acrilico multienchape blanco 4mm y todos los materiales para su correcta ejecución, batiente.</v>
          </cell>
          <cell r="C135" t="str">
            <v>UN</v>
          </cell>
          <cell r="D135">
            <v>604363.56066000008</v>
          </cell>
        </row>
        <row r="136">
          <cell r="A136" t="str">
            <v>80109</v>
          </cell>
          <cell r="B136" t="str">
            <v>Suministro e instalación de puerta corrediza para baño de 0,70 a 0,90 m, incluye, ala perfil en acrilico multienchape blanco 4mm, riel en aluminio y todos los materiales para su correcta ejecución.</v>
          </cell>
          <cell r="C136" t="str">
            <v>UN</v>
          </cell>
          <cell r="D136">
            <v>733586.59476000012</v>
          </cell>
        </row>
        <row r="137">
          <cell r="A137" t="str">
            <v>80110</v>
          </cell>
          <cell r="B137" t="str">
            <v>Suministro e instalación de puerta corrediza para baño de 0,70 a 0,90 m, incluye, ala perfil en acrilico tipo amazona o similar, riel en aluminio y todos los materiales para su correcta ejecución.</v>
          </cell>
          <cell r="C137" t="str">
            <v>UN</v>
          </cell>
          <cell r="D137">
            <v>714755.83787999989</v>
          </cell>
        </row>
        <row r="138">
          <cell r="A138" t="str">
            <v>80111</v>
          </cell>
          <cell r="B138" t="str">
            <v>Suministro e instalación de puerta para baño de 0,70 a 0,90 m, incluye, marco en aluminio, ala perfil en acrilico tipo amazona o similar y todos los materiales para su correcta ejecución, batiente.</v>
          </cell>
          <cell r="C138" t="str">
            <v>UN</v>
          </cell>
          <cell r="D138">
            <v>574053.3422999999</v>
          </cell>
        </row>
        <row r="139">
          <cell r="A139" t="str">
            <v>80112</v>
          </cell>
          <cell r="B139" t="str">
            <v>Reinstalación de puertas y/o ventanas canchas, resanes y todo lo requerido para su correcta instalación y funcionamiento.</v>
          </cell>
          <cell r="C139" t="str">
            <v>UN</v>
          </cell>
          <cell r="D139">
            <v>87138.398160000012</v>
          </cell>
        </row>
        <row r="140">
          <cell r="A140" t="str">
            <v>80113</v>
          </cell>
          <cell r="B140" t="str">
            <v>Suministro e instalación de puerta en madera de 0.70, 0.80 ó 0.90 x 2.10 m, incluye ala en triplex, cerradura de pomo, bisagras y todos los materiales para su correcta ejecuión.</v>
          </cell>
          <cell r="C140" t="str">
            <v>UN</v>
          </cell>
          <cell r="D140">
            <v>380145.8223</v>
          </cell>
        </row>
        <row r="141">
          <cell r="A141" t="str">
            <v>802</v>
          </cell>
          <cell r="B141" t="str">
            <v xml:space="preserve">VENTANAS </v>
          </cell>
          <cell r="C141"/>
          <cell r="D141"/>
        </row>
        <row r="142">
          <cell r="A142" t="str">
            <v>80201</v>
          </cell>
          <cell r="B142" t="str">
            <v>Suministro e instalacion de ventana en aluminio crudo o anonizado de 0,30 x 0,60 m. tipo celosia, incluye vidrio de 4mm.</v>
          </cell>
          <cell r="C142" t="str">
            <v>UN</v>
          </cell>
          <cell r="D142">
            <v>221672.10211200002</v>
          </cell>
        </row>
        <row r="143">
          <cell r="A143" t="str">
            <v>80202</v>
          </cell>
          <cell r="B143" t="str">
            <v>Suministro e instalacion de ventana en aluminio crudo o anonizado. Incluye vidrio 4mm.</v>
          </cell>
          <cell r="C143" t="str">
            <v>M2</v>
          </cell>
          <cell r="D143">
            <v>450411.168672</v>
          </cell>
        </row>
        <row r="144">
          <cell r="A144" t="str">
            <v>80203</v>
          </cell>
          <cell r="B144" t="str">
            <v xml:space="preserve">Suministro e instalacion de reja metálica para ventana </v>
          </cell>
          <cell r="C144" t="str">
            <v>M2</v>
          </cell>
          <cell r="D144">
            <v>343873.88827199989</v>
          </cell>
        </row>
        <row r="145">
          <cell r="A145" t="str">
            <v>803</v>
          </cell>
          <cell r="B145" t="str">
            <v>MUEBLES</v>
          </cell>
          <cell r="C145"/>
          <cell r="D145"/>
        </row>
        <row r="146">
          <cell r="A146" t="str">
            <v>80301</v>
          </cell>
          <cell r="B146" t="str">
            <v>Suministro e instalación de mueble Inferior para cocina entre mamposteria en lamina RH (mínimo una linea con tres cajones y el restante con entrepaño 0,45m de fondo), Incluye ajuste de entrepaño cuando mesón sea en "L", adecuación de vano con estuco, pintura, rebanco e=0,05m con enchape y  todos los materiales necesarios para su correcta instalacion.</v>
          </cell>
          <cell r="C146" t="str">
            <v>M</v>
          </cell>
          <cell r="D146">
            <v>929791.10422799992</v>
          </cell>
        </row>
        <row r="147">
          <cell r="A147" t="str">
            <v>80302</v>
          </cell>
          <cell r="B147" t="str">
            <v>Suministro e instalación de mueble superior para cocina integral. Incluye dos nivele de rejilla metálica para losa (platos, pocillos,vasos) y todos los materiales necesarios para su correcta ejecución</v>
          </cell>
          <cell r="C147" t="str">
            <v>M</v>
          </cell>
          <cell r="D147">
            <v>822851.32603023958</v>
          </cell>
        </row>
        <row r="148">
          <cell r="A148" t="str">
            <v>80303</v>
          </cell>
          <cell r="B148" t="str">
            <v>Suministro e instalación de piso en madera en tablilla zapan, con estructura en madera. Incluye todos los materiales necesarios para su correcta ejecución</v>
          </cell>
          <cell r="C148" t="str">
            <v>M2</v>
          </cell>
          <cell r="D148">
            <v>262354.54499999998</v>
          </cell>
        </row>
        <row r="149">
          <cell r="A149" t="str">
            <v>804</v>
          </cell>
          <cell r="B149" t="str">
            <v xml:space="preserve">ELEMENTOS  DE  APOYO </v>
          </cell>
          <cell r="C149"/>
          <cell r="D149"/>
        </row>
        <row r="150">
          <cell r="A150" t="str">
            <v>80401</v>
          </cell>
          <cell r="B150" t="str">
            <v>Suministro e instalacion de barras de apoyo en aleacion cromada de 18plg*7/8plg</v>
          </cell>
          <cell r="C150" t="str">
            <v>UN</v>
          </cell>
          <cell r="D150">
            <v>167262.7023</v>
          </cell>
        </row>
        <row r="151">
          <cell r="A151" t="str">
            <v>80402</v>
          </cell>
          <cell r="B151" t="str">
            <v>Suministro e instalación de pasamanos (tipo baranda) en tuberia metalica de 2", con apoyo vertical cada 1,0m, tres horizontales, platina de anclaje, pernos expansivos y tapones en los extremos, pintura anticorrosivo y pintura de poliuretano. Incluye todos los materiales necesarios para su correcta ejecución</v>
          </cell>
          <cell r="C151" t="str">
            <v>M</v>
          </cell>
          <cell r="D151">
            <v>311347.75031999999</v>
          </cell>
        </row>
        <row r="152">
          <cell r="A152" t="str">
            <v>80403</v>
          </cell>
          <cell r="B152" t="str">
            <v>Sumistro e instalación de pasamanos (tipo bolillo) metalicos para escalas y pared, con anticorrosivo y pintura de acabado. Incluye todos los materiales necesarios para su correcta ejecución</v>
          </cell>
          <cell r="C152" t="str">
            <v>M</v>
          </cell>
          <cell r="D152">
            <v>143906.0607</v>
          </cell>
        </row>
        <row r="153">
          <cell r="A153" t="str">
            <v>805</v>
          </cell>
          <cell r="B153" t="str">
            <v xml:space="preserve">MESONES </v>
          </cell>
          <cell r="C153"/>
          <cell r="D153"/>
        </row>
        <row r="154">
          <cell r="A154" t="str">
            <v>80501</v>
          </cell>
          <cell r="B154" t="str">
            <v>Suministro e instalación de mesón prefabricado en acero inoxidable 1.5 x 0.6 m, incluye machon de 0,60 x 0,80, Pozuelo, griferia y todos los materiales necesarios para su correcta ejecución</v>
          </cell>
          <cell r="C154" t="str">
            <v>UN</v>
          </cell>
          <cell r="D154">
            <v>990146.51920800004</v>
          </cell>
        </row>
        <row r="155">
          <cell r="A155" t="str">
            <v>80502</v>
          </cell>
          <cell r="B155" t="str">
            <v>Suministro e instalación de mesón prefabricado en acero inoxidable 1.8 x 0.6 m incluye machon de 0,6x0,80,  Pozuelo, griferia y todos los materiales necesarios para su correcta ejecución</v>
          </cell>
          <cell r="C155" t="str">
            <v>UN</v>
          </cell>
          <cell r="D155">
            <v>1139367.8674079999</v>
          </cell>
        </row>
        <row r="156">
          <cell r="A156" t="str">
            <v>80503</v>
          </cell>
          <cell r="B156" t="str">
            <v>Suministro e instación de mesón prefabricado en acero inoxidable 2.0 x 0.6 m incluye machon de 0,6x0,80,  Pozuelo, griferia y todos los materiales necesarios para su correcta ejecución</v>
          </cell>
          <cell r="C156" t="str">
            <v>UN</v>
          </cell>
          <cell r="D156">
            <v>1214028.175608</v>
          </cell>
        </row>
        <row r="157">
          <cell r="A157" t="str">
            <v>80504</v>
          </cell>
          <cell r="B157" t="str">
            <v>Suminitro e instalación mesón prefabricado en acero inoxidable 1.0 x 0.6 m incluye machon de 0,6x0,80,  Pozuelo, griferia y todos los materiales necesarios para su correcta ejecución</v>
          </cell>
          <cell r="C157" t="str">
            <v>UN</v>
          </cell>
          <cell r="D157">
            <v>646777.89100800001</v>
          </cell>
        </row>
        <row r="158">
          <cell r="A158" t="str">
            <v>80505</v>
          </cell>
          <cell r="B158" t="str">
            <v>Suministro e instalación de pozuleo en Acero Inoxidable 0.4 X 0.6 mts . Incluye accesorios y todos los materiales necesarios para la correcta ejecución</v>
          </cell>
          <cell r="C158" t="str">
            <v>UN</v>
          </cell>
          <cell r="D158">
            <v>343279.97639999993</v>
          </cell>
        </row>
        <row r="159">
          <cell r="A159" t="str">
            <v>80506</v>
          </cell>
          <cell r="B159" t="str">
            <v>Suministro e instalación de mesón prefabricado en acero inoxidable 1.8 x 0.52 m incluye machon de 0,52x0,80 revocados y pintado, Pozuelo, cubierta en acero inox. Con cuatro quemadores a gas, encendido eléctrico, griferia y todos los materiales necesarios para su correcta ejecución</v>
          </cell>
          <cell r="C159" t="str">
            <v>UN</v>
          </cell>
          <cell r="D159">
            <v>1777836.2048076962</v>
          </cell>
        </row>
        <row r="160">
          <cell r="A160" t="str">
            <v>80507</v>
          </cell>
          <cell r="B160" t="str">
            <v>Suministro e instalación de mesón prefabricado en acero inoxidable 2.0 x 0.52 m incluye machon de 0,52x0,80 revocados y pintado, Pozuelo, cubierta en acero inox. Con cuatro quemadores a gas, encendido eléctrico, griferia y todos los materiales necesarios para su correcta ejecución</v>
          </cell>
          <cell r="C160" t="str">
            <v>UN</v>
          </cell>
          <cell r="D160">
            <v>1828639.4048076964</v>
          </cell>
        </row>
        <row r="161">
          <cell r="A161" t="str">
            <v>80508</v>
          </cell>
          <cell r="B161" t="str">
            <v>Suministro e instalación de mesón prefabricado en acero inoxidable 1.0 x 0.52 m liso.</v>
          </cell>
          <cell r="C161" t="str">
            <v>ML</v>
          </cell>
          <cell r="D161">
            <v>211975.75476000001</v>
          </cell>
        </row>
        <row r="162">
          <cell r="A162" t="str">
            <v>806</v>
          </cell>
          <cell r="B162" t="str">
            <v xml:space="preserve">LAVADEROS </v>
          </cell>
          <cell r="C162"/>
          <cell r="D162"/>
        </row>
        <row r="163">
          <cell r="A163" t="str">
            <v>80601</v>
          </cell>
          <cell r="B163" t="str">
            <v xml:space="preserve">Suministro e instalación de Lavadero en ceramica 1.0m, incluye machon de 0,6x0,80 griferia y todos los materiales necesarios para su correcta ejecución. </v>
          </cell>
          <cell r="C163" t="str">
            <v>UN</v>
          </cell>
          <cell r="D163">
            <v>485085.88540799991</v>
          </cell>
        </row>
        <row r="164">
          <cell r="A164" t="str">
            <v>80602</v>
          </cell>
          <cell r="B164" t="str">
            <v>Suministro e instalación de Lavadero en ceramica 0.9m, incluye machon de 0,6x0,80 griferia y todos los materiales necesarios para su correcta ejecucion</v>
          </cell>
          <cell r="C164" t="str">
            <v>UN</v>
          </cell>
          <cell r="D164">
            <v>480365.20540799992</v>
          </cell>
        </row>
        <row r="165">
          <cell r="A165" t="str">
            <v>80603</v>
          </cell>
          <cell r="B165" t="str">
            <v>Suministro e instalación de Lavadero en ceramica 0.8m incluye machon de 0,6x0,80 griferia y todos los materiales necesarios para su correcta ejecucion</v>
          </cell>
          <cell r="C165" t="str">
            <v>UN</v>
          </cell>
          <cell r="D165">
            <v>463842.28540799994</v>
          </cell>
        </row>
        <row r="166">
          <cell r="A166" t="str">
            <v>80604</v>
          </cell>
          <cell r="B166" t="str">
            <v>Suministro e instalación de Lavadero en ceramica 0.7m incluye machon de 0,6x0,80 griferia y todos los materiales necesarios para su correcta ejecucion</v>
          </cell>
          <cell r="C166" t="str">
            <v>UN</v>
          </cell>
          <cell r="D166">
            <v>457004.8054079999</v>
          </cell>
        </row>
        <row r="167">
          <cell r="A167" t="str">
            <v>80605</v>
          </cell>
          <cell r="B167" t="str">
            <v>Suministro e instalación de Lavadero en ceramica 0.5m incluye machon de 0,6x0,80 griferia y todos los materiales necesarios para su correcta ejecucion</v>
          </cell>
          <cell r="C167" t="str">
            <v>UN</v>
          </cell>
          <cell r="D167">
            <v>278850.80800799996</v>
          </cell>
        </row>
        <row r="168">
          <cell r="A168" t="str">
            <v>9</v>
          </cell>
          <cell r="B168" t="str">
            <v>CUBIERTA</v>
          </cell>
          <cell r="C168"/>
          <cell r="D168"/>
        </row>
        <row r="169">
          <cell r="A169" t="str">
            <v>90101</v>
          </cell>
          <cell r="B169" t="str">
            <v>Cubierta en Teja Traslucida con estructura en madera, incluye aplicación por aspersión de inmunizante tipo sika o similiar y todos los materiales necesarios para su correcta ejecución.</v>
          </cell>
          <cell r="C169" t="str">
            <v>M2</v>
          </cell>
          <cell r="D169">
            <v>176934.25161000001</v>
          </cell>
        </row>
        <row r="170">
          <cell r="A170" t="str">
            <v>90102</v>
          </cell>
          <cell r="B170" t="str">
            <v>Cubierta en fibro cemento, estructura en madera, incluye aplicación por aspersión de inmunizante tipo sika o similiar y todos los materiales necesarios para su  correcta ejecución. NOTA: el traslapo de la teja debera ser de onda y media//  alfaldas con luz de  0.80 m.</v>
          </cell>
          <cell r="C170" t="str">
            <v>M2</v>
          </cell>
          <cell r="D170">
            <v>189735.09444000002</v>
          </cell>
        </row>
        <row r="171">
          <cell r="A171" t="str">
            <v>90103</v>
          </cell>
          <cell r="B171" t="str">
            <v>Cubierta en teja de barro, con estructura en madera, incluye aplicación por aspersión de inmunizante tipo sika o similiar y todos los materiales necesarios para su correcta ejecución</v>
          </cell>
          <cell r="C171" t="str">
            <v>M2</v>
          </cell>
          <cell r="D171">
            <v>318201.13623599999</v>
          </cell>
        </row>
        <row r="172">
          <cell r="A172" t="str">
            <v>90104</v>
          </cell>
          <cell r="B172" t="str">
            <v>Suministro, transporte y colocación de canoa para limahoya en lamina galvanizada calibre 26, desarrollo 1.0m. Incluye anticorrosivo epóxico por ambas caras, acabado con esmalte en la cara inferior a la vista y todos los elementos necesarios para su correcta instalación y funcionamiento.</v>
          </cell>
          <cell r="C172" t="str">
            <v>ML</v>
          </cell>
          <cell r="D172">
            <v>134035.9668198</v>
          </cell>
        </row>
        <row r="173">
          <cell r="A173" t="str">
            <v>90105</v>
          </cell>
          <cell r="B173" t="str">
            <v xml:space="preserve">Suministro e instalacion de ruana en lamina de zinc, incluye regatas, resanes y todos los materiales necesarios para su correcta ejecución </v>
          </cell>
          <cell r="C173" t="str">
            <v>ML</v>
          </cell>
          <cell r="D173">
            <v>24024.982265999999</v>
          </cell>
        </row>
        <row r="174">
          <cell r="A174" t="str">
            <v>90106</v>
          </cell>
          <cell r="B174" t="str">
            <v>Suministro e instalación de tuberia PVC  3" (AGUAS LLUVIAS), incluye todos los  materiales necesarios para su correcta ejecucion</v>
          </cell>
          <cell r="C174" t="str">
            <v>ML</v>
          </cell>
          <cell r="D174">
            <v>42358.010507999999</v>
          </cell>
        </row>
        <row r="175">
          <cell r="A175" t="str">
            <v>90107</v>
          </cell>
          <cell r="B175" t="str">
            <v>Estructura en madera para cubierta en teja de barro, incluye recuperación y reinstalación de la teja de barro existente e instalacion de teja a reponer, aplicación por aspersión de inmunizante tipo sika o similiar  y todos los materiales necesarios para su correcta ejecución</v>
          </cell>
          <cell r="C175" t="str">
            <v>M2</v>
          </cell>
          <cell r="D175">
            <v>243709.64708299894</v>
          </cell>
        </row>
        <row r="176">
          <cell r="A176" t="str">
            <v>90108</v>
          </cell>
          <cell r="B176" t="str">
            <v>Estructura en madera para cubierta en fibro cemento (incluye recuperación y reinstalación de la teja de fibro cemento existente y reinstalación de la teja en fibro cemento existente e instalacion de teja a reponer) y todos los materiales necesarios para su correcta ejecución.</v>
          </cell>
          <cell r="C176" t="str">
            <v>M2</v>
          </cell>
          <cell r="D176">
            <v>174221.31240000002</v>
          </cell>
        </row>
        <row r="177">
          <cell r="A177" t="str">
            <v>90109</v>
          </cell>
          <cell r="B177" t="str">
            <v>Suministro y colocacion de manto asfaltico</v>
          </cell>
          <cell r="C177" t="str">
            <v>M2</v>
          </cell>
          <cell r="D177">
            <v>22524.755075999998</v>
          </cell>
        </row>
        <row r="178">
          <cell r="A178" t="str">
            <v>90110</v>
          </cell>
          <cell r="B178" t="str">
            <v xml:space="preserve">suministro e instalación  de teja de barro </v>
          </cell>
          <cell r="C178" t="str">
            <v>M2</v>
          </cell>
          <cell r="D178">
            <v>84588.609340021067</v>
          </cell>
        </row>
        <row r="179">
          <cell r="A179" t="str">
            <v>90111</v>
          </cell>
          <cell r="B179" t="str">
            <v xml:space="preserve">suministro e instalaciónde teja eternit Nº6 </v>
          </cell>
          <cell r="C179" t="str">
            <v>M2</v>
          </cell>
          <cell r="D179">
            <v>82279.125728325598</v>
          </cell>
        </row>
        <row r="180">
          <cell r="A180" t="str">
            <v>90112</v>
          </cell>
          <cell r="B180" t="str">
            <v>Suministro e instalacion de cubierta en teja termoacustica y estructura en madera, esta actividad incluye teja ondulada de 0.83 x 2.44, Alfardas y Listones en chanul, puntillones,  gancho metálico,  sellador y los materiales necesarios para su correcta instalación.</v>
          </cell>
          <cell r="C180" t="str">
            <v>M2</v>
          </cell>
          <cell r="D180">
            <v>221012.81190000003</v>
          </cell>
        </row>
        <row r="181">
          <cell r="A181" t="str">
            <v>90113</v>
          </cell>
          <cell r="B181" t="str">
            <v>Suministro e instalacion de cubierta en teja termoacustica y estructura en Metal, esta actividad incluye teja, estructura metalica, pintura electrostática y demás materiales necesarios para su correcta instalación.</v>
          </cell>
          <cell r="C181" t="str">
            <v>M2</v>
          </cell>
          <cell r="D181">
            <v>225702.0018</v>
          </cell>
        </row>
        <row r="182">
          <cell r="A182" t="str">
            <v>90114</v>
          </cell>
          <cell r="B182" t="str">
            <v>Reinstalacion de canoa  recolectora  de  aguas  lluvias, Incluye pintura</v>
          </cell>
          <cell r="C182" t="str">
            <v>ML</v>
          </cell>
          <cell r="D182">
            <v>68198.160600000003</v>
          </cell>
        </row>
        <row r="183">
          <cell r="A183" t="str">
            <v>90115</v>
          </cell>
          <cell r="B183" t="str">
            <v>Suministro e instalacion de Boquilla D=0.064m A 0.076m para canal recolectora de aguas lluvias, en lamina de zinc calibre 22 y los materiales para su correcta instalacion</v>
          </cell>
          <cell r="C183" t="str">
            <v>UN</v>
          </cell>
          <cell r="D183">
            <v>51426.984240000005</v>
          </cell>
        </row>
        <row r="184">
          <cell r="A184" t="str">
            <v>90116</v>
          </cell>
          <cell r="B184" t="str">
            <v>Suministro, transporte e impermeabilizacion de losa en concreto expuesta a la intemperie con impermeabliliizante con poliuretano mono-componente de alta densidad, para trafico (es un recubrimiento con base en poliuretano de un sólo componente, base solvente, que se aplica en frío, tiene alta elasticidad, cura con la humedad del ambiente sin formar burbujas). Una vez polimerizado forma una membrana elástica, impermeable y continua, incluye limpieza con hidrolavadora y acido nitrico, aplicacion de hidrofugo y secado con compresor, aplicacion de producto para limpieza e imprimante.</v>
          </cell>
          <cell r="C184" t="str">
            <v>M2</v>
          </cell>
          <cell r="D184">
            <v>173729.09322000001</v>
          </cell>
        </row>
        <row r="185">
          <cell r="A185" t="str">
            <v>90117</v>
          </cell>
          <cell r="B185" t="str">
            <v>Suministro e instalación de canoa recolectora  de  aguas  lluvias en "U" en lamina galvanizada calibre 26, (moldurada) longitud de desarrollo 0.60m, incluye anticorrosivo epóxico por ambas caras, acabado con esmalte en la cara inferior a la vista y todos los elementos necesarios para su correcta instalación y funcionamiento.</v>
          </cell>
          <cell r="C185" t="str">
            <v>ML</v>
          </cell>
          <cell r="D185">
            <v>84129.362370000003</v>
          </cell>
        </row>
        <row r="186">
          <cell r="A186" t="str">
            <v>90118</v>
          </cell>
          <cell r="B186" t="str">
            <v>Suministro e instalación de Teja Shingle</v>
          </cell>
          <cell r="C186" t="str">
            <v>M2</v>
          </cell>
          <cell r="D186">
            <v>107847.88308</v>
          </cell>
        </row>
        <row r="187">
          <cell r="A187" t="str">
            <v>90119</v>
          </cell>
          <cell r="B187" t="str">
            <v>Suministro e instalación de Manto Granulado</v>
          </cell>
          <cell r="C187" t="str">
            <v>M2</v>
          </cell>
          <cell r="D187">
            <v>59461.761744000003</v>
          </cell>
        </row>
        <row r="188">
          <cell r="A188" t="str">
            <v>90120</v>
          </cell>
          <cell r="B188" t="str">
            <v>Suministro e instalación de canoa  recolectora  de  aguas  lluvias tipo L (desarrollo 0.60 m), incluye pintura antocorrosiva, pintura a base de aceite y todos los materiales necesarios para su correcta ejecución</v>
          </cell>
          <cell r="C188" t="str">
            <v>ML</v>
          </cell>
          <cell r="D188">
            <v>77866.632180000001</v>
          </cell>
        </row>
        <row r="189">
          <cell r="A189" t="str">
            <v>90121</v>
          </cell>
          <cell r="B189" t="str">
            <v>suministro e instalación de teja eternit tipo claraboya (ventilación y/o iluminación)  #6 área efectiva 1.0 m2</v>
          </cell>
          <cell r="C189" t="str">
            <v>UN</v>
          </cell>
          <cell r="D189">
            <v>127061.07605999999</v>
          </cell>
        </row>
        <row r="190">
          <cell r="A190" t="str">
            <v>90122</v>
          </cell>
          <cell r="B190" t="str">
            <v>Carguera de madera 4x4</v>
          </cell>
          <cell r="C190" t="str">
            <v>ML</v>
          </cell>
          <cell r="D190">
            <v>30974.556059999999</v>
          </cell>
        </row>
        <row r="191">
          <cell r="A191" t="str">
            <v>90123</v>
          </cell>
          <cell r="B191" t="str">
            <v>Suministro e instalacion de ruana en cinta lámina asfáltica tipo alumband 0.25 m , incluye herramienta, equipo y materiales necesari  para su correcta instalación.</v>
          </cell>
          <cell r="C191" t="str">
            <v>ML</v>
          </cell>
          <cell r="D191">
            <v>21771.876059999999</v>
          </cell>
        </row>
        <row r="192">
          <cell r="A192" t="str">
            <v>90124</v>
          </cell>
          <cell r="B192" t="str">
            <v>Tablilla para cama de canoa en L</v>
          </cell>
          <cell r="C192" t="str">
            <v>M2</v>
          </cell>
          <cell r="D192">
            <v>50403.554100000001</v>
          </cell>
        </row>
        <row r="193">
          <cell r="A193" t="str">
            <v>90125</v>
          </cell>
          <cell r="B193" t="str">
            <v>Suministro e instalación de canoa  recolectora  de  aguas  lluvias tipo L (desarrollo 0.80 m a 1.00m), incluye pintura antocorrosiva, pintura a base de aceite y todos los materiales necesarios para su correcta ejecución</v>
          </cell>
          <cell r="C193" t="str">
            <v>ML</v>
          </cell>
          <cell r="D193">
            <v>126181.00566000001</v>
          </cell>
        </row>
        <row r="194">
          <cell r="A194" t="str">
            <v>10</v>
          </cell>
          <cell r="B194" t="str">
            <v>PINTURA</v>
          </cell>
          <cell r="C194"/>
          <cell r="D194"/>
        </row>
        <row r="195">
          <cell r="A195" t="str">
            <v>100101</v>
          </cell>
          <cell r="B195" t="str">
            <v>Suministro y aplicación de estuco en muros,  incluye todos los materiales necesarios para su correcta ejecucion</v>
          </cell>
          <cell r="C195" t="str">
            <v>M2</v>
          </cell>
          <cell r="D195">
            <v>17899.388424000001</v>
          </cell>
        </row>
        <row r="196">
          <cell r="A196" t="str">
            <v>100102</v>
          </cell>
          <cell r="B196" t="str">
            <v>Suministro y aplicación de pintura, Vinilo Tipo 1 de primera calidad sobre muros revocados y/o estucados tres manos o las necesarias hasta obtener una superficie pareja y homogénea incluye resane de grietas, adecuacion de la superficie a intervenvir y todos los materiales necesarios para su correcta ejecución.</v>
          </cell>
          <cell r="C196" t="str">
            <v>M2</v>
          </cell>
          <cell r="D196">
            <v>16800.502928399997</v>
          </cell>
        </row>
        <row r="197">
          <cell r="A197" t="str">
            <v>100103</v>
          </cell>
          <cell r="B197" t="str">
            <v>Suministro y aplicación de pintura, Vinilo Tipo 1 de primera calidad sobre cielos revocados y/o estucados tres manos o las necesarias hasta obtener una superficie pareja y homogénea incluye resane de grietas, adecuacion de la superficie a intervenvir y todos los materiales necesarios para su correcta ejecución.</v>
          </cell>
          <cell r="C197" t="str">
            <v>M2</v>
          </cell>
          <cell r="D197">
            <v>19842.605586000005</v>
          </cell>
        </row>
        <row r="198">
          <cell r="A198" t="str">
            <v>100104</v>
          </cell>
          <cell r="B198" t="str">
            <v>Suministro y aplicación de pintura a base de aceite para Madera Tipo barniz. Incluye todos los materiales necesarios para su correcta ejecución</v>
          </cell>
          <cell r="C198" t="str">
            <v>M2</v>
          </cell>
          <cell r="D198">
            <v>13204.000744199999</v>
          </cell>
        </row>
        <row r="199">
          <cell r="A199" t="str">
            <v>100105</v>
          </cell>
          <cell r="B199" t="str">
            <v>Suministro y aplicación de pintura a base de aceite sobre elementos metálicos. Incluye todos los materiales necesarios para su correcta ejecución</v>
          </cell>
          <cell r="C199" t="str">
            <v>M2</v>
          </cell>
          <cell r="D199">
            <v>13303.576377000003</v>
          </cell>
        </row>
        <row r="200">
          <cell r="A200" t="str">
            <v>100106</v>
          </cell>
          <cell r="B200" t="str">
            <v>Suministro y aplicación de estuco en cielos,  incluye todos los materiales necesarios para su correcta ejecucion</v>
          </cell>
          <cell r="C200" t="str">
            <v>M2</v>
          </cell>
          <cell r="D200">
            <v>21134.139866999998</v>
          </cell>
        </row>
        <row r="201">
          <cell r="A201" t="str">
            <v>11</v>
          </cell>
          <cell r="B201"/>
          <cell r="C201"/>
          <cell r="D201"/>
        </row>
        <row r="202">
          <cell r="A202" t="str">
            <v>110101</v>
          </cell>
          <cell r="B202" t="str">
            <v>KIT DE BIOSEGURIDAD</v>
          </cell>
          <cell r="C202" t="str">
            <v>UN</v>
          </cell>
          <cell r="D202">
            <v>97318</v>
          </cell>
        </row>
        <row r="203">
          <cell r="D203"/>
        </row>
      </sheetData>
      <sheetData sheetId="3"/>
      <sheetData sheetId="4"/>
      <sheetData sheetId="5">
        <row r="7">
          <cell r="D7">
            <v>1300000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nalisis"/>
      <sheetName val="RECURSO"/>
      <sheetName val="PRESUPUESTO DIAGNOSTICO"/>
      <sheetName val="PRESUPUESTO CIERRE"/>
      <sheetName val="MATRIZ"/>
      <sheetName val="APU"/>
      <sheetName val="SALARIOS 2024"/>
      <sheetName val="LISTADO"/>
    </sheetNames>
    <sheetDataSet>
      <sheetData sheetId="0"/>
      <sheetData sheetId="1">
        <row r="4">
          <cell r="B4" t="str">
            <v>CÓDIGO</v>
          </cell>
          <cell r="C4" t="str">
            <v>NOMBRE</v>
          </cell>
          <cell r="D4" t="str">
            <v>UND</v>
          </cell>
        </row>
        <row r="5">
          <cell r="C5" t="str">
            <v>ADHESIVOS</v>
          </cell>
        </row>
        <row r="6">
          <cell r="B6" t="str">
            <v>20439</v>
          </cell>
          <cell r="C6" t="str">
            <v>Desmoldatoc toxement (16 kg)</v>
          </cell>
          <cell r="D6" t="str">
            <v>kg</v>
          </cell>
        </row>
        <row r="7">
          <cell r="B7" t="str">
            <v>20607</v>
          </cell>
          <cell r="C7" t="str">
            <v>Igol denso sika (3 kg)</v>
          </cell>
          <cell r="D7" t="str">
            <v>kg</v>
          </cell>
        </row>
        <row r="8">
          <cell r="B8" t="str">
            <v>20619</v>
          </cell>
          <cell r="C8" t="str">
            <v>Igol imprimante sika (0.8 kg)</v>
          </cell>
          <cell r="D8" t="str">
            <v>kg</v>
          </cell>
        </row>
        <row r="9">
          <cell r="B9" t="str">
            <v>22144</v>
          </cell>
          <cell r="C9" t="str">
            <v>Igol imprimante sika (3 kg)</v>
          </cell>
          <cell r="D9" t="str">
            <v>kg</v>
          </cell>
        </row>
        <row r="10">
          <cell r="B10" t="str">
            <v>29501</v>
          </cell>
          <cell r="C10" t="str">
            <v>Pattex</v>
          </cell>
          <cell r="D10" t="str">
            <v>gr</v>
          </cell>
        </row>
        <row r="11">
          <cell r="B11" t="str">
            <v>29808</v>
          </cell>
          <cell r="C11" t="str">
            <v>Silicona liquida antihongos 50g</v>
          </cell>
          <cell r="D11" t="str">
            <v>g</v>
          </cell>
        </row>
        <row r="12">
          <cell r="B12" t="str">
            <v>29809</v>
          </cell>
          <cell r="C12" t="str">
            <v>Anclajes químicos 3/8" - 1/2"</v>
          </cell>
          <cell r="D12" t="str">
            <v>kg</v>
          </cell>
        </row>
        <row r="13">
          <cell r="B13" t="str">
            <v>29810</v>
          </cell>
          <cell r="C13" t="str">
            <v>Sika transparente  5kg</v>
          </cell>
          <cell r="D13" t="str">
            <v>kg</v>
          </cell>
        </row>
        <row r="14">
          <cell r="B14">
            <v>29811</v>
          </cell>
          <cell r="C14" t="str">
            <v>Sika Imper Mur x 4 Kg</v>
          </cell>
          <cell r="D14" t="str">
            <v>kg</v>
          </cell>
        </row>
        <row r="15">
          <cell r="B15">
            <v>29812</v>
          </cell>
          <cell r="C15" t="str">
            <v xml:space="preserve">Broncoelástico </v>
          </cell>
          <cell r="D15" t="str">
            <v>gal</v>
          </cell>
        </row>
        <row r="16">
          <cell r="B16">
            <v>29813</v>
          </cell>
          <cell r="C16" t="str">
            <v>Tela poliéster 30 g/m2</v>
          </cell>
          <cell r="D16" t="str">
            <v>m2</v>
          </cell>
        </row>
        <row r="17">
          <cell r="C17" t="str">
            <v>ALQUILER DE EQUIPOS</v>
          </cell>
        </row>
        <row r="18">
          <cell r="B18" t="str">
            <v>71247</v>
          </cell>
          <cell r="C18" t="str">
            <v>can hasta 2.80 m m.c.</v>
          </cell>
          <cell r="D18" t="str">
            <v>día</v>
          </cell>
        </row>
        <row r="19">
          <cell r="B19" t="str">
            <v>71387</v>
          </cell>
          <cell r="C19" t="str">
            <v>cerchas en celosia de 3m</v>
          </cell>
          <cell r="D19" t="str">
            <v>día</v>
          </cell>
        </row>
        <row r="20">
          <cell r="B20" t="str">
            <v>70863</v>
          </cell>
          <cell r="C20" t="str">
            <v>compresor cps 185 ce15010</v>
          </cell>
          <cell r="D20" t="str">
            <v>h</v>
          </cell>
        </row>
        <row r="21">
          <cell r="B21" t="str">
            <v>71406</v>
          </cell>
          <cell r="C21" t="str">
            <v>taco metálico de 2 a 3.30 mts.</v>
          </cell>
          <cell r="D21" t="str">
            <v>día</v>
          </cell>
        </row>
        <row r="22">
          <cell r="B22" t="str">
            <v>71100</v>
          </cell>
          <cell r="C22" t="str">
            <v>vibrocomp.saltar.canguro gasol</v>
          </cell>
          <cell r="D22" t="str">
            <v>día</v>
          </cell>
        </row>
        <row r="23">
          <cell r="B23">
            <v>71588</v>
          </cell>
          <cell r="C23" t="str">
            <v>Andamios Self-lock (sub)</v>
          </cell>
          <cell r="D23" t="str">
            <v>día</v>
          </cell>
        </row>
        <row r="24">
          <cell r="B24">
            <v>71589</v>
          </cell>
          <cell r="C24" t="str">
            <v>Hidrolavadora</v>
          </cell>
          <cell r="D24" t="str">
            <v>día</v>
          </cell>
        </row>
        <row r="25">
          <cell r="B25">
            <v>71227</v>
          </cell>
          <cell r="C25" t="str">
            <v>andamio tramo completo 1.5x1.5</v>
          </cell>
          <cell r="D25" t="str">
            <v>día</v>
          </cell>
        </row>
        <row r="26">
          <cell r="B26">
            <v>71751</v>
          </cell>
          <cell r="C26" t="str">
            <v>Concretadora</v>
          </cell>
          <cell r="D26" t="str">
            <v>día</v>
          </cell>
        </row>
        <row r="27">
          <cell r="C27" t="str">
            <v>AGREGADOS</v>
          </cell>
        </row>
        <row r="28">
          <cell r="B28" t="str">
            <v>20013</v>
          </cell>
          <cell r="C28" t="str">
            <v>arena de concreto</v>
          </cell>
          <cell r="D28" t="str">
            <v>m3</v>
          </cell>
        </row>
        <row r="29">
          <cell r="B29">
            <v>20012</v>
          </cell>
          <cell r="C29" t="str">
            <v>arena de pega</v>
          </cell>
          <cell r="D29" t="str">
            <v>m3</v>
          </cell>
        </row>
        <row r="30">
          <cell r="B30" t="str">
            <v>20011</v>
          </cell>
          <cell r="C30" t="str">
            <v>arena revoque</v>
          </cell>
          <cell r="D30" t="str">
            <v>m3</v>
          </cell>
        </row>
        <row r="31">
          <cell r="B31" t="str">
            <v>20014</v>
          </cell>
          <cell r="C31" t="str">
            <v>arenilla - afirmado</v>
          </cell>
          <cell r="D31" t="str">
            <v>m3</v>
          </cell>
        </row>
        <row r="32">
          <cell r="B32" t="str">
            <v>20015</v>
          </cell>
          <cell r="C32" t="str">
            <v>base granular</v>
          </cell>
          <cell r="D32" t="str">
            <v>m3</v>
          </cell>
        </row>
        <row r="33">
          <cell r="B33" t="str">
            <v>20008</v>
          </cell>
          <cell r="C33" t="str">
            <v>piedra</v>
          </cell>
          <cell r="D33" t="str">
            <v>m3</v>
          </cell>
        </row>
        <row r="34">
          <cell r="B34" t="str">
            <v>20016</v>
          </cell>
          <cell r="C34" t="str">
            <v>sub-base</v>
          </cell>
          <cell r="D34" t="str">
            <v>m3</v>
          </cell>
        </row>
        <row r="35">
          <cell r="B35" t="str">
            <v>20006</v>
          </cell>
          <cell r="C35" t="str">
            <v>triturado de 1½ pulg</v>
          </cell>
          <cell r="D35" t="str">
            <v>m3</v>
          </cell>
        </row>
        <row r="36">
          <cell r="B36" t="str">
            <v>20004</v>
          </cell>
          <cell r="C36" t="str">
            <v>triturado de 1/2 pulg</v>
          </cell>
          <cell r="D36" t="str">
            <v>m3</v>
          </cell>
        </row>
        <row r="37">
          <cell r="B37" t="str">
            <v>20005</v>
          </cell>
          <cell r="C37" t="str">
            <v>triturado de 3/4 pulg</v>
          </cell>
          <cell r="D37" t="str">
            <v>m3</v>
          </cell>
        </row>
        <row r="38">
          <cell r="C38" t="str">
            <v>AISLANTES E IMPERMEABILIZANTES</v>
          </cell>
        </row>
        <row r="39">
          <cell r="B39" t="str">
            <v>15514</v>
          </cell>
          <cell r="C39" t="str">
            <v>Impermeabilización manto cubierta</v>
          </cell>
          <cell r="D39" t="str">
            <v>m2</v>
          </cell>
        </row>
        <row r="40">
          <cell r="C40" t="str">
            <v>INSTALACIONES ELÉCTRICAS</v>
          </cell>
        </row>
        <row r="41">
          <cell r="B41" t="str">
            <v>27088</v>
          </cell>
          <cell r="C41" t="str">
            <v>alamb.cu aisl. pvc thwn90 10</v>
          </cell>
          <cell r="D41" t="str">
            <v>m</v>
          </cell>
        </row>
        <row r="42">
          <cell r="B42" t="str">
            <v>27087</v>
          </cell>
          <cell r="C42" t="str">
            <v>alamb.cu aisl. pvc thwn90 12</v>
          </cell>
          <cell r="D42" t="str">
            <v>m</v>
          </cell>
        </row>
        <row r="43">
          <cell r="B43" t="str">
            <v>27105</v>
          </cell>
          <cell r="C43" t="str">
            <v>alamb.cu timbre-telef.jwp att 2x22</v>
          </cell>
          <cell r="D43" t="str">
            <v>m</v>
          </cell>
        </row>
        <row r="44">
          <cell r="B44" t="str">
            <v>23238</v>
          </cell>
          <cell r="C44" t="str">
            <v>break.enchuf.ge thql 2x40a</v>
          </cell>
          <cell r="D44" t="str">
            <v>und</v>
          </cell>
        </row>
        <row r="45">
          <cell r="B45" t="str">
            <v>23159</v>
          </cell>
          <cell r="C45" t="str">
            <v>caja emp.galv.rect.4 pulg x4 pulg</v>
          </cell>
          <cell r="D45" t="str">
            <v>und</v>
          </cell>
        </row>
        <row r="46">
          <cell r="B46" t="str">
            <v>24623</v>
          </cell>
          <cell r="C46" t="str">
            <v>caja emp.galv.tercol 15x15x10</v>
          </cell>
          <cell r="D46" t="str">
            <v>und</v>
          </cell>
        </row>
        <row r="47">
          <cell r="B47" t="str">
            <v>27462</v>
          </cell>
          <cell r="C47" t="str">
            <v xml:space="preserve">interrup.senc+tomacor.sp.lum. </v>
          </cell>
          <cell r="D47" t="str">
            <v>und</v>
          </cell>
        </row>
        <row r="48">
          <cell r="B48">
            <v>2476811</v>
          </cell>
          <cell r="C48" t="str">
            <v>salida de tv (entre 20 y 50 sal)(inst.)</v>
          </cell>
          <cell r="D48" t="str">
            <v>sal</v>
          </cell>
        </row>
        <row r="49">
          <cell r="B49" t="str">
            <v>23175</v>
          </cell>
          <cell r="C49" t="str">
            <v>tapa galv. 4x4 pulg</v>
          </cell>
          <cell r="D49" t="str">
            <v>und</v>
          </cell>
        </row>
        <row r="50">
          <cell r="B50" t="str">
            <v>27528</v>
          </cell>
          <cell r="C50" t="str">
            <v>toma telef.luminex lx 050c</v>
          </cell>
          <cell r="D50" t="str">
            <v>und</v>
          </cell>
        </row>
        <row r="51">
          <cell r="B51" t="str">
            <v>27451</v>
          </cell>
          <cell r="C51" t="str">
            <v>tomacor.dobl.luminex lx303c</v>
          </cell>
          <cell r="D51" t="str">
            <v>und</v>
          </cell>
        </row>
        <row r="52">
          <cell r="B52" t="str">
            <v>24604</v>
          </cell>
          <cell r="C52" t="str">
            <v>tomacorriente trifilar 3 x 50a de caja</v>
          </cell>
          <cell r="D52" t="str">
            <v>und</v>
          </cell>
        </row>
        <row r="53">
          <cell r="B53">
            <v>20610</v>
          </cell>
          <cell r="C53" t="str">
            <v>Conector</v>
          </cell>
          <cell r="D53" t="str">
            <v>und</v>
          </cell>
        </row>
        <row r="54">
          <cell r="B54">
            <v>20611</v>
          </cell>
          <cell r="C54" t="str">
            <v>Cinta Aislante</v>
          </cell>
          <cell r="D54" t="str">
            <v>und</v>
          </cell>
        </row>
        <row r="55">
          <cell r="B55">
            <v>20612</v>
          </cell>
          <cell r="C55" t="str">
            <v>Caja Pvc 2X4</v>
          </cell>
          <cell r="D55" t="str">
            <v>und</v>
          </cell>
        </row>
        <row r="56">
          <cell r="B56">
            <v>20613</v>
          </cell>
          <cell r="C56" t="str">
            <v>Toma Leviton Gfci</v>
          </cell>
          <cell r="D56" t="str">
            <v>und</v>
          </cell>
        </row>
        <row r="57">
          <cell r="B57">
            <v>20614</v>
          </cell>
          <cell r="C57" t="str">
            <v>Tablero Multibreaker de 4</v>
          </cell>
          <cell r="D57" t="str">
            <v>und</v>
          </cell>
        </row>
        <row r="58">
          <cell r="B58">
            <v>20615</v>
          </cell>
          <cell r="C58" t="str">
            <v>Tablero Multibreaker de 6</v>
          </cell>
          <cell r="D58" t="str">
            <v>und</v>
          </cell>
        </row>
        <row r="59">
          <cell r="B59">
            <v>20616</v>
          </cell>
          <cell r="C59" t="str">
            <v>Tablero Multibreaker de 8</v>
          </cell>
          <cell r="D59" t="str">
            <v>und</v>
          </cell>
        </row>
        <row r="60">
          <cell r="B60">
            <v>20617</v>
          </cell>
          <cell r="C60" t="str">
            <v>Tablero Multibreaker de 12</v>
          </cell>
          <cell r="D60" t="str">
            <v>und</v>
          </cell>
        </row>
        <row r="61">
          <cell r="C61" t="str">
            <v>ACEROS Y METALES</v>
          </cell>
        </row>
        <row r="62">
          <cell r="B62" t="str">
            <v>10006</v>
          </cell>
          <cell r="C62" t="str">
            <v>acero corrugado 60  1/2 pulg (incluye figuración y corte)</v>
          </cell>
          <cell r="D62" t="str">
            <v>kg</v>
          </cell>
        </row>
        <row r="63">
          <cell r="B63">
            <v>10069</v>
          </cell>
          <cell r="C63" t="str">
            <v>acero corrugado 60 3/8  pulg (incluye figuración y corte)</v>
          </cell>
          <cell r="D63" t="str">
            <v>kg</v>
          </cell>
        </row>
        <row r="64">
          <cell r="B64" t="str">
            <v>10021</v>
          </cell>
          <cell r="C64" t="str">
            <v>acero corrugado 60  1/4 pulg (incluye figuración y corte)</v>
          </cell>
          <cell r="D64" t="str">
            <v>kg</v>
          </cell>
        </row>
        <row r="65">
          <cell r="B65" t="str">
            <v>15953</v>
          </cell>
          <cell r="C65" t="str">
            <v>alambre negro #18 recocido</v>
          </cell>
          <cell r="D65" t="str">
            <v>kg</v>
          </cell>
        </row>
        <row r="66">
          <cell r="B66" t="str">
            <v>10062</v>
          </cell>
          <cell r="C66" t="str">
            <v>alambron 40  1/4 pulg liso</v>
          </cell>
          <cell r="D66" t="str">
            <v>kg</v>
          </cell>
        </row>
        <row r="67">
          <cell r="B67" t="str">
            <v>10199</v>
          </cell>
          <cell r="C67" t="str">
            <v>malla tipo d 84</v>
          </cell>
          <cell r="D67" t="str">
            <v>und</v>
          </cell>
        </row>
        <row r="68">
          <cell r="B68" t="str">
            <v>15990</v>
          </cell>
          <cell r="C68" t="str">
            <v>varilla de dilatacion aluminio 3mm</v>
          </cell>
          <cell r="D68" t="str">
            <v>m</v>
          </cell>
        </row>
        <row r="69">
          <cell r="B69" t="str">
            <v>15991</v>
          </cell>
          <cell r="C69" t="str">
            <v>Estructura metálica (Incluye instalación)</v>
          </cell>
          <cell r="D69" t="str">
            <v>kg</v>
          </cell>
        </row>
        <row r="70">
          <cell r="B70">
            <v>30001</v>
          </cell>
          <cell r="C70" t="str">
            <v>VARILLA G-60 W 1/2pulg Corrugada (Sin figurar)</v>
          </cell>
          <cell r="D70" t="str">
            <v>kg</v>
          </cell>
        </row>
        <row r="71">
          <cell r="B71">
            <v>30002</v>
          </cell>
          <cell r="C71" t="str">
            <v>VARILLA G-60 W 3/8pulg Corrugada (Sin figurar)</v>
          </cell>
          <cell r="D71" t="str">
            <v>kg</v>
          </cell>
        </row>
        <row r="72">
          <cell r="B72">
            <v>30003</v>
          </cell>
          <cell r="C72" t="str">
            <v>VARILLA G-60 W 1/4pulg Corrugada (Sin figurar)</v>
          </cell>
          <cell r="D72" t="str">
            <v>kg</v>
          </cell>
        </row>
        <row r="73">
          <cell r="B73">
            <v>30004</v>
          </cell>
          <cell r="C73" t="str">
            <v xml:space="preserve">Malla alambre 1 1/4" 1,5*30 m </v>
          </cell>
          <cell r="D73" t="str">
            <v>und</v>
          </cell>
        </row>
        <row r="74">
          <cell r="B74">
            <v>30005</v>
          </cell>
          <cell r="C74" t="str">
            <v>Grapas</v>
          </cell>
          <cell r="D74" t="str">
            <v>und</v>
          </cell>
        </row>
        <row r="75">
          <cell r="B75">
            <v>30006</v>
          </cell>
          <cell r="C75" t="str">
            <v>malla tipo D 159 (6mx2,35m)</v>
          </cell>
          <cell r="D75" t="str">
            <v>und</v>
          </cell>
        </row>
        <row r="76">
          <cell r="C76" t="str">
            <v>CUBIERTAS Y CANALES</v>
          </cell>
        </row>
        <row r="77">
          <cell r="B77" t="str">
            <v>15947</v>
          </cell>
          <cell r="C77" t="str">
            <v>amarre caballete eternit</v>
          </cell>
          <cell r="D77" t="str">
            <v>und</v>
          </cell>
        </row>
        <row r="78">
          <cell r="B78" t="str">
            <v>10706</v>
          </cell>
          <cell r="C78" t="str">
            <v>caballete art.sup. canaleta c90 eternit</v>
          </cell>
          <cell r="D78" t="str">
            <v>und</v>
          </cell>
        </row>
        <row r="79">
          <cell r="B79" t="str">
            <v>15995</v>
          </cell>
          <cell r="C79" t="str">
            <v>canoas lamina cal.26 de 13 pulg</v>
          </cell>
          <cell r="D79" t="str">
            <v>m</v>
          </cell>
        </row>
        <row r="80">
          <cell r="B80" t="str">
            <v>16006</v>
          </cell>
          <cell r="C80" t="str">
            <v>embudos lamina cal.26 de 4 pulg</v>
          </cell>
          <cell r="D80" t="str">
            <v>und</v>
          </cell>
        </row>
        <row r="81">
          <cell r="B81" t="str">
            <v>15949</v>
          </cell>
          <cell r="C81" t="str">
            <v>gancho teja ondulada 55 eternit</v>
          </cell>
          <cell r="D81" t="str">
            <v>und</v>
          </cell>
        </row>
        <row r="82">
          <cell r="B82" t="str">
            <v>16002</v>
          </cell>
          <cell r="C82" t="str">
            <v>ruanas lamina cal.26 de 50 cm.</v>
          </cell>
          <cell r="D82" t="str">
            <v>m</v>
          </cell>
        </row>
        <row r="83">
          <cell r="B83" t="str">
            <v>10922</v>
          </cell>
          <cell r="C83" t="str">
            <v>teja española natural 45 cm</v>
          </cell>
          <cell r="D83" t="str">
            <v>und</v>
          </cell>
        </row>
        <row r="84">
          <cell r="B84" t="str">
            <v>10383</v>
          </cell>
          <cell r="C84" t="str">
            <v>teja ond. eternit  # 10 gris</v>
          </cell>
          <cell r="D84" t="str">
            <v>und</v>
          </cell>
        </row>
        <row r="85">
          <cell r="B85" t="str">
            <v>10370</v>
          </cell>
          <cell r="C85" t="str">
            <v>teja ond. eternit  # 4 gris</v>
          </cell>
          <cell r="D85" t="str">
            <v>und</v>
          </cell>
        </row>
        <row r="86">
          <cell r="B86" t="str">
            <v>10376</v>
          </cell>
          <cell r="C86" t="str">
            <v>teja ond. eternit  # 6 gris</v>
          </cell>
          <cell r="D86" t="str">
            <v>und</v>
          </cell>
        </row>
        <row r="87">
          <cell r="B87" t="str">
            <v>10380</v>
          </cell>
          <cell r="C87" t="str">
            <v>teja ond. eternit  # 8 gris</v>
          </cell>
          <cell r="D87" t="str">
            <v>und</v>
          </cell>
        </row>
        <row r="88">
          <cell r="B88" t="str">
            <v>10735</v>
          </cell>
          <cell r="C88" t="str">
            <v>teja traslucida livanit #6</v>
          </cell>
          <cell r="D88" t="str">
            <v>und</v>
          </cell>
        </row>
        <row r="89">
          <cell r="B89">
            <v>10736</v>
          </cell>
          <cell r="C89" t="str">
            <v>Teja master 1000 (1m*6m)</v>
          </cell>
          <cell r="D89" t="str">
            <v>und</v>
          </cell>
        </row>
        <row r="90">
          <cell r="B90">
            <v>10737</v>
          </cell>
          <cell r="C90" t="str">
            <v xml:space="preserve">gancho teja ondulada </v>
          </cell>
          <cell r="D90" t="str">
            <v>und</v>
          </cell>
        </row>
        <row r="91">
          <cell r="C91" t="str">
            <v>CEMENTOS</v>
          </cell>
        </row>
        <row r="92">
          <cell r="B92" t="str">
            <v>20056</v>
          </cell>
          <cell r="C92" t="str">
            <v>cemento blanco tipo i (40 kg)</v>
          </cell>
          <cell r="D92" t="str">
            <v>sac</v>
          </cell>
        </row>
        <row r="93">
          <cell r="B93">
            <v>20050</v>
          </cell>
          <cell r="C93" t="str">
            <v>cemento gris tipo i (50 kg)</v>
          </cell>
          <cell r="D93" t="str">
            <v>sac</v>
          </cell>
        </row>
        <row r="94">
          <cell r="B94" t="str">
            <v>21079</v>
          </cell>
          <cell r="C94" t="str">
            <v>pegacor Gris (25 kg)</v>
          </cell>
          <cell r="D94" t="str">
            <v>kg</v>
          </cell>
        </row>
        <row r="95">
          <cell r="C95" t="str">
            <v>CONCRETOS</v>
          </cell>
        </row>
        <row r="96">
          <cell r="B96" t="str">
            <v>21922</v>
          </cell>
          <cell r="C96" t="str">
            <v>concr.ciclopeo 2500 psi obra</v>
          </cell>
          <cell r="D96" t="str">
            <v>m3</v>
          </cell>
        </row>
        <row r="97">
          <cell r="B97" t="str">
            <v>20113</v>
          </cell>
          <cell r="C97" t="str">
            <v>concreto 1:2:3 en obra</v>
          </cell>
          <cell r="D97" t="str">
            <v>m3</v>
          </cell>
        </row>
        <row r="98">
          <cell r="B98" t="str">
            <v>20116</v>
          </cell>
          <cell r="C98" t="str">
            <v>concreto 1:2½:4½ en obra</v>
          </cell>
          <cell r="D98" t="str">
            <v>m3</v>
          </cell>
        </row>
        <row r="99">
          <cell r="B99">
            <v>20124</v>
          </cell>
          <cell r="C99" t="str">
            <v>Grouting Cemento - Arena trit. 3/8"</v>
          </cell>
          <cell r="D99" t="str">
            <v>m3</v>
          </cell>
        </row>
        <row r="100">
          <cell r="C100" t="str">
            <v>MORTEROS</v>
          </cell>
        </row>
        <row r="101">
          <cell r="B101" t="str">
            <v>24694</v>
          </cell>
          <cell r="C101" t="str">
            <v>Lechada boquilla ceramico y porcela</v>
          </cell>
          <cell r="D101" t="str">
            <v>kg</v>
          </cell>
        </row>
        <row r="102">
          <cell r="B102">
            <v>20104</v>
          </cell>
          <cell r="C102" t="str">
            <v>mortero 1:4 en obra</v>
          </cell>
          <cell r="D102" t="str">
            <v>m3</v>
          </cell>
        </row>
        <row r="103">
          <cell r="C103" t="str">
            <v>ENCHAPES Y RECUBRIMIENTOS</v>
          </cell>
        </row>
        <row r="104">
          <cell r="B104" t="str">
            <v>20997</v>
          </cell>
          <cell r="C104" t="str">
            <v>Piso pared egeo beige 20.5*20.5</v>
          </cell>
          <cell r="D104" t="str">
            <v>m2</v>
          </cell>
        </row>
        <row r="105">
          <cell r="B105" t="str">
            <v>20995</v>
          </cell>
          <cell r="C105" t="str">
            <v>ceramica Piso</v>
          </cell>
          <cell r="D105" t="str">
            <v>m2</v>
          </cell>
        </row>
        <row r="106">
          <cell r="C106" t="str">
            <v>FORMALETAS Y ANDAMIOS</v>
          </cell>
        </row>
        <row r="107">
          <cell r="B107">
            <v>71361</v>
          </cell>
          <cell r="C107" t="str">
            <v>Formaleta en Super T e=15 mm</v>
          </cell>
          <cell r="D107" t="str">
            <v>m2</v>
          </cell>
        </row>
        <row r="108">
          <cell r="B108" t="str">
            <v>28506</v>
          </cell>
          <cell r="C108" t="str">
            <v>media telera135x45cm mad.comun sin cep.</v>
          </cell>
          <cell r="D108" t="str">
            <v>und</v>
          </cell>
        </row>
        <row r="109">
          <cell r="B109" t="str">
            <v>23898</v>
          </cell>
          <cell r="C109" t="str">
            <v>telera 135cmx90cm mad.comun sin cep.</v>
          </cell>
          <cell r="D109" t="str">
            <v>und</v>
          </cell>
        </row>
        <row r="110">
          <cell r="C110" t="str">
            <v>FERRETERÍA</v>
          </cell>
        </row>
        <row r="111">
          <cell r="B111" t="str">
            <v>21553</v>
          </cell>
          <cell r="C111" t="str">
            <v>clavo corriente 1 pulg</v>
          </cell>
          <cell r="D111" t="str">
            <v>lb</v>
          </cell>
        </row>
        <row r="112">
          <cell r="B112" t="str">
            <v>21558</v>
          </cell>
          <cell r="C112" t="str">
            <v>clavo corriente 1.1/2 pulg</v>
          </cell>
          <cell r="D112" t="str">
            <v>lb</v>
          </cell>
        </row>
        <row r="113">
          <cell r="B113" t="str">
            <v>21554</v>
          </cell>
          <cell r="C113" t="str">
            <v>clavo corriente 1/2 pulg</v>
          </cell>
          <cell r="D113" t="str">
            <v>lb</v>
          </cell>
        </row>
        <row r="114">
          <cell r="B114" t="str">
            <v>21559</v>
          </cell>
          <cell r="C114" t="str">
            <v>clavo corriente 2 pulg</v>
          </cell>
          <cell r="D114" t="str">
            <v>lb</v>
          </cell>
        </row>
        <row r="115">
          <cell r="B115" t="str">
            <v>21557</v>
          </cell>
          <cell r="C115" t="str">
            <v>clavo corriente 2.1/2 pulg</v>
          </cell>
          <cell r="D115" t="str">
            <v>lb</v>
          </cell>
        </row>
        <row r="116">
          <cell r="B116" t="str">
            <v>24804</v>
          </cell>
          <cell r="C116" t="str">
            <v>estopa</v>
          </cell>
          <cell r="D116" t="str">
            <v>kg</v>
          </cell>
        </row>
        <row r="117">
          <cell r="B117" t="str">
            <v>20176</v>
          </cell>
          <cell r="C117" t="str">
            <v>herraje para caja de registro domiciliar</v>
          </cell>
          <cell r="D117" t="str">
            <v>und</v>
          </cell>
        </row>
        <row r="118">
          <cell r="B118">
            <v>28629</v>
          </cell>
          <cell r="C118" t="str">
            <v>Costales</v>
          </cell>
          <cell r="D118" t="str">
            <v>und</v>
          </cell>
        </row>
        <row r="119">
          <cell r="B119">
            <v>28630</v>
          </cell>
          <cell r="C119" t="str">
            <v>Rodillo felpa</v>
          </cell>
          <cell r="D119" t="str">
            <v>und</v>
          </cell>
        </row>
        <row r="120">
          <cell r="B120">
            <v>28631</v>
          </cell>
          <cell r="C120" t="str">
            <v>brocha cerfa fina de 3"</v>
          </cell>
          <cell r="D120" t="str">
            <v>und</v>
          </cell>
        </row>
        <row r="121">
          <cell r="B121">
            <v>28632</v>
          </cell>
          <cell r="C121" t="str">
            <v>brocha cerfa fina de 4"</v>
          </cell>
          <cell r="D121" t="str">
            <v>und</v>
          </cell>
        </row>
        <row r="122">
          <cell r="B122">
            <v>28633</v>
          </cell>
          <cell r="C122" t="str">
            <v>Teflon De 1/2"X10M</v>
          </cell>
          <cell r="D122" t="str">
            <v>und</v>
          </cell>
        </row>
        <row r="123">
          <cell r="B123">
            <v>29815</v>
          </cell>
          <cell r="C123" t="str">
            <v>Lija 60 - 80 - 100 -120 - 150 - 180</v>
          </cell>
          <cell r="D123" t="str">
            <v>und</v>
          </cell>
        </row>
        <row r="124">
          <cell r="B124">
            <v>29759</v>
          </cell>
          <cell r="C124" t="str">
            <v>Tornillo 6 * 1"</v>
          </cell>
          <cell r="D124" t="str">
            <v>und</v>
          </cell>
        </row>
        <row r="125">
          <cell r="B125">
            <v>29758</v>
          </cell>
          <cell r="C125" t="str">
            <v>Tornillo 7*7/16"</v>
          </cell>
          <cell r="D125" t="str">
            <v>und</v>
          </cell>
        </row>
        <row r="126">
          <cell r="B126">
            <v>29757</v>
          </cell>
          <cell r="C126" t="str">
            <v>Tornillo con chazo</v>
          </cell>
          <cell r="D126" t="str">
            <v>und</v>
          </cell>
        </row>
        <row r="127">
          <cell r="B127" t="str">
            <v>22053</v>
          </cell>
          <cell r="C127" t="str">
            <v>crucetas plásticas para juntas 3mm</v>
          </cell>
          <cell r="D127" t="str">
            <v>paq</v>
          </cell>
        </row>
        <row r="128">
          <cell r="B128">
            <v>22054</v>
          </cell>
          <cell r="C128" t="str">
            <v>Tornillo De Ensamble De 2"</v>
          </cell>
          <cell r="D128" t="str">
            <v>und</v>
          </cell>
        </row>
        <row r="129">
          <cell r="C129" t="str">
            <v>GRIFERÍA</v>
          </cell>
        </row>
        <row r="130">
          <cell r="B130" t="str">
            <v>25259</v>
          </cell>
          <cell r="C130" t="str">
            <v>Grifería individual lavamanos</v>
          </cell>
          <cell r="D130" t="str">
            <v>und</v>
          </cell>
        </row>
        <row r="131">
          <cell r="B131" t="str">
            <v>25304</v>
          </cell>
          <cell r="C131" t="str">
            <v>conj.lavaplatos llave indiv.galaxia</v>
          </cell>
          <cell r="D131" t="str">
            <v>und</v>
          </cell>
        </row>
        <row r="132">
          <cell r="B132" t="str">
            <v>11564</v>
          </cell>
          <cell r="C132" t="str">
            <v>juego accesorios  basico blanc x 3 unidades</v>
          </cell>
          <cell r="D132" t="str">
            <v>und</v>
          </cell>
        </row>
        <row r="133">
          <cell r="B133" t="str">
            <v>25580</v>
          </cell>
          <cell r="C133" t="str">
            <v>llave manguera liviana cromada</v>
          </cell>
          <cell r="D133" t="str">
            <v>und</v>
          </cell>
        </row>
        <row r="134">
          <cell r="B134">
            <v>25631</v>
          </cell>
          <cell r="C134" t="str">
            <v>Abasto Grival Plastico Sanitario</v>
          </cell>
          <cell r="D134" t="str">
            <v>und</v>
          </cell>
        </row>
        <row r="135">
          <cell r="B135">
            <v>25632</v>
          </cell>
          <cell r="C135" t="str">
            <v>Abasto Grival Plastico Lavamanos</v>
          </cell>
          <cell r="D135" t="str">
            <v>und</v>
          </cell>
        </row>
        <row r="136">
          <cell r="B136">
            <v>25633</v>
          </cell>
          <cell r="C136" t="str">
            <v>Registro Ducha Briza Grival (324403331)</v>
          </cell>
          <cell r="D136" t="str">
            <v>und</v>
          </cell>
        </row>
        <row r="137">
          <cell r="B137">
            <v>25634</v>
          </cell>
          <cell r="C137" t="str">
            <v>Ducha Cromada Econo Grifoplas</v>
          </cell>
          <cell r="D137" t="str">
            <v>und</v>
          </cell>
        </row>
        <row r="138">
          <cell r="B138">
            <v>25635</v>
          </cell>
          <cell r="C138" t="str">
            <v>Abasto Grival Plastico Lavaplatos</v>
          </cell>
          <cell r="D138" t="str">
            <v>und</v>
          </cell>
        </row>
        <row r="139">
          <cell r="B139">
            <v>25636</v>
          </cell>
          <cell r="C139" t="str">
            <v>Lavaplatos para empotrar 1 poceta 53x43 cm Acero inoxidable</v>
          </cell>
          <cell r="D139" t="str">
            <v xml:space="preserve">und </v>
          </cell>
        </row>
        <row r="140">
          <cell r="C140" t="str">
            <v>GEOTEXTILES</v>
          </cell>
        </row>
        <row r="141">
          <cell r="B141" t="str">
            <v>25196</v>
          </cell>
          <cell r="C141" t="str">
            <v>Geotextil tejido 2400 pavco</v>
          </cell>
          <cell r="D141" t="str">
            <v>m2</v>
          </cell>
        </row>
        <row r="142">
          <cell r="C142" t="str">
            <v>LADRILLOS Y BLOQUES</v>
          </cell>
        </row>
        <row r="143">
          <cell r="B143" t="str">
            <v>25105</v>
          </cell>
          <cell r="C143" t="str">
            <v>lad.perf.hzont.rayado 10-20-40</v>
          </cell>
          <cell r="D143" t="str">
            <v>und</v>
          </cell>
        </row>
        <row r="144">
          <cell r="B144" t="str">
            <v>25107</v>
          </cell>
          <cell r="C144" t="str">
            <v>lad.perf.hzont.rayado 15-20-40</v>
          </cell>
          <cell r="D144" t="str">
            <v>und</v>
          </cell>
        </row>
        <row r="145">
          <cell r="B145">
            <v>25110</v>
          </cell>
          <cell r="C145" t="str">
            <v>lad.perf.hzont.rayado 12-20-41</v>
          </cell>
          <cell r="D145" t="str">
            <v>und</v>
          </cell>
        </row>
        <row r="146">
          <cell r="B146">
            <v>25108</v>
          </cell>
          <cell r="C146" t="str">
            <v>lad.perf.vert.rayado 12-20-40</v>
          </cell>
          <cell r="D146" t="str">
            <v>und</v>
          </cell>
        </row>
        <row r="147">
          <cell r="B147">
            <v>25109</v>
          </cell>
          <cell r="C147" t="str">
            <v>lad.perf.vert.rayado 15-20-40</v>
          </cell>
          <cell r="D147" t="str">
            <v>und</v>
          </cell>
        </row>
        <row r="148">
          <cell r="B148" t="str">
            <v>20270</v>
          </cell>
          <cell r="C148" t="str">
            <v>Bloque concreto 10x20x40</v>
          </cell>
          <cell r="D148" t="str">
            <v>und</v>
          </cell>
        </row>
        <row r="149">
          <cell r="B149" t="str">
            <v>20271</v>
          </cell>
          <cell r="C149" t="str">
            <v>Bloque concreto 12x20x40</v>
          </cell>
          <cell r="D149" t="str">
            <v>und</v>
          </cell>
        </row>
        <row r="150">
          <cell r="B150" t="str">
            <v>20272</v>
          </cell>
          <cell r="C150" t="str">
            <v>Bloque concreto 15x20x40</v>
          </cell>
          <cell r="D150" t="str">
            <v>und</v>
          </cell>
        </row>
        <row r="151">
          <cell r="B151" t="str">
            <v>20273</v>
          </cell>
          <cell r="C151" t="str">
            <v>Bloque concreto 20x20x40</v>
          </cell>
          <cell r="D151" t="str">
            <v>und</v>
          </cell>
        </row>
        <row r="152">
          <cell r="B152" t="str">
            <v>20274</v>
          </cell>
          <cell r="C152" t="str">
            <v>ladrillo Tolete liso 12x20x40 perf. Horz</v>
          </cell>
          <cell r="D152" t="str">
            <v>und</v>
          </cell>
        </row>
        <row r="153">
          <cell r="B153" t="str">
            <v>20275</v>
          </cell>
          <cell r="C153" t="str">
            <v>ladrillo Tolete liso 12x20x40 term. Vert</v>
          </cell>
          <cell r="D153" t="str">
            <v>und</v>
          </cell>
        </row>
        <row r="154">
          <cell r="C154" t="str">
            <v>MANO DE OBRA POR ACTIVIDAD</v>
          </cell>
        </row>
        <row r="155">
          <cell r="B155" t="str">
            <v>61939</v>
          </cell>
          <cell r="C155" t="str">
            <v>coloc.mortero de piso</v>
          </cell>
          <cell r="D155" t="str">
            <v>m2</v>
          </cell>
        </row>
        <row r="156">
          <cell r="B156" t="str">
            <v>62028</v>
          </cell>
          <cell r="C156" t="str">
            <v>coloc.ventana aluminio</v>
          </cell>
          <cell r="D156" t="str">
            <v>m2</v>
          </cell>
        </row>
        <row r="157">
          <cell r="B157" t="str">
            <v>61721</v>
          </cell>
          <cell r="C157" t="str">
            <v>coloc.zoc.baldosa</v>
          </cell>
          <cell r="D157" t="str">
            <v>m</v>
          </cell>
        </row>
        <row r="158">
          <cell r="B158" t="str">
            <v>61717</v>
          </cell>
          <cell r="C158" t="str">
            <v xml:space="preserve">const.rebanco </v>
          </cell>
          <cell r="D158" t="str">
            <v>m</v>
          </cell>
        </row>
        <row r="159">
          <cell r="B159" t="str">
            <v>60946</v>
          </cell>
          <cell r="C159" t="str">
            <v>m.o construc.columa</v>
          </cell>
          <cell r="D159" t="str">
            <v>m</v>
          </cell>
        </row>
        <row r="160">
          <cell r="B160" t="str">
            <v>60947</v>
          </cell>
          <cell r="C160" t="str">
            <v>m.o construc.dovela</v>
          </cell>
          <cell r="D160" t="str">
            <v>m</v>
          </cell>
        </row>
        <row r="161">
          <cell r="B161" t="str">
            <v>61351</v>
          </cell>
          <cell r="C161" t="str">
            <v>construccion muro bloque</v>
          </cell>
          <cell r="D161" t="str">
            <v>m2</v>
          </cell>
        </row>
        <row r="162">
          <cell r="B162" t="str">
            <v>61185</v>
          </cell>
          <cell r="C162" t="str">
            <v>inst.reja metalica</v>
          </cell>
          <cell r="D162" t="str">
            <v>und</v>
          </cell>
        </row>
        <row r="163">
          <cell r="B163" t="str">
            <v>61999</v>
          </cell>
          <cell r="C163" t="str">
            <v>inst.marco puerta lamina</v>
          </cell>
          <cell r="D163" t="str">
            <v>und</v>
          </cell>
        </row>
        <row r="164">
          <cell r="B164" t="str">
            <v>62001</v>
          </cell>
          <cell r="C164" t="str">
            <v>inst.marco puerta madera</v>
          </cell>
          <cell r="D164" t="str">
            <v>und</v>
          </cell>
        </row>
        <row r="165">
          <cell r="B165" t="str">
            <v>62186</v>
          </cell>
          <cell r="C165" t="str">
            <v>m. de o inst. griferia cocina</v>
          </cell>
          <cell r="D165" t="str">
            <v>und</v>
          </cell>
        </row>
        <row r="166">
          <cell r="B166" t="str">
            <v>62185</v>
          </cell>
          <cell r="C166" t="str">
            <v>m. de o. instalacion tanque 1000 lt</v>
          </cell>
          <cell r="D166" t="str">
            <v>m2</v>
          </cell>
        </row>
        <row r="167">
          <cell r="B167">
            <v>62186</v>
          </cell>
          <cell r="C167" t="str">
            <v>m. de o. instalacion mueble inferior</v>
          </cell>
          <cell r="D167" t="str">
            <v>ml</v>
          </cell>
        </row>
        <row r="168">
          <cell r="B168">
            <v>62187</v>
          </cell>
          <cell r="C168" t="str">
            <v>m. de o. instalacion mueble superior</v>
          </cell>
          <cell r="D168" t="str">
            <v>ml</v>
          </cell>
        </row>
        <row r="169">
          <cell r="B169">
            <v>62188</v>
          </cell>
          <cell r="C169" t="str">
            <v>m. de o. instalacion barras de apoyo</v>
          </cell>
          <cell r="D169" t="str">
            <v>und</v>
          </cell>
        </row>
        <row r="170">
          <cell r="B170" t="str">
            <v>62145</v>
          </cell>
          <cell r="C170" t="str">
            <v>m. de o. colocacion canoa</v>
          </cell>
          <cell r="D170" t="str">
            <v>m</v>
          </cell>
        </row>
        <row r="171">
          <cell r="B171" t="str">
            <v>62073</v>
          </cell>
          <cell r="C171" t="str">
            <v>m. de o. inst. caja 50*50</v>
          </cell>
          <cell r="D171" t="str">
            <v>und</v>
          </cell>
        </row>
        <row r="172">
          <cell r="B172" t="str">
            <v>60618</v>
          </cell>
          <cell r="C172" t="str">
            <v>m. de o. inst. pozo septico</v>
          </cell>
          <cell r="D172" t="str">
            <v>und</v>
          </cell>
        </row>
        <row r="173">
          <cell r="B173" t="str">
            <v>62133</v>
          </cell>
          <cell r="C173" t="str">
            <v>m. de o. salidas de energia</v>
          </cell>
          <cell r="D173" t="str">
            <v>sal</v>
          </cell>
        </row>
        <row r="174">
          <cell r="B174" t="str">
            <v>62134</v>
          </cell>
          <cell r="C174" t="str">
            <v>m. de o. instalacion tablero electrico</v>
          </cell>
          <cell r="D174" t="str">
            <v>und</v>
          </cell>
        </row>
        <row r="175">
          <cell r="B175" t="str">
            <v>62143</v>
          </cell>
          <cell r="C175" t="str">
            <v>m. de o. tablilla</v>
          </cell>
          <cell r="D175" t="str">
            <v>m</v>
          </cell>
        </row>
        <row r="176">
          <cell r="B176" t="str">
            <v>62180</v>
          </cell>
          <cell r="C176" t="str">
            <v>m. de. o bajante de 2"_3"</v>
          </cell>
          <cell r="D176" t="str">
            <v>ml</v>
          </cell>
        </row>
        <row r="177">
          <cell r="B177" t="str">
            <v>60227</v>
          </cell>
          <cell r="C177" t="str">
            <v>m. de. o ruana</v>
          </cell>
          <cell r="D177" t="str">
            <v>ml</v>
          </cell>
        </row>
        <row r="178">
          <cell r="B178" t="str">
            <v>62181</v>
          </cell>
          <cell r="C178" t="str">
            <v>m. de. o inst boquilla</v>
          </cell>
          <cell r="D178" t="str">
            <v>und</v>
          </cell>
        </row>
        <row r="179">
          <cell r="B179" t="str">
            <v>60230</v>
          </cell>
          <cell r="C179" t="str">
            <v>m. de. o encorozado cubierta</v>
          </cell>
          <cell r="D179" t="str">
            <v>m2</v>
          </cell>
        </row>
        <row r="180">
          <cell r="B180" t="str">
            <v>60226</v>
          </cell>
          <cell r="C180" t="str">
            <v>m. de. o manto asfaltico</v>
          </cell>
          <cell r="D180" t="str">
            <v>m2</v>
          </cell>
        </row>
        <row r="181">
          <cell r="B181" t="str">
            <v>60223</v>
          </cell>
          <cell r="C181" t="str">
            <v>m. de. o carguera</v>
          </cell>
          <cell r="D181" t="str">
            <v>m2</v>
          </cell>
        </row>
        <row r="182">
          <cell r="B182" t="str">
            <v>60225</v>
          </cell>
          <cell r="C182" t="str">
            <v>m. de. o lavada e hidrofugada de muro</v>
          </cell>
          <cell r="D182" t="str">
            <v>m2</v>
          </cell>
        </row>
        <row r="183">
          <cell r="B183" t="str">
            <v>62179</v>
          </cell>
          <cell r="C183" t="str">
            <v>m. de. o sillar en concreto</v>
          </cell>
          <cell r="D183" t="str">
            <v>ml</v>
          </cell>
        </row>
        <row r="184">
          <cell r="B184" t="str">
            <v>62149</v>
          </cell>
          <cell r="C184" t="str">
            <v>m. de. o dintel en concreto</v>
          </cell>
          <cell r="D184" t="str">
            <v>ml</v>
          </cell>
        </row>
        <row r="185">
          <cell r="B185" t="str">
            <v>62163</v>
          </cell>
          <cell r="C185" t="str">
            <v>m.de o. ladrillo de 0,10_0,15</v>
          </cell>
          <cell r="D185" t="str">
            <v>m</v>
          </cell>
        </row>
        <row r="186">
          <cell r="B186" t="str">
            <v>62167</v>
          </cell>
          <cell r="C186" t="str">
            <v>m.de o. colocac. Anden</v>
          </cell>
          <cell r="D186" t="str">
            <v>m2</v>
          </cell>
        </row>
        <row r="187">
          <cell r="B187" t="str">
            <v>62144</v>
          </cell>
          <cell r="C187" t="str">
            <v>m.de o. colocacion de pasamanos</v>
          </cell>
          <cell r="D187" t="str">
            <v>m</v>
          </cell>
        </row>
        <row r="188">
          <cell r="B188" t="str">
            <v>62158</v>
          </cell>
          <cell r="C188" t="str">
            <v>m.de o.coloc.caballete</v>
          </cell>
          <cell r="D188" t="str">
            <v>m2</v>
          </cell>
        </row>
        <row r="189">
          <cell r="B189" t="str">
            <v>62174</v>
          </cell>
          <cell r="C189" t="str">
            <v>m.de o.coloc.meson.concreto a la vista</v>
          </cell>
          <cell r="D189" t="str">
            <v>und</v>
          </cell>
        </row>
        <row r="190">
          <cell r="B190" t="str">
            <v>62173</v>
          </cell>
          <cell r="C190" t="str">
            <v>m.de o.coloc.cubiertas metalica</v>
          </cell>
          <cell r="D190" t="str">
            <v>m2</v>
          </cell>
        </row>
        <row r="191">
          <cell r="B191" t="str">
            <v>62170</v>
          </cell>
          <cell r="C191" t="str">
            <v>m.de o. vaciado escaleras</v>
          </cell>
          <cell r="D191" t="str">
            <v>m3</v>
          </cell>
        </row>
        <row r="192">
          <cell r="B192" t="str">
            <v>62168</v>
          </cell>
          <cell r="C192" t="str">
            <v>m.de o. vaciado pedestal (30x40)</v>
          </cell>
          <cell r="D192" t="str">
            <v>m</v>
          </cell>
        </row>
        <row r="193">
          <cell r="B193" t="str">
            <v>62114</v>
          </cell>
          <cell r="C193" t="str">
            <v>m.de o. vigas cinta</v>
          </cell>
          <cell r="D193" t="str">
            <v>m</v>
          </cell>
        </row>
        <row r="194">
          <cell r="B194" t="str">
            <v>60996</v>
          </cell>
          <cell r="C194" t="str">
            <v>m.de o.acarreo int.mat.de lleno 40 ml</v>
          </cell>
          <cell r="D194" t="str">
            <v>m3</v>
          </cell>
        </row>
        <row r="195">
          <cell r="B195" t="str">
            <v>61964</v>
          </cell>
          <cell r="C195" t="str">
            <v>m.de o.acarreo int.mat.exc.</v>
          </cell>
          <cell r="D195" t="str">
            <v>m3</v>
          </cell>
        </row>
        <row r="196">
          <cell r="B196" t="str">
            <v>61810</v>
          </cell>
          <cell r="C196" t="str">
            <v>m.de o.coloc. Lleno estructural</v>
          </cell>
          <cell r="D196" t="str">
            <v>m2</v>
          </cell>
        </row>
        <row r="197">
          <cell r="B197" t="str">
            <v>60590</v>
          </cell>
          <cell r="C197" t="str">
            <v>m.de o.cargue en volq.y botada escomb</v>
          </cell>
          <cell r="D197" t="str">
            <v>m3</v>
          </cell>
        </row>
        <row r="198">
          <cell r="B198">
            <v>60591</v>
          </cell>
          <cell r="C198" t="str">
            <v>preparacion mortero en obra (m.obra)</v>
          </cell>
          <cell r="D198" t="str">
            <v>m3</v>
          </cell>
        </row>
        <row r="199">
          <cell r="B199">
            <v>60592</v>
          </cell>
          <cell r="C199" t="str">
            <v>preparacion concreto en obra (m.obra)</v>
          </cell>
          <cell r="D199" t="str">
            <v>m3</v>
          </cell>
        </row>
        <row r="200">
          <cell r="B200" t="str">
            <v>61686</v>
          </cell>
          <cell r="C200" t="str">
            <v>m.de o.coloc.cañuela</v>
          </cell>
          <cell r="D200" t="str">
            <v>ml</v>
          </cell>
        </row>
        <row r="201">
          <cell r="B201" t="str">
            <v>61019</v>
          </cell>
          <cell r="C201" t="str">
            <v>m.de o.coloc.cordones</v>
          </cell>
          <cell r="D201" t="str">
            <v>m</v>
          </cell>
        </row>
        <row r="202">
          <cell r="B202" t="str">
            <v>61778</v>
          </cell>
          <cell r="C202" t="str">
            <v>m.de o.coloc.cubiertas teja de barro</v>
          </cell>
          <cell r="D202" t="str">
            <v>m2</v>
          </cell>
        </row>
        <row r="203">
          <cell r="B203" t="str">
            <v>61035</v>
          </cell>
          <cell r="C203" t="str">
            <v>m.de o.coloc.grama(todo costo)</v>
          </cell>
          <cell r="D203" t="str">
            <v>m2</v>
          </cell>
        </row>
        <row r="204">
          <cell r="B204" t="str">
            <v>61789</v>
          </cell>
          <cell r="C204" t="str">
            <v>m.de o.coloc.meson.de acero inoxidable</v>
          </cell>
          <cell r="D204" t="str">
            <v>und</v>
          </cell>
        </row>
        <row r="205">
          <cell r="B205" t="str">
            <v>61000</v>
          </cell>
          <cell r="C205" t="str">
            <v>m.de o.instalacion pintura exterior</v>
          </cell>
          <cell r="D205" t="str">
            <v>m3</v>
          </cell>
        </row>
        <row r="206">
          <cell r="B206" t="str">
            <v>62077</v>
          </cell>
          <cell r="C206" t="str">
            <v>m.de o.coloc.cubiertas teja de eternit</v>
          </cell>
          <cell r="D206" t="str">
            <v>m2</v>
          </cell>
        </row>
        <row r="207">
          <cell r="B207" t="str">
            <v>61655</v>
          </cell>
          <cell r="C207" t="str">
            <v>m.de o.enchape ceramica piso</v>
          </cell>
          <cell r="D207" t="str">
            <v>m2</v>
          </cell>
        </row>
        <row r="208">
          <cell r="B208" t="str">
            <v>61099</v>
          </cell>
          <cell r="C208" t="str">
            <v>m.de o.enchape ceramica pared</v>
          </cell>
          <cell r="D208" t="str">
            <v>m2</v>
          </cell>
        </row>
        <row r="209">
          <cell r="B209" t="str">
            <v>60563</v>
          </cell>
          <cell r="C209" t="str">
            <v>m.de o.exc.man.tierra seca 0-2 m</v>
          </cell>
          <cell r="D209" t="str">
            <v>m3</v>
          </cell>
        </row>
        <row r="210">
          <cell r="B210" t="str">
            <v>60564</v>
          </cell>
          <cell r="C210" t="str">
            <v>m.de o.instalacion pintura interior</v>
          </cell>
          <cell r="D210" t="str">
            <v>m3</v>
          </cell>
        </row>
        <row r="211">
          <cell r="B211" t="str">
            <v>60218</v>
          </cell>
          <cell r="C211" t="str">
            <v>m.de o.desmonte de puertas</v>
          </cell>
          <cell r="D211" t="str">
            <v>und</v>
          </cell>
        </row>
        <row r="212">
          <cell r="B212" t="str">
            <v>61122</v>
          </cell>
          <cell r="C212" t="str">
            <v>m.de o.desmonte de ventanas</v>
          </cell>
          <cell r="D212" t="str">
            <v>und</v>
          </cell>
        </row>
        <row r="213">
          <cell r="B213">
            <v>61123</v>
          </cell>
          <cell r="C213" t="str">
            <v>m.de o.retiro de aparatos sanitarios</v>
          </cell>
          <cell r="D213" t="str">
            <v>und</v>
          </cell>
        </row>
        <row r="214">
          <cell r="B214">
            <v>61124</v>
          </cell>
          <cell r="C214" t="str">
            <v>m.de o.demolicion de piso</v>
          </cell>
          <cell r="D214" t="str">
            <v>m2</v>
          </cell>
        </row>
        <row r="215">
          <cell r="B215" t="str">
            <v>60219</v>
          </cell>
          <cell r="C215" t="str">
            <v>m.de o.demolicion de bloque</v>
          </cell>
          <cell r="D215" t="str">
            <v>m2</v>
          </cell>
        </row>
        <row r="216">
          <cell r="B216">
            <v>60220</v>
          </cell>
          <cell r="C216" t="str">
            <v>m.de o.demolicion ladrillo de 0,15_0,10</v>
          </cell>
          <cell r="D216" t="str">
            <v>m2</v>
          </cell>
        </row>
        <row r="217">
          <cell r="B217" t="str">
            <v>60221</v>
          </cell>
          <cell r="C217" t="str">
            <v>m.de o.desmonte cubierta teja de eternit</v>
          </cell>
          <cell r="D217" t="str">
            <v>m2</v>
          </cell>
        </row>
        <row r="218">
          <cell r="B218" t="str">
            <v>61121</v>
          </cell>
          <cell r="C218" t="str">
            <v>m.de o.desmonte cubierta teja de barro</v>
          </cell>
          <cell r="D218" t="str">
            <v>m2</v>
          </cell>
        </row>
        <row r="219">
          <cell r="B219" t="str">
            <v>60617</v>
          </cell>
          <cell r="C219" t="str">
            <v>m.de o.localizacion y replanteo</v>
          </cell>
          <cell r="D219" t="str">
            <v>m3</v>
          </cell>
        </row>
        <row r="220">
          <cell r="B220" t="str">
            <v>61758</v>
          </cell>
          <cell r="C220" t="str">
            <v>m.de o.inst.conj.ducha senc.</v>
          </cell>
          <cell r="D220" t="str">
            <v>und</v>
          </cell>
        </row>
        <row r="221">
          <cell r="B221" t="str">
            <v>61744</v>
          </cell>
          <cell r="C221" t="str">
            <v>m.de o.inst.conj.mezc.lavam.</v>
          </cell>
          <cell r="D221" t="str">
            <v>und</v>
          </cell>
        </row>
        <row r="222">
          <cell r="B222" t="str">
            <v>61752</v>
          </cell>
          <cell r="C222" t="str">
            <v>m.de o.lavadero</v>
          </cell>
          <cell r="D222" t="str">
            <v>und</v>
          </cell>
        </row>
        <row r="223">
          <cell r="B223" t="str">
            <v>61194</v>
          </cell>
          <cell r="C223" t="str">
            <v>m.de o.inst. combo sanitarios</v>
          </cell>
          <cell r="D223" t="str">
            <v>und</v>
          </cell>
        </row>
        <row r="224">
          <cell r="B224" t="str">
            <v>61736</v>
          </cell>
          <cell r="C224" t="str">
            <v>m.de o.inst.  sanitarios</v>
          </cell>
          <cell r="D224" t="str">
            <v>und</v>
          </cell>
        </row>
        <row r="225">
          <cell r="B225" t="str">
            <v>61929</v>
          </cell>
          <cell r="C225" t="str">
            <v>m.de o.losa mac.(form.vac.d.colocación acero)</v>
          </cell>
          <cell r="D225" t="str">
            <v>m2</v>
          </cell>
        </row>
        <row r="226">
          <cell r="B226" t="str">
            <v>60550</v>
          </cell>
          <cell r="C226" t="str">
            <v>m.de o.nivelacion terreno</v>
          </cell>
          <cell r="D226" t="str">
            <v>m2</v>
          </cell>
        </row>
        <row r="227">
          <cell r="B227" t="str">
            <v>61081</v>
          </cell>
          <cell r="C227" t="str">
            <v>m.de o.revoque liso cielos</v>
          </cell>
          <cell r="D227" t="str">
            <v>m2</v>
          </cell>
        </row>
        <row r="228">
          <cell r="B228" t="str">
            <v>61080</v>
          </cell>
          <cell r="C228" t="str">
            <v>m.de o.revoque liso m.</v>
          </cell>
          <cell r="D228" t="str">
            <v>m2</v>
          </cell>
        </row>
        <row r="229">
          <cell r="B229" t="str">
            <v>61138</v>
          </cell>
          <cell r="C229" t="str">
            <v>m.de o.instalacion red de gas</v>
          </cell>
          <cell r="D229" t="str">
            <v>glb</v>
          </cell>
        </row>
        <row r="230">
          <cell r="B230" t="str">
            <v>60241</v>
          </cell>
          <cell r="C230" t="str">
            <v>m.de o.instalacion rejilla</v>
          </cell>
          <cell r="D230" t="str">
            <v>und</v>
          </cell>
        </row>
        <row r="231">
          <cell r="B231" t="str">
            <v>61995</v>
          </cell>
          <cell r="C231" t="str">
            <v>m.de o.vaciado conc.ciclopeo</v>
          </cell>
          <cell r="D231" t="str">
            <v>m3</v>
          </cell>
        </row>
        <row r="232">
          <cell r="B232" t="str">
            <v>61926</v>
          </cell>
          <cell r="C232" t="str">
            <v>m.de o.vaciado solado</v>
          </cell>
          <cell r="D232" t="str">
            <v>m2</v>
          </cell>
        </row>
        <row r="233">
          <cell r="B233" t="str">
            <v>61951</v>
          </cell>
          <cell r="C233" t="str">
            <v>m.de o.viga de amarre sobre muros (Encof.+vaciado+desenc.+colocación acero)</v>
          </cell>
          <cell r="D233" t="str">
            <v>m</v>
          </cell>
        </row>
        <row r="234">
          <cell r="B234" t="str">
            <v>61140</v>
          </cell>
          <cell r="C234" t="str">
            <v>m.de o.vigas fund(form-vac-des+colocación acero)</v>
          </cell>
          <cell r="D234" t="str">
            <v>m3</v>
          </cell>
        </row>
        <row r="235">
          <cell r="B235" t="str">
            <v>62081</v>
          </cell>
          <cell r="C235" t="str">
            <v>m.de o.salidas sanitarias</v>
          </cell>
          <cell r="D235" t="str">
            <v>und</v>
          </cell>
        </row>
        <row r="236">
          <cell r="B236" t="str">
            <v>61702</v>
          </cell>
          <cell r="C236" t="str">
            <v>m.o.coloc.medidor general mecanico</v>
          </cell>
          <cell r="D236" t="str">
            <v>und</v>
          </cell>
        </row>
        <row r="237">
          <cell r="B237">
            <v>61800</v>
          </cell>
          <cell r="C237" t="str">
            <v>m.o. base granular</v>
          </cell>
          <cell r="D237" t="str">
            <v>m3</v>
          </cell>
        </row>
        <row r="238">
          <cell r="B238" t="str">
            <v>60591</v>
          </cell>
          <cell r="C238" t="str">
            <v>m.de o.salidas hidraulicas</v>
          </cell>
          <cell r="D238" t="str">
            <v>und</v>
          </cell>
        </row>
        <row r="239">
          <cell r="B239" t="str">
            <v>62132</v>
          </cell>
          <cell r="C239" t="str">
            <v xml:space="preserve">m.o. red desagües aguas negras y lluvias </v>
          </cell>
          <cell r="D239" t="str">
            <v>sal</v>
          </cell>
        </row>
        <row r="240">
          <cell r="B240" t="str">
            <v>61233</v>
          </cell>
          <cell r="C240" t="str">
            <v>sobrec. bloque 1 hilada</v>
          </cell>
          <cell r="D240" t="str">
            <v>m</v>
          </cell>
        </row>
        <row r="241">
          <cell r="B241">
            <v>62128</v>
          </cell>
          <cell r="C241" t="str">
            <v>Transporte materiales en camión o volqueta desde el casco urbano del municipio hasta el lugar de la intervención. 0 km - 6km</v>
          </cell>
          <cell r="D241" t="str">
            <v>vje</v>
          </cell>
        </row>
        <row r="242">
          <cell r="B242" t="str">
            <v>60244</v>
          </cell>
          <cell r="C242" t="str">
            <v>vac.concr.zapatas</v>
          </cell>
          <cell r="D242" t="str">
            <v>m3</v>
          </cell>
        </row>
        <row r="243">
          <cell r="B243">
            <v>30000</v>
          </cell>
          <cell r="C243" t="str">
            <v xml:space="preserve">Mano de obra figuración y armado </v>
          </cell>
          <cell r="D243" t="str">
            <v>kg</v>
          </cell>
        </row>
        <row r="244">
          <cell r="B244">
            <v>66661</v>
          </cell>
          <cell r="C244" t="str">
            <v xml:space="preserve">M.o instalación pozuelo </v>
          </cell>
          <cell r="D244" t="str">
            <v xml:space="preserve">und </v>
          </cell>
        </row>
        <row r="245">
          <cell r="C245" t="str">
            <v>MANO DE OBRA POR OCUPACION</v>
          </cell>
        </row>
        <row r="246">
          <cell r="B246">
            <v>60034</v>
          </cell>
          <cell r="C246" t="str">
            <v>oficial de 1a obra blanca</v>
          </cell>
          <cell r="D246" t="str">
            <v>h</v>
          </cell>
        </row>
        <row r="247">
          <cell r="B247" t="str">
            <v>60032</v>
          </cell>
          <cell r="C247" t="str">
            <v>oficial de 1a obra negra</v>
          </cell>
          <cell r="D247" t="str">
            <v>h</v>
          </cell>
        </row>
        <row r="248">
          <cell r="B248">
            <v>60035</v>
          </cell>
          <cell r="C248" t="str">
            <v>oficial de 2a obra blanca</v>
          </cell>
          <cell r="D248" t="str">
            <v>h</v>
          </cell>
        </row>
        <row r="249">
          <cell r="B249" t="str">
            <v>60033</v>
          </cell>
          <cell r="C249" t="str">
            <v>oficial de 2a obra negra</v>
          </cell>
          <cell r="D249" t="str">
            <v>h</v>
          </cell>
        </row>
        <row r="250">
          <cell r="B250" t="str">
            <v>60036</v>
          </cell>
          <cell r="C250" t="str">
            <v>oficial de carpinteria</v>
          </cell>
          <cell r="D250" t="str">
            <v>h</v>
          </cell>
        </row>
        <row r="251">
          <cell r="B251" t="str">
            <v>60062</v>
          </cell>
          <cell r="C251" t="str">
            <v>oficial de plomeria</v>
          </cell>
          <cell r="D251" t="str">
            <v>h</v>
          </cell>
        </row>
        <row r="252">
          <cell r="B252" t="str">
            <v>60060</v>
          </cell>
          <cell r="C252" t="str">
            <v>oficial hierro</v>
          </cell>
          <cell r="D252" t="str">
            <v>h</v>
          </cell>
        </row>
        <row r="253">
          <cell r="B253" t="str">
            <v>60059</v>
          </cell>
          <cell r="C253" t="str">
            <v>oficial pintor</v>
          </cell>
          <cell r="D253" t="str">
            <v>h</v>
          </cell>
        </row>
        <row r="254">
          <cell r="B254">
            <v>60042</v>
          </cell>
          <cell r="C254" t="str">
            <v>operador equipo liviano</v>
          </cell>
          <cell r="D254" t="str">
            <v>h</v>
          </cell>
        </row>
        <row r="255">
          <cell r="B255">
            <v>60046</v>
          </cell>
          <cell r="C255" t="str">
            <v>operador equipo mediano</v>
          </cell>
          <cell r="D255" t="str">
            <v>h</v>
          </cell>
        </row>
        <row r="256">
          <cell r="B256" t="str">
            <v>60044</v>
          </cell>
          <cell r="C256" t="str">
            <v>operador equipo pesado</v>
          </cell>
          <cell r="D256" t="str">
            <v>h</v>
          </cell>
        </row>
        <row r="257">
          <cell r="C257" t="str">
            <v>MEZONES</v>
          </cell>
        </row>
        <row r="258">
          <cell r="B258" t="str">
            <v>15713</v>
          </cell>
          <cell r="C258" t="str">
            <v>poz. 53x43 bar redondo-cuad. socoda</v>
          </cell>
          <cell r="D258" t="str">
            <v>und</v>
          </cell>
        </row>
        <row r="259">
          <cell r="B259" t="str">
            <v>15352</v>
          </cell>
          <cell r="C259" t="str">
            <v>poz. 62x48 acero inoxidable socoda</v>
          </cell>
          <cell r="D259" t="str">
            <v>und</v>
          </cell>
        </row>
        <row r="260">
          <cell r="B260">
            <v>24523</v>
          </cell>
          <cell r="C260" t="str">
            <v>Meson en acero inoxidable con pozuelo de 1,20m</v>
          </cell>
          <cell r="D260" t="str">
            <v>und</v>
          </cell>
        </row>
        <row r="261">
          <cell r="B261" t="str">
            <v>24517</v>
          </cell>
          <cell r="C261" t="str">
            <v>Meson en acero inoxidable con pozuelo de 1,50m</v>
          </cell>
          <cell r="D261" t="str">
            <v>und</v>
          </cell>
        </row>
        <row r="262">
          <cell r="B262">
            <v>24518</v>
          </cell>
          <cell r="C262" t="str">
            <v>Meson en acero inoxidable con pozuelo de 1,80m</v>
          </cell>
          <cell r="D262" t="str">
            <v>und</v>
          </cell>
        </row>
        <row r="263">
          <cell r="B263" t="str">
            <v>24519</v>
          </cell>
          <cell r="C263" t="str">
            <v>Meson en acero inoxidable con pozuelo de 2,00m</v>
          </cell>
          <cell r="D263" t="str">
            <v>und</v>
          </cell>
        </row>
        <row r="264">
          <cell r="B264" t="str">
            <v>24520</v>
          </cell>
          <cell r="C264" t="str">
            <v>Meson en acero inoxidable con pozuelo y quemadores de 1,50m</v>
          </cell>
          <cell r="D264" t="str">
            <v>und</v>
          </cell>
        </row>
        <row r="265">
          <cell r="B265">
            <v>24524</v>
          </cell>
          <cell r="C265" t="str">
            <v>Meson en acero inoxidable con pozuelo y quemadores de 1,80m</v>
          </cell>
          <cell r="D265" t="str">
            <v>und</v>
          </cell>
        </row>
        <row r="266">
          <cell r="B266">
            <v>24525</v>
          </cell>
          <cell r="C266" t="str">
            <v>Meson en acero inoxidable con pozuelo y quemadores de 2,00m</v>
          </cell>
          <cell r="D266" t="str">
            <v>und</v>
          </cell>
        </row>
        <row r="267">
          <cell r="C267" t="str">
            <v>MADERAS</v>
          </cell>
        </row>
        <row r="268">
          <cell r="B268" t="str">
            <v>23844</v>
          </cell>
          <cell r="C268" t="str">
            <v>larguero 2x4pulg  mad.comun sin cep.(3m)</v>
          </cell>
          <cell r="D268" t="str">
            <v>und</v>
          </cell>
        </row>
        <row r="269">
          <cell r="B269" t="str">
            <v>23880</v>
          </cell>
          <cell r="C269" t="str">
            <v>tabla 1x8pulg  mad.comun sin cep.(3m)</v>
          </cell>
          <cell r="D269" t="str">
            <v>und</v>
          </cell>
        </row>
        <row r="270">
          <cell r="B270" t="str">
            <v>23874</v>
          </cell>
          <cell r="C270" t="str">
            <v>tabla 2cmx10pulg  mad.comun sin cep.(3m)</v>
          </cell>
          <cell r="D270" t="str">
            <v>und</v>
          </cell>
        </row>
        <row r="271">
          <cell r="B271" t="str">
            <v>23868</v>
          </cell>
          <cell r="C271" t="str">
            <v>tabla 2cmx8pulg  mad.comun sin cep.(3m)</v>
          </cell>
          <cell r="D271" t="str">
            <v>und</v>
          </cell>
        </row>
        <row r="272">
          <cell r="B272" t="str">
            <v>24600</v>
          </cell>
          <cell r="C272" t="str">
            <v>tablilla de pino para techo</v>
          </cell>
          <cell r="D272" t="str">
            <v>m2</v>
          </cell>
        </row>
        <row r="273">
          <cell r="B273" t="str">
            <v>24764</v>
          </cell>
          <cell r="C273" t="str">
            <v>Alfarda 2 X 6 X  4 Varas Chanu o abarco</v>
          </cell>
          <cell r="D273" t="str">
            <v>und</v>
          </cell>
        </row>
        <row r="274">
          <cell r="B274" t="str">
            <v>24765</v>
          </cell>
          <cell r="C274" t="str">
            <v>Alfarda 2 X 6 X  5 Varas Chanu o abarco</v>
          </cell>
          <cell r="D274" t="str">
            <v>und</v>
          </cell>
        </row>
        <row r="275">
          <cell r="B275" t="str">
            <v>24766</v>
          </cell>
          <cell r="C275" t="str">
            <v>Alfarda 2 X 6 X  6 Varas Chanu o abarco</v>
          </cell>
          <cell r="D275" t="str">
            <v>und</v>
          </cell>
        </row>
        <row r="276">
          <cell r="B276" t="str">
            <v>24767</v>
          </cell>
          <cell r="C276" t="str">
            <v>Alfarda 2X3X5 Varas Chanu o abarco</v>
          </cell>
          <cell r="D276" t="str">
            <v>und</v>
          </cell>
        </row>
        <row r="277">
          <cell r="B277" t="str">
            <v>24768</v>
          </cell>
          <cell r="C277" t="str">
            <v>Alfarda 2X4X3 Varas Chanu o abarco</v>
          </cell>
          <cell r="D277" t="str">
            <v>und</v>
          </cell>
        </row>
        <row r="278">
          <cell r="B278">
            <v>24793</v>
          </cell>
          <cell r="C278" t="str">
            <v>Alfarda 2X4X4 Varas Chanu o abarco</v>
          </cell>
          <cell r="D278" t="str">
            <v>und</v>
          </cell>
        </row>
        <row r="279">
          <cell r="B279" t="str">
            <v>24770</v>
          </cell>
          <cell r="C279" t="str">
            <v>Alfarda 2X4X5 Varas Chanu o abarco</v>
          </cell>
          <cell r="D279" t="str">
            <v>und</v>
          </cell>
        </row>
        <row r="280">
          <cell r="B280" t="str">
            <v>24771</v>
          </cell>
          <cell r="C280" t="str">
            <v>Alfarda 2X4X6 Varas Chanu o abarco</v>
          </cell>
          <cell r="D280" t="str">
            <v>und</v>
          </cell>
        </row>
        <row r="281">
          <cell r="B281" t="str">
            <v>24772</v>
          </cell>
          <cell r="C281" t="str">
            <v>Alfarda 2X4X7 Varas Chanu o abarco</v>
          </cell>
          <cell r="D281" t="str">
            <v>und</v>
          </cell>
        </row>
        <row r="282">
          <cell r="B282" t="str">
            <v>24773</v>
          </cell>
          <cell r="C282" t="str">
            <v>Alfarda 3 X 5 X  5 Varas Chanu o abarco</v>
          </cell>
          <cell r="D282" t="str">
            <v>und</v>
          </cell>
        </row>
        <row r="283">
          <cell r="B283" t="str">
            <v>24774</v>
          </cell>
          <cell r="C283" t="str">
            <v>Alfarda 3 X 5 X  6 Varas Chanu o abarco</v>
          </cell>
          <cell r="D283" t="str">
            <v>und</v>
          </cell>
        </row>
        <row r="284">
          <cell r="B284" t="str">
            <v>24775</v>
          </cell>
          <cell r="C284" t="str">
            <v>Carguera  8X8X6 Varas Chanu o abarco</v>
          </cell>
          <cell r="D284" t="str">
            <v>und</v>
          </cell>
        </row>
        <row r="285">
          <cell r="B285" t="str">
            <v>24776</v>
          </cell>
          <cell r="C285" t="str">
            <v>Carguera 3X4X4 Varas Chanu o abarco</v>
          </cell>
          <cell r="D285" t="str">
            <v>und</v>
          </cell>
        </row>
        <row r="286">
          <cell r="B286" t="str">
            <v>24777</v>
          </cell>
          <cell r="C286" t="str">
            <v>Carguera 3X4X6 Varas Chanu o abarco</v>
          </cell>
          <cell r="D286" t="str">
            <v>und</v>
          </cell>
        </row>
        <row r="287">
          <cell r="B287" t="str">
            <v>24778</v>
          </cell>
          <cell r="C287" t="str">
            <v>Carguera 4*4 De 3 Varas Chanu o abarco</v>
          </cell>
          <cell r="D287" t="str">
            <v>und</v>
          </cell>
        </row>
        <row r="288">
          <cell r="B288" t="str">
            <v>24779</v>
          </cell>
          <cell r="C288" t="str">
            <v>Carguera 4*6 De 7 Varas Chanu o abarco</v>
          </cell>
          <cell r="D288" t="str">
            <v>und</v>
          </cell>
        </row>
        <row r="289">
          <cell r="B289" t="str">
            <v>24780</v>
          </cell>
          <cell r="C289" t="str">
            <v>Carguera 4X4X4 Varas Chanu o abarco</v>
          </cell>
          <cell r="D289" t="str">
            <v>und</v>
          </cell>
        </row>
        <row r="290">
          <cell r="B290" t="str">
            <v>24781</v>
          </cell>
          <cell r="C290" t="str">
            <v>Carguera 4X4X5 Varas Chanu o abarco</v>
          </cell>
          <cell r="D290" t="str">
            <v>und</v>
          </cell>
        </row>
        <row r="291">
          <cell r="B291" t="str">
            <v>24782</v>
          </cell>
          <cell r="C291" t="str">
            <v>Carguera 4X4X6 Varas Chanu o abarco</v>
          </cell>
          <cell r="D291" t="str">
            <v>und</v>
          </cell>
        </row>
        <row r="292">
          <cell r="B292" t="str">
            <v>24783</v>
          </cell>
          <cell r="C292" t="str">
            <v>Carguera 4X4X7 Varas Chanu o abarco</v>
          </cell>
          <cell r="D292" t="str">
            <v>und</v>
          </cell>
        </row>
        <row r="293">
          <cell r="B293" t="str">
            <v>24784</v>
          </cell>
          <cell r="C293" t="str">
            <v>Carguera 4X5X5 Varas Chanu o abarco</v>
          </cell>
          <cell r="D293" t="str">
            <v>und</v>
          </cell>
        </row>
        <row r="294">
          <cell r="B294" t="str">
            <v>24785</v>
          </cell>
          <cell r="C294" t="str">
            <v>Carguera  4 X 6 X 4 Varas Chanu  o abarco</v>
          </cell>
          <cell r="D294" t="str">
            <v>und</v>
          </cell>
        </row>
        <row r="295">
          <cell r="B295" t="str">
            <v>24786</v>
          </cell>
          <cell r="C295" t="str">
            <v>Carguera  4 X 6 X 6 Varas Chanu  o abarco</v>
          </cell>
          <cell r="D295" t="str">
            <v>und</v>
          </cell>
        </row>
        <row r="296">
          <cell r="B296" t="str">
            <v>24787</v>
          </cell>
          <cell r="C296" t="str">
            <v>Larguero Pino 4X8X560</v>
          </cell>
          <cell r="D296" t="str">
            <v>und</v>
          </cell>
        </row>
        <row r="297">
          <cell r="B297" t="str">
            <v>24788</v>
          </cell>
          <cell r="C297" t="str">
            <v>Larguero Pino 4X8X640</v>
          </cell>
          <cell r="D297" t="str">
            <v>und</v>
          </cell>
        </row>
        <row r="298">
          <cell r="B298">
            <v>24794</v>
          </cell>
          <cell r="C298" t="str">
            <v>Liston 2X2X4 Varas Chanu o abarco</v>
          </cell>
          <cell r="D298" t="str">
            <v>und</v>
          </cell>
        </row>
        <row r="299">
          <cell r="B299" t="str">
            <v>24790</v>
          </cell>
          <cell r="C299" t="str">
            <v>Liston 2X2X5 Varas Chanu o abarco</v>
          </cell>
          <cell r="D299" t="str">
            <v>und</v>
          </cell>
        </row>
        <row r="300">
          <cell r="C300" t="str">
            <v xml:space="preserve">MUEBLES </v>
          </cell>
        </row>
        <row r="301">
          <cell r="B301">
            <v>24791</v>
          </cell>
          <cell r="C301" t="str">
            <v>Mueble Inferior Para Cocina En Lamina Rh</v>
          </cell>
          <cell r="D301" t="str">
            <v>ml</v>
          </cell>
        </row>
        <row r="302">
          <cell r="B302">
            <v>24792</v>
          </cell>
          <cell r="C302" t="str">
            <v>Mueble Superior Para Cocina RH incluye locero blanco</v>
          </cell>
          <cell r="D302" t="str">
            <v>ml</v>
          </cell>
        </row>
        <row r="303">
          <cell r="B303">
            <v>24789</v>
          </cell>
          <cell r="C303" t="str">
            <v>Locero</v>
          </cell>
          <cell r="D303" t="str">
            <v>und</v>
          </cell>
        </row>
        <row r="304">
          <cell r="B304">
            <v>24790</v>
          </cell>
          <cell r="C304" t="str">
            <v>Barra En Aleación Cromada De 18"</v>
          </cell>
          <cell r="D304" t="str">
            <v>und</v>
          </cell>
        </row>
        <row r="305">
          <cell r="C305" t="str">
            <v>PREFABRICADOS</v>
          </cell>
        </row>
        <row r="306">
          <cell r="B306" t="str">
            <v>15070</v>
          </cell>
          <cell r="C306" t="str">
            <v>lavad.gran.pref.55x60 fdo blanco</v>
          </cell>
          <cell r="D306" t="str">
            <v>und</v>
          </cell>
        </row>
        <row r="307">
          <cell r="B307" t="str">
            <v>15074</v>
          </cell>
          <cell r="C307" t="str">
            <v>lavad.gran.pref.55x60 fdo gris</v>
          </cell>
          <cell r="D307" t="str">
            <v>und</v>
          </cell>
        </row>
        <row r="308">
          <cell r="B308" t="str">
            <v>15071</v>
          </cell>
          <cell r="C308" t="str">
            <v>lavad.gran.pref.80x60 fdo blanco</v>
          </cell>
          <cell r="D308" t="str">
            <v>und</v>
          </cell>
        </row>
        <row r="309">
          <cell r="B309" t="str">
            <v>15075</v>
          </cell>
          <cell r="C309" t="str">
            <v>lavad.gran.pref.80x60 fdo gris</v>
          </cell>
          <cell r="D309" t="str">
            <v>und</v>
          </cell>
        </row>
        <row r="310">
          <cell r="B310">
            <v>26777</v>
          </cell>
          <cell r="C310" t="str">
            <v>Cordón prefabricado 15x45x80</v>
          </cell>
          <cell r="D310" t="str">
            <v>und</v>
          </cell>
        </row>
        <row r="311">
          <cell r="C311" t="str">
            <v>PISOS</v>
          </cell>
        </row>
        <row r="312">
          <cell r="B312" t="str">
            <v>20719</v>
          </cell>
          <cell r="C312" t="str">
            <v>ceramica  50cm - 55cm o 60cm</v>
          </cell>
          <cell r="D312" t="str">
            <v>m2</v>
          </cell>
        </row>
        <row r="313">
          <cell r="B313" t="str">
            <v>21013</v>
          </cell>
          <cell r="C313" t="str">
            <v>listello andalucia 8x25</v>
          </cell>
          <cell r="D313" t="str">
            <v>und</v>
          </cell>
        </row>
        <row r="314">
          <cell r="C314" t="str">
            <v>PLÁSTICOS Y MALLAS PLÁSTICAS</v>
          </cell>
        </row>
        <row r="315">
          <cell r="B315" t="str">
            <v>22472</v>
          </cell>
          <cell r="C315" t="str">
            <v>Polietileno negro cal 3.5 ancho 3 m</v>
          </cell>
          <cell r="D315" t="str">
            <v>m</v>
          </cell>
        </row>
        <row r="316">
          <cell r="B316" t="str">
            <v>26975</v>
          </cell>
          <cell r="C316" t="str">
            <v>Tanque acuaviva 1000 lt</v>
          </cell>
          <cell r="D316" t="str">
            <v>und</v>
          </cell>
        </row>
        <row r="317">
          <cell r="B317">
            <v>22477</v>
          </cell>
          <cell r="C317" t="str">
            <v>Sistema de pozo septico de 2000 litros</v>
          </cell>
          <cell r="D317" t="str">
            <v>und</v>
          </cell>
        </row>
        <row r="318">
          <cell r="C318" t="str">
            <v>PUERTAS</v>
          </cell>
        </row>
        <row r="319">
          <cell r="B319" t="str">
            <v>12016</v>
          </cell>
          <cell r="C319" t="str">
            <v>bisagra punta cuadrada 4"</v>
          </cell>
          <cell r="D319" t="str">
            <v>und</v>
          </cell>
        </row>
        <row r="320">
          <cell r="B320">
            <v>12090</v>
          </cell>
          <cell r="C320" t="str">
            <v>Puerta Metalica mas marco de 0,90-1,00mt (2 mts de altura) incluye pintura anticorrosiva, pintura a base de aceite mate, cerradura de seguridad yale o similar, bisagras.</v>
          </cell>
          <cell r="D320" t="str">
            <v>und</v>
          </cell>
        </row>
        <row r="321">
          <cell r="B321">
            <v>12091</v>
          </cell>
          <cell r="C321" t="str">
            <v>Puerta en madera etamborada 70cm (Incluye chapa) (2mts de altura)</v>
          </cell>
          <cell r="D321" t="str">
            <v>und</v>
          </cell>
        </row>
        <row r="322">
          <cell r="B322">
            <v>12092</v>
          </cell>
          <cell r="C322" t="str">
            <v>Puerta en madera etamborada 80cm (2mts de altura)</v>
          </cell>
          <cell r="D322" t="str">
            <v>und</v>
          </cell>
        </row>
        <row r="323">
          <cell r="C323" t="str">
            <v>REJILLAS</v>
          </cell>
        </row>
        <row r="324">
          <cell r="B324" t="str">
            <v>24088</v>
          </cell>
          <cell r="C324" t="str">
            <v>rejilla al.t- 3 * 2 pulg</v>
          </cell>
          <cell r="D324" t="str">
            <v>und</v>
          </cell>
        </row>
        <row r="325">
          <cell r="B325">
            <v>24089</v>
          </cell>
          <cell r="C325" t="str">
            <v>rejilla al.t- 2 *1,1/2 pulg</v>
          </cell>
          <cell r="D325" t="str">
            <v>und</v>
          </cell>
        </row>
        <row r="326">
          <cell r="C326" t="str">
            <v>APARATOS SANITARIOS Y ACCESORIOS</v>
          </cell>
        </row>
        <row r="327">
          <cell r="B327" t="str">
            <v>11528</v>
          </cell>
          <cell r="C327" t="str">
            <v>lavamanos acuacer blanco (c)</v>
          </cell>
          <cell r="D327" t="str">
            <v>und</v>
          </cell>
        </row>
        <row r="328">
          <cell r="B328" t="str">
            <v>11437</v>
          </cell>
          <cell r="C328" t="str">
            <v>sanitario acuacer blanco</v>
          </cell>
          <cell r="D328" t="str">
            <v>und</v>
          </cell>
        </row>
        <row r="329">
          <cell r="B329" t="str">
            <v>24590</v>
          </cell>
          <cell r="C329" t="str">
            <v>valv.regulacion 1/2 pulg metal.al.sat. G acome</v>
          </cell>
          <cell r="D329" t="str">
            <v>und</v>
          </cell>
        </row>
        <row r="330">
          <cell r="B330">
            <v>24591</v>
          </cell>
          <cell r="C330" t="str">
            <v>valv.regulacion 1/2 pulg metal.al.sat. G corte</v>
          </cell>
          <cell r="D330" t="str">
            <v>und</v>
          </cell>
        </row>
        <row r="331">
          <cell r="C331" t="str">
            <v>SELLOS Y JUNTAS</v>
          </cell>
        </row>
        <row r="332">
          <cell r="B332" t="str">
            <v>29503</v>
          </cell>
          <cell r="C332" t="str">
            <v>Silicona baños y cocinas</v>
          </cell>
          <cell r="D332" t="str">
            <v>und</v>
          </cell>
        </row>
        <row r="333">
          <cell r="B333" t="str">
            <v>29502</v>
          </cell>
          <cell r="C333" t="str">
            <v>Silicona transparente para ventanas</v>
          </cell>
          <cell r="D333" t="str">
            <v>und</v>
          </cell>
        </row>
        <row r="334">
          <cell r="C334" t="str">
            <v>TUBERÍAS PVC ACUEDUCTO Y ACCESORIOS</v>
          </cell>
        </row>
        <row r="335">
          <cell r="B335" t="str">
            <v>21217</v>
          </cell>
          <cell r="C335" t="str">
            <v>adapt.hembra 1/2 pulg  presion pavco</v>
          </cell>
          <cell r="D335" t="str">
            <v>und</v>
          </cell>
        </row>
        <row r="336">
          <cell r="B336">
            <v>21218</v>
          </cell>
          <cell r="C336" t="str">
            <v>adapt.macho 1/2 pulg  presion pavco</v>
          </cell>
          <cell r="D336" t="str">
            <v>und</v>
          </cell>
        </row>
        <row r="337">
          <cell r="B337" t="str">
            <v>21923</v>
          </cell>
          <cell r="C337" t="str">
            <v>agua</v>
          </cell>
          <cell r="D337" t="str">
            <v>lt</v>
          </cell>
        </row>
        <row r="338">
          <cell r="B338" t="str">
            <v>21091</v>
          </cell>
          <cell r="C338" t="str">
            <v>codo 90° 1/2 pulg  presion pavco</v>
          </cell>
          <cell r="D338" t="str">
            <v>und</v>
          </cell>
        </row>
        <row r="339">
          <cell r="B339" t="str">
            <v>22011</v>
          </cell>
          <cell r="C339" t="str">
            <v>limpiador remov. para pvc (760gr) pavco 1/4</v>
          </cell>
          <cell r="D339" t="str">
            <v>und</v>
          </cell>
        </row>
        <row r="340">
          <cell r="B340" t="str">
            <v>21854</v>
          </cell>
          <cell r="C340" t="str">
            <v>soldadura liquida pvc pavco</v>
          </cell>
          <cell r="D340" t="str">
            <v>g/4</v>
          </cell>
        </row>
        <row r="341">
          <cell r="B341" t="str">
            <v>11024</v>
          </cell>
          <cell r="C341" t="str">
            <v>soporte de bajante pavco</v>
          </cell>
          <cell r="D341" t="str">
            <v>und</v>
          </cell>
        </row>
        <row r="342">
          <cell r="B342" t="str">
            <v>21034</v>
          </cell>
          <cell r="C342" t="str">
            <v>tee 1/2 pulg  tub.presion pavco</v>
          </cell>
          <cell r="D342" t="str">
            <v>und</v>
          </cell>
        </row>
        <row r="343">
          <cell r="B343" t="str">
            <v>20943</v>
          </cell>
          <cell r="C343" t="str">
            <v>tub.presion 6m 1.1/2 pulg  rde 21 pavco</v>
          </cell>
          <cell r="D343" t="str">
            <v>m</v>
          </cell>
        </row>
        <row r="344">
          <cell r="B344" t="str">
            <v>20908</v>
          </cell>
          <cell r="C344" t="str">
            <v>tub.presion 6m 1/2 pulg  rde 9 pavco</v>
          </cell>
          <cell r="D344" t="str">
            <v>m</v>
          </cell>
        </row>
        <row r="345">
          <cell r="B345" t="str">
            <v>21161</v>
          </cell>
          <cell r="C345" t="str">
            <v>union 1/2 pulg  presion pavco</v>
          </cell>
          <cell r="D345" t="str">
            <v>und</v>
          </cell>
        </row>
        <row r="346">
          <cell r="B346" t="str">
            <v>20705</v>
          </cell>
          <cell r="C346" t="str">
            <v>yee sanit.4x2 reducidas pvc pavco</v>
          </cell>
          <cell r="D346" t="str">
            <v>und</v>
          </cell>
        </row>
        <row r="347">
          <cell r="C347" t="str">
            <v>TUBERÍAS PVC ELÉCTRICA Y ACCESORIOS</v>
          </cell>
        </row>
        <row r="348">
          <cell r="B348" t="str">
            <v>28396</v>
          </cell>
          <cell r="C348" t="str">
            <v>tub.elect.pvc 1/2 pulg  pavco</v>
          </cell>
          <cell r="D348" t="str">
            <v>m</v>
          </cell>
        </row>
        <row r="349">
          <cell r="B349">
            <v>28400</v>
          </cell>
          <cell r="C349" t="str">
            <v>tub.elect.pvc 3/4 pulg  pavco</v>
          </cell>
          <cell r="D349" t="str">
            <v>m</v>
          </cell>
        </row>
        <row r="350">
          <cell r="B350">
            <v>28401</v>
          </cell>
          <cell r="C350" t="str">
            <v>Curvas Conduit 1/2</v>
          </cell>
          <cell r="D350" t="str">
            <v>und</v>
          </cell>
        </row>
        <row r="351">
          <cell r="B351">
            <v>28402</v>
          </cell>
          <cell r="C351" t="str">
            <v xml:space="preserve">tub.elect.emt 1/2 pulg  </v>
          </cell>
          <cell r="D351" t="str">
            <v>und</v>
          </cell>
        </row>
        <row r="352">
          <cell r="B352">
            <v>28403</v>
          </cell>
          <cell r="C352" t="str">
            <v xml:space="preserve">curva.elect.emt 1/2 pulg  </v>
          </cell>
          <cell r="D352" t="str">
            <v>und</v>
          </cell>
        </row>
        <row r="353">
          <cell r="B353">
            <v>28404</v>
          </cell>
          <cell r="C353" t="str">
            <v xml:space="preserve">tee.elect.emt 1/2 pulg  </v>
          </cell>
          <cell r="D353" t="str">
            <v>und</v>
          </cell>
        </row>
        <row r="354">
          <cell r="B354">
            <v>28405</v>
          </cell>
          <cell r="C354" t="str">
            <v xml:space="preserve">adaptadores.elect.emt 1/2 pulg  </v>
          </cell>
          <cell r="D354" t="str">
            <v>und</v>
          </cell>
        </row>
        <row r="355">
          <cell r="B355">
            <v>28406</v>
          </cell>
          <cell r="C355" t="str">
            <v>caja empalme  en emt</v>
          </cell>
          <cell r="D355" t="str">
            <v>und</v>
          </cell>
        </row>
        <row r="356">
          <cell r="B356">
            <v>28407</v>
          </cell>
          <cell r="C356" t="str">
            <v>tapa caja emplame emt</v>
          </cell>
          <cell r="D356" t="str">
            <v>und</v>
          </cell>
        </row>
        <row r="357">
          <cell r="B357">
            <v>28408</v>
          </cell>
          <cell r="C357" t="str">
            <v>grapas</v>
          </cell>
          <cell r="D357" t="str">
            <v>und</v>
          </cell>
        </row>
        <row r="358">
          <cell r="B358">
            <v>28409</v>
          </cell>
          <cell r="C358" t="str">
            <v xml:space="preserve">union.elect.emt 1/2 pulg  </v>
          </cell>
          <cell r="D358" t="str">
            <v>und</v>
          </cell>
        </row>
        <row r="359">
          <cell r="C359" t="str">
            <v>TUBERÍAS METÁLICAS Y ACCESORIOS</v>
          </cell>
        </row>
        <row r="360">
          <cell r="B360">
            <v>29717</v>
          </cell>
          <cell r="C360" t="str">
            <v>Pasamanos tubular inst. h:1.10</v>
          </cell>
          <cell r="D360" t="str">
            <v>m</v>
          </cell>
        </row>
        <row r="361">
          <cell r="B361" t="str">
            <v>15724</v>
          </cell>
          <cell r="C361" t="str">
            <v>pasamanos metalico con acabado en pintura</v>
          </cell>
          <cell r="D361" t="str">
            <v>m</v>
          </cell>
        </row>
        <row r="362">
          <cell r="B362">
            <v>24509</v>
          </cell>
          <cell r="C362" t="str">
            <v>Reja en tubería de 1"x1" con acabado en pintura</v>
          </cell>
          <cell r="D362" t="str">
            <v>m2</v>
          </cell>
        </row>
        <row r="363">
          <cell r="B363">
            <v>24510</v>
          </cell>
          <cell r="C363" t="str">
            <v xml:space="preserve">Fijaciones </v>
          </cell>
          <cell r="D363" t="str">
            <v>un</v>
          </cell>
        </row>
        <row r="364">
          <cell r="C364" t="str">
            <v>TUBERÍAS PVC SANITARIA Y ACCESORIOS</v>
          </cell>
        </row>
        <row r="365">
          <cell r="B365" t="str">
            <v>21645</v>
          </cell>
          <cell r="C365" t="str">
            <v>codo 90°-1/4 cxc 2 pulg  pavco</v>
          </cell>
          <cell r="D365" t="str">
            <v>und</v>
          </cell>
        </row>
        <row r="366">
          <cell r="B366" t="str">
            <v>21652</v>
          </cell>
          <cell r="C366" t="str">
            <v>codo 90°-1/4 cxc 3 pulg  pavco</v>
          </cell>
          <cell r="D366" t="str">
            <v>und</v>
          </cell>
        </row>
        <row r="367">
          <cell r="B367" t="str">
            <v>21654</v>
          </cell>
          <cell r="C367" t="str">
            <v>codo 90°-1/4 cxc 4 pulg  pavco</v>
          </cell>
          <cell r="D367" t="str">
            <v>und</v>
          </cell>
        </row>
        <row r="368">
          <cell r="B368">
            <v>21655</v>
          </cell>
          <cell r="C368" t="str">
            <v>codo 90°-1/4 cxc 6 pulg  pavco</v>
          </cell>
          <cell r="D368" t="str">
            <v>und</v>
          </cell>
        </row>
        <row r="369">
          <cell r="B369" t="str">
            <v>20171</v>
          </cell>
          <cell r="C369" t="str">
            <v>sifon 3 pulg   sanitaria pavco</v>
          </cell>
          <cell r="D369" t="str">
            <v>und</v>
          </cell>
        </row>
        <row r="370">
          <cell r="B370">
            <v>20172</v>
          </cell>
          <cell r="C370" t="str">
            <v>sifon 4 pulg   sanitaria pavco</v>
          </cell>
          <cell r="D370" t="str">
            <v>und</v>
          </cell>
        </row>
        <row r="371">
          <cell r="B371" t="str">
            <v>22027</v>
          </cell>
          <cell r="C371" t="str">
            <v>sifon c/tapon 2 pulg   sanitaria pavco</v>
          </cell>
          <cell r="D371" t="str">
            <v>und</v>
          </cell>
        </row>
        <row r="372">
          <cell r="B372" t="str">
            <v>21780</v>
          </cell>
          <cell r="C372" t="str">
            <v>tee  sanitaria 2 pulg  pavco</v>
          </cell>
          <cell r="D372" t="str">
            <v>und</v>
          </cell>
        </row>
        <row r="373">
          <cell r="B373" t="str">
            <v>21786</v>
          </cell>
          <cell r="C373" t="str">
            <v>tee  sanitaria 3 pulg  pavco</v>
          </cell>
          <cell r="D373" t="str">
            <v>und</v>
          </cell>
        </row>
        <row r="374">
          <cell r="B374" t="str">
            <v>21792</v>
          </cell>
          <cell r="C374" t="str">
            <v>tee  sanitaria 4 pulg  pavco</v>
          </cell>
          <cell r="D374" t="str">
            <v>und</v>
          </cell>
        </row>
        <row r="375">
          <cell r="B375">
            <v>21793</v>
          </cell>
          <cell r="C375" t="str">
            <v>tee  sanitaria 6 pulg  pavco</v>
          </cell>
          <cell r="D375" t="str">
            <v>und</v>
          </cell>
        </row>
        <row r="376">
          <cell r="B376" t="str">
            <v>21599</v>
          </cell>
          <cell r="C376" t="str">
            <v>tub. sanitaria 6m 2 pulg  pavco</v>
          </cell>
          <cell r="D376" t="str">
            <v>m</v>
          </cell>
        </row>
        <row r="377">
          <cell r="B377" t="str">
            <v>21604</v>
          </cell>
          <cell r="C377" t="str">
            <v>tub. sanitaria 6m 3 pulg  pavco</v>
          </cell>
          <cell r="D377" t="str">
            <v>m</v>
          </cell>
        </row>
        <row r="378">
          <cell r="B378" t="str">
            <v>21608</v>
          </cell>
          <cell r="C378" t="str">
            <v>tub. sanitaria 6m 4 pulg  pavco</v>
          </cell>
          <cell r="D378" t="str">
            <v>m</v>
          </cell>
        </row>
        <row r="379">
          <cell r="B379" t="str">
            <v>21615</v>
          </cell>
          <cell r="C379" t="str">
            <v>tub. sanitaria 6m 6 pulg  pavco</v>
          </cell>
          <cell r="D379" t="str">
            <v>m</v>
          </cell>
        </row>
        <row r="380">
          <cell r="B380" t="str">
            <v>21628</v>
          </cell>
          <cell r="C380" t="str">
            <v>tub.vent.y ag.ll 6m 3 pulg  pavco</v>
          </cell>
          <cell r="D380" t="str">
            <v>m</v>
          </cell>
        </row>
        <row r="381">
          <cell r="B381" t="str">
            <v>22046</v>
          </cell>
          <cell r="C381" t="str">
            <v>uniones sanit. 2 pulg  pavco</v>
          </cell>
          <cell r="D381" t="str">
            <v>und</v>
          </cell>
        </row>
        <row r="382">
          <cell r="B382" t="str">
            <v>22052</v>
          </cell>
          <cell r="C382" t="str">
            <v>uniones sanit. 3 pulg  pavco</v>
          </cell>
          <cell r="D382" t="str">
            <v>und</v>
          </cell>
        </row>
        <row r="383">
          <cell r="B383" t="str">
            <v>22055</v>
          </cell>
          <cell r="C383" t="str">
            <v>uniones sanit. 4 pulg  pavco</v>
          </cell>
          <cell r="D383" t="str">
            <v>und</v>
          </cell>
        </row>
        <row r="384">
          <cell r="B384" t="str">
            <v>22063</v>
          </cell>
          <cell r="C384" t="str">
            <v>uniones sanit. 6 pulg  pavco</v>
          </cell>
          <cell r="D384" t="str">
            <v>und</v>
          </cell>
        </row>
        <row r="385">
          <cell r="B385" t="str">
            <v>21897</v>
          </cell>
          <cell r="C385" t="str">
            <v>yees  sanitarias 2 pulg  pavco</v>
          </cell>
          <cell r="D385" t="str">
            <v>und</v>
          </cell>
        </row>
        <row r="386">
          <cell r="B386" t="str">
            <v>21903</v>
          </cell>
          <cell r="C386" t="str">
            <v>yees  sanitarias 3 pulg  pavco</v>
          </cell>
          <cell r="D386" t="str">
            <v>und</v>
          </cell>
        </row>
        <row r="387">
          <cell r="B387" t="str">
            <v>21906</v>
          </cell>
          <cell r="C387" t="str">
            <v>yees  sanitarias 4 pulg  pavco</v>
          </cell>
          <cell r="D387" t="str">
            <v>und</v>
          </cell>
        </row>
        <row r="388">
          <cell r="B388">
            <v>21907</v>
          </cell>
          <cell r="C388" t="str">
            <v>Medidor 1/2"</v>
          </cell>
          <cell r="D388" t="str">
            <v>und</v>
          </cell>
        </row>
        <row r="389">
          <cell r="C389" t="str">
            <v>VENTANAS Y VIDRIOS</v>
          </cell>
        </row>
        <row r="390">
          <cell r="B390" t="str">
            <v>16033</v>
          </cell>
          <cell r="C390" t="str">
            <v>vent.al. fijo</v>
          </cell>
          <cell r="D390" t="str">
            <v>m2</v>
          </cell>
        </row>
        <row r="391">
          <cell r="B391" t="str">
            <v>15226</v>
          </cell>
          <cell r="C391" t="str">
            <v>vent.al.corr.1.20x1.20 especificación 50/20</v>
          </cell>
          <cell r="D391" t="str">
            <v>m2</v>
          </cell>
        </row>
        <row r="392">
          <cell r="B392" t="str">
            <v>25201</v>
          </cell>
          <cell r="C392" t="str">
            <v>vid.plano,estirado claro 4 mm</v>
          </cell>
          <cell r="D392" t="str">
            <v>m2</v>
          </cell>
        </row>
        <row r="393">
          <cell r="C393" t="str">
            <v>YESOS Y PINTURAS</v>
          </cell>
        </row>
        <row r="394">
          <cell r="B394" t="str">
            <v>15431</v>
          </cell>
          <cell r="C394" t="str">
            <v>acriltex pintuco (gal)</v>
          </cell>
          <cell r="D394" t="str">
            <v>gal</v>
          </cell>
        </row>
        <row r="395">
          <cell r="B395" t="str">
            <v>12277</v>
          </cell>
          <cell r="C395" t="str">
            <v>anticorr.gris pintuco 507 (gal)</v>
          </cell>
          <cell r="D395" t="str">
            <v>gal</v>
          </cell>
        </row>
        <row r="396">
          <cell r="B396" t="str">
            <v>12384</v>
          </cell>
          <cell r="C396" t="str">
            <v>barniz transparente pintuco (gal)</v>
          </cell>
          <cell r="D396" t="str">
            <v>gal</v>
          </cell>
        </row>
        <row r="397">
          <cell r="B397" t="str">
            <v>15911</v>
          </cell>
          <cell r="C397" t="str">
            <v>estuco en pasta pintuco</v>
          </cell>
          <cell r="D397" t="str">
            <v>gal</v>
          </cell>
        </row>
        <row r="398">
          <cell r="B398">
            <v>13292</v>
          </cell>
          <cell r="C398" t="str">
            <v>estuco interiores</v>
          </cell>
          <cell r="D398" t="str">
            <v>cca</v>
          </cell>
        </row>
        <row r="399">
          <cell r="B399" t="str">
            <v>12132</v>
          </cell>
          <cell r="C399" t="str">
            <v>estucor corona</v>
          </cell>
          <cell r="D399" t="str">
            <v>kg</v>
          </cell>
        </row>
        <row r="400">
          <cell r="B400" t="str">
            <v>12337</v>
          </cell>
          <cell r="C400" t="str">
            <v>intervinilo pintuco (cuñete)</v>
          </cell>
          <cell r="D400" t="str">
            <v>cuñete</v>
          </cell>
        </row>
        <row r="401">
          <cell r="B401" t="str">
            <v>15424</v>
          </cell>
          <cell r="C401" t="str">
            <v>intervinilo pintuco (gal)</v>
          </cell>
          <cell r="D401" t="str">
            <v>gal</v>
          </cell>
        </row>
        <row r="402">
          <cell r="B402" t="str">
            <v>28615</v>
          </cell>
          <cell r="C402" t="str">
            <v>lechada (subanalisis)</v>
          </cell>
          <cell r="D402" t="str">
            <v>m2</v>
          </cell>
        </row>
        <row r="403">
          <cell r="B403">
            <v>20273</v>
          </cell>
          <cell r="C403" t="str">
            <v>Disolvente</v>
          </cell>
          <cell r="D403" t="str">
            <v>gal</v>
          </cell>
        </row>
        <row r="404">
          <cell r="C404" t="str">
            <v>OTROS</v>
          </cell>
        </row>
        <row r="405">
          <cell r="B405">
            <v>22222</v>
          </cell>
          <cell r="C405" t="str">
            <v>Pie amigo en acero reforzado</v>
          </cell>
          <cell r="D405" t="str">
            <v>Und</v>
          </cell>
        </row>
        <row r="406">
          <cell r="B406">
            <v>33333</v>
          </cell>
          <cell r="C406" t="str">
            <v>M.o aseo de obra</v>
          </cell>
          <cell r="D406" t="str">
            <v xml:space="preserve">HR </v>
          </cell>
        </row>
        <row r="407">
          <cell r="B407">
            <v>33334</v>
          </cell>
          <cell r="C407" t="str">
            <v>Solución de hipoclorito de sodio x 4000ml</v>
          </cell>
          <cell r="D407" t="str">
            <v>Und</v>
          </cell>
        </row>
        <row r="408">
          <cell r="B408">
            <v>33335</v>
          </cell>
          <cell r="C408" t="str">
            <v>Sika 1</v>
          </cell>
          <cell r="D408" t="str">
            <v>Kg</v>
          </cell>
        </row>
        <row r="409">
          <cell r="B409">
            <v>33336</v>
          </cell>
          <cell r="C409" t="str">
            <v>Igasol cubierta x 20kg</v>
          </cell>
          <cell r="D409" t="str">
            <v>m2</v>
          </cell>
        </row>
        <row r="410">
          <cell r="B410">
            <v>33337</v>
          </cell>
          <cell r="C410" t="str">
            <v>m.o. limpieza y lavado de losa</v>
          </cell>
          <cell r="D410" t="str">
            <v>Jornal</v>
          </cell>
        </row>
        <row r="411">
          <cell r="B411">
            <v>33338</v>
          </cell>
          <cell r="C411" t="str">
            <v>m.o. impermeabilizacion cubierta</v>
          </cell>
          <cell r="D411" t="str">
            <v>Jornal</v>
          </cell>
        </row>
        <row r="412">
          <cell r="B412">
            <v>33339</v>
          </cell>
          <cell r="C412" t="str">
            <v>m.o. demolición enchapes</v>
          </cell>
          <cell r="D412" t="str">
            <v>Jornal</v>
          </cell>
        </row>
        <row r="413">
          <cell r="B413">
            <v>33340</v>
          </cell>
          <cell r="C413" t="str">
            <v>m.o. demolición revoques</v>
          </cell>
          <cell r="D413" t="str">
            <v>Jornal</v>
          </cell>
        </row>
      </sheetData>
      <sheetData sheetId="2"/>
      <sheetData sheetId="3"/>
      <sheetData sheetId="4">
        <row r="6">
          <cell r="B6" t="str">
            <v>1</v>
          </cell>
          <cell r="C6" t="str">
            <v>OBRAS PRELIMINARES</v>
          </cell>
          <cell r="D6" t="str">
            <v/>
          </cell>
        </row>
        <row r="7">
          <cell r="B7" t="str">
            <v>101</v>
          </cell>
          <cell r="C7" t="str">
            <v>DEMOLICIONES</v>
          </cell>
        </row>
        <row r="8">
          <cell r="B8" t="str">
            <v>10101</v>
          </cell>
          <cell r="C8" t="str">
            <v>Demolición de muro lad. 10-15, incluye botada</v>
          </cell>
          <cell r="D8" t="str">
            <v>M2</v>
          </cell>
          <cell r="E8">
            <v>38919.504115999975</v>
          </cell>
        </row>
        <row r="9">
          <cell r="B9" t="str">
            <v>10102</v>
          </cell>
          <cell r="C9" t="str">
            <v>Demolición piso mortero, incluye botada</v>
          </cell>
          <cell r="D9" t="str">
            <v>M2</v>
          </cell>
          <cell r="E9">
            <v>24987.927301169719</v>
          </cell>
        </row>
        <row r="10">
          <cell r="B10" t="str">
            <v>10103</v>
          </cell>
          <cell r="C10" t="str">
            <v>Demolición enchape de muros, incluye botada</v>
          </cell>
          <cell r="D10" t="str">
            <v>M2</v>
          </cell>
          <cell r="E10">
            <v>16731.627400999998</v>
          </cell>
        </row>
        <row r="11">
          <cell r="B11" t="str">
            <v>10104</v>
          </cell>
          <cell r="C11" t="str">
            <v>Retiro aparatos sanitarios, desmonte de cabinas, puertas y ventanas (botada)</v>
          </cell>
          <cell r="D11" t="str">
            <v>UN</v>
          </cell>
          <cell r="E11">
            <v>42722.392741810618</v>
          </cell>
        </row>
        <row r="12">
          <cell r="B12" t="str">
            <v>10105</v>
          </cell>
          <cell r="C12" t="str">
            <v xml:space="preserve">Demolición de revoque, incluye botada </v>
          </cell>
          <cell r="D12" t="str">
            <v>M2</v>
          </cell>
          <cell r="E12">
            <v>17365.938894699706</v>
          </cell>
        </row>
        <row r="13">
          <cell r="B13" t="str">
            <v>10106</v>
          </cell>
          <cell r="C13" t="str">
            <v>Demolición de lavadero, incluye botada</v>
          </cell>
          <cell r="D13" t="str">
            <v>UN</v>
          </cell>
          <cell r="E13">
            <v>25128.08330713525</v>
          </cell>
        </row>
        <row r="14">
          <cell r="B14" t="str">
            <v>10107</v>
          </cell>
          <cell r="C14" t="str">
            <v>Desmonte de cubierta en Fibrocemento, Lámina Metálica, Plástico (botada)</v>
          </cell>
          <cell r="D14" t="str">
            <v>M2</v>
          </cell>
          <cell r="E14">
            <v>27374.326888512369</v>
          </cell>
        </row>
        <row r="15">
          <cell r="B15" t="str">
            <v>10108</v>
          </cell>
          <cell r="C15" t="str">
            <v>Desmonte de cubierta en teja de barro (botada)</v>
          </cell>
          <cell r="D15" t="str">
            <v>M2</v>
          </cell>
          <cell r="E15">
            <v>48306.756173999995</v>
          </cell>
        </row>
        <row r="16">
          <cell r="B16" t="str">
            <v>10109</v>
          </cell>
          <cell r="C16" t="str">
            <v>Preparación de superficie de losa existente para adherencia de enchape o impermeabilización</v>
          </cell>
          <cell r="D16" t="str">
            <v>M2</v>
          </cell>
          <cell r="E16">
            <v>7314.5644161649288</v>
          </cell>
        </row>
        <row r="17">
          <cell r="B17" t="str">
            <v>10110</v>
          </cell>
          <cell r="C17" t="str">
            <v>Buitrón de 3" en losa aligerada</v>
          </cell>
          <cell r="D17" t="str">
            <v>UN</v>
          </cell>
          <cell r="E17">
            <v>227054.13506349979</v>
          </cell>
        </row>
        <row r="18">
          <cell r="B18" t="str">
            <v>10111</v>
          </cell>
          <cell r="C18" t="str">
            <v>Rocería</v>
          </cell>
          <cell r="D18" t="str">
            <v>M2</v>
          </cell>
          <cell r="E18">
            <v>4564.1140950647705</v>
          </cell>
        </row>
        <row r="19">
          <cell r="B19" t="str">
            <v>10112</v>
          </cell>
          <cell r="C19" t="str">
            <v>Instalación de CERRAMIENTO PROVISIONAL en tela verde con una altura de 2,1 m. Incluye transporte e instalación de la tela, estructura en taco de madera común, concreto de 17.5 Mpa para fijación de estructura en madera común, excavación manual en cualquier material, cargue, transporte y botada de material y todos los demás elementos necesarios para su correcta instalación.</v>
          </cell>
          <cell r="D19" t="str">
            <v>ML</v>
          </cell>
          <cell r="E19">
            <v>14279.694823949172</v>
          </cell>
        </row>
        <row r="20">
          <cell r="B20" t="str">
            <v>10113</v>
          </cell>
          <cell r="C20" t="str">
            <v>Preparación de superficie de muro para aplicación de revoque, incluye retiro de pinturas, cal y/o superficies contaminadas, hasta garantizar la adherencia del revoque nuevo en la superficie.</v>
          </cell>
          <cell r="D20" t="str">
            <v>M2</v>
          </cell>
          <cell r="E20">
            <v>2710.1376341065702</v>
          </cell>
        </row>
        <row r="21">
          <cell r="B21" t="str">
            <v>10114</v>
          </cell>
          <cell r="C21" t="str">
            <v>Demolición piso mortero y enchape de piso, incluye botada</v>
          </cell>
          <cell r="D21" t="str">
            <v>M2</v>
          </cell>
          <cell r="E21">
            <v>29914.172858855298</v>
          </cell>
        </row>
        <row r="22">
          <cell r="B22" t="str">
            <v>10115</v>
          </cell>
          <cell r="C22" t="str">
            <v>Demolición enchape de piso, incluye botada</v>
          </cell>
          <cell r="D22" t="str">
            <v>M2</v>
          </cell>
          <cell r="E22">
            <v>11215.099498016405</v>
          </cell>
        </row>
        <row r="23">
          <cell r="B23" t="str">
            <v>10116</v>
          </cell>
          <cell r="C23" t="str">
            <v>VOLADURA DE ROCA EN FRIO con CEMENTO DEMOLEDOR no explosivo tipo CRAS o equivalente con diámetro de perforación de 30mm</v>
          </cell>
          <cell r="D23" t="str">
            <v>M3</v>
          </cell>
          <cell r="E23">
            <v>505421.78575288947</v>
          </cell>
        </row>
        <row r="24">
          <cell r="B24" t="str">
            <v>10117</v>
          </cell>
          <cell r="C24" t="str">
            <v>Demolición de concreto reforzado, incluye botada</v>
          </cell>
          <cell r="D24" t="str">
            <v>M3</v>
          </cell>
          <cell r="E24">
            <v>365108.39811507805</v>
          </cell>
        </row>
        <row r="25">
          <cell r="B25" t="str">
            <v>102</v>
          </cell>
          <cell r="C25" t="str">
            <v>EXCAVACIONES</v>
          </cell>
          <cell r="D25" t="str">
            <v/>
          </cell>
        </row>
        <row r="26">
          <cell r="B26" t="str">
            <v>10201</v>
          </cell>
          <cell r="C26" t="str">
            <v>Excavación manual de 0 a 2 m en material heterogéneo (incluye botada)</v>
          </cell>
          <cell r="D26" t="str">
            <v>M3</v>
          </cell>
          <cell r="E26">
            <v>163699.18803446484</v>
          </cell>
        </row>
        <row r="27">
          <cell r="B27" t="str">
            <v>103</v>
          </cell>
          <cell r="C27" t="str">
            <v>LLENOS</v>
          </cell>
          <cell r="D27" t="str">
            <v/>
          </cell>
        </row>
        <row r="28">
          <cell r="B28" t="str">
            <v>10301</v>
          </cell>
          <cell r="C28" t="str">
            <v>Llenos en arenilla compactada</v>
          </cell>
          <cell r="D28" t="str">
            <v>M3</v>
          </cell>
          <cell r="E28">
            <v>106393.26825974608</v>
          </cell>
        </row>
        <row r="29">
          <cell r="B29" t="str">
            <v>10302</v>
          </cell>
          <cell r="C29" t="str">
            <v>Lleno con piedra de canto rodado</v>
          </cell>
          <cell r="D29" t="str">
            <v>M3</v>
          </cell>
          <cell r="E29">
            <v>157312.50685999994</v>
          </cell>
        </row>
        <row r="30">
          <cell r="B30" t="str">
            <v>2</v>
          </cell>
          <cell r="C30" t="str">
            <v>CONCRETOS</v>
          </cell>
          <cell r="D30" t="str">
            <v/>
          </cell>
        </row>
        <row r="31">
          <cell r="B31" t="str">
            <v>20101</v>
          </cell>
          <cell r="C31" t="str">
            <v>Suministro y colocación de Entresuelo en piedra e=10cm</v>
          </cell>
          <cell r="D31" t="str">
            <v>M2</v>
          </cell>
          <cell r="E31">
            <v>46053.548492247115</v>
          </cell>
        </row>
        <row r="32">
          <cell r="B32" t="str">
            <v>20102</v>
          </cell>
          <cell r="C32" t="str">
            <v>Mortero de nivelación para piso 1:5 preparado en obra, Incluye malla electrosoldada D-50 y todos los materiales necesarios para su correcta ejecución.</v>
          </cell>
          <cell r="D32" t="str">
            <v>M3</v>
          </cell>
          <cell r="E32">
            <v>920127.57882549311</v>
          </cell>
        </row>
        <row r="33">
          <cell r="B33" t="str">
            <v>20103</v>
          </cell>
          <cell r="C33" t="str">
            <v>Mortero de nivelación para piso 1:5, Incluye los materiales necesarios para su correcta ejecución.</v>
          </cell>
          <cell r="D33" t="str">
            <v>M3</v>
          </cell>
          <cell r="E33">
            <v>862172.15755098779</v>
          </cell>
        </row>
        <row r="34">
          <cell r="B34" t="str">
            <v>20104</v>
          </cell>
          <cell r="C34" t="str">
            <v>Pisos en cemento esmaltado mortero 1:4 , e= 0,08 m, juntas inducidas, sellador elástico de poliuretano hasta una profundidad de 5mm, limpieza de la junta, garantizar acabado uniforme, incluye refuerzo y todos los materiales necesario para su correcta ejecución.</v>
          </cell>
          <cell r="D34" t="str">
            <v>M2</v>
          </cell>
          <cell r="E34">
            <v>117203.88494700001</v>
          </cell>
        </row>
        <row r="35">
          <cell r="B35" t="str">
            <v>20105</v>
          </cell>
          <cell r="C35" t="str">
            <v>Viga superior para techo sección de 0,10 m x 0,20 m, incluye refuerzo, figuración y todos los materiales necesarios para su correcta ejecución.</v>
          </cell>
          <cell r="D35" t="str">
            <v>ML</v>
          </cell>
          <cell r="E35">
            <v>114714.26601239927</v>
          </cell>
        </row>
        <row r="36">
          <cell r="B36" t="str">
            <v>20106</v>
          </cell>
          <cell r="C36" t="str">
            <v>Viga superior para techo sección de 0,12 m x 0,20 m, incluye refuerzo y todos los materiales necesarios para su correcta ejecución.</v>
          </cell>
          <cell r="D36" t="str">
            <v>ML</v>
          </cell>
          <cell r="E36">
            <v>121122.51234800005</v>
          </cell>
        </row>
        <row r="37">
          <cell r="B37" t="str">
            <v>20107</v>
          </cell>
          <cell r="C37" t="str">
            <v>Viga superior para techo sección de 0,15 m x 0,20 m, incluye refuerzo y todos los materiales necesarios para su correcta ejecución.</v>
          </cell>
          <cell r="D37" t="str">
            <v>ML</v>
          </cell>
          <cell r="E37">
            <v>126882.78882654829</v>
          </cell>
        </row>
        <row r="38">
          <cell r="B38" t="str">
            <v>20108</v>
          </cell>
          <cell r="C38" t="str">
            <v>Escalera en Concreto de 3.000 Psi, espesor de losa o alma e=0.08m. incluye refuerzo y todos los materiales necesarios para su correcta ejecución. No incluye Acabados</v>
          </cell>
          <cell r="D38" t="str">
            <v>M3</v>
          </cell>
          <cell r="E38">
            <v>1674688.7987864772</v>
          </cell>
        </row>
        <row r="39">
          <cell r="B39" t="str">
            <v>20109</v>
          </cell>
          <cell r="C39" t="str">
            <v>Viga de Amarre Fundación de 0,30 m x 0.30 m. Concreto 3.000 Psi. incluye refuerzo y todos los materiales necesarios para su correcta ejecución</v>
          </cell>
          <cell r="D39" t="str">
            <v>ML</v>
          </cell>
          <cell r="E39">
            <v>183160.51234800005</v>
          </cell>
        </row>
        <row r="40">
          <cell r="B40" t="str">
            <v>20110</v>
          </cell>
          <cell r="C40" t="str">
            <v>Viga cinta para techo sección de 0,10 m x 0,12 m, incluye refuerzos y todos los materiales necesarios para su correcta ejecución.</v>
          </cell>
          <cell r="D40" t="str">
            <v>ML</v>
          </cell>
          <cell r="E40">
            <v>79824.943453666332</v>
          </cell>
        </row>
        <row r="41">
          <cell r="B41" t="str">
            <v>20111</v>
          </cell>
          <cell r="C41" t="str">
            <v>Columnas en concreto 0,12 x 0,20, incluye refuerzo</v>
          </cell>
          <cell r="D41" t="str">
            <v>ML</v>
          </cell>
          <cell r="E41">
            <v>104442.14744375042</v>
          </cell>
        </row>
        <row r="42">
          <cell r="B42" t="str">
            <v>20112</v>
          </cell>
          <cell r="C42" t="str">
            <v>Columna en concreto de 0.20 m x 0.20 m. Concreto 3.000 Psi. incluye refuerzo y todos los materiales necesarios para su correcta ejecución.</v>
          </cell>
          <cell r="D42" t="str">
            <v>ML</v>
          </cell>
          <cell r="E42">
            <v>140608.26303400003</v>
          </cell>
        </row>
        <row r="43">
          <cell r="B43" t="str">
            <v>20113</v>
          </cell>
          <cell r="C43" t="str">
            <v>Viga de fundación 0.30 m. x 0.30 m. en concreto ciclópeo. Incluye todos los materiales para su correcta ejecución</v>
          </cell>
          <cell r="D43" t="str">
            <v>ML</v>
          </cell>
          <cell r="E43">
            <v>59411.841111855523</v>
          </cell>
        </row>
        <row r="44">
          <cell r="B44" t="str">
            <v>20114</v>
          </cell>
          <cell r="C44" t="str">
            <v>Suministro e instalación de solado de limpieza e =0.05, incluye todos los materiales necesarios para su correcta ejecución.</v>
          </cell>
          <cell r="D44" t="str">
            <v>M3</v>
          </cell>
          <cell r="E44">
            <v>658825.93240099726</v>
          </cell>
        </row>
        <row r="45">
          <cell r="B45" t="str">
            <v>20115</v>
          </cell>
          <cell r="C45" t="str">
            <v>Recinte en concreto de 21 Mpa ciclópeo 50% piedra, espesor 20 cm. Incluye todo lo necesario para su correcta construcción</v>
          </cell>
          <cell r="D45" t="str">
            <v>ML</v>
          </cell>
          <cell r="E45">
            <v>187634.1006743068</v>
          </cell>
        </row>
        <row r="46">
          <cell r="B46" t="str">
            <v>20116</v>
          </cell>
          <cell r="C46" t="str">
            <v>Columnas en concreto 10X20 incluye refuerzo</v>
          </cell>
          <cell r="D46" t="str">
            <v>ML</v>
          </cell>
          <cell r="E46">
            <v>112558.39810239791</v>
          </cell>
        </row>
        <row r="47">
          <cell r="B47" t="str">
            <v>20117</v>
          </cell>
          <cell r="C47" t="str">
            <v>Columnas en concreto 0.15 m X 0.20 m , concreto 3000 psi e incluye refuerzo y todos los materiales necesarios para su correcta ejecución.</v>
          </cell>
          <cell r="D47" t="str">
            <v>ML</v>
          </cell>
          <cell r="E47">
            <v>129779.21128735985</v>
          </cell>
        </row>
        <row r="48">
          <cell r="B48" t="str">
            <v>20118</v>
          </cell>
          <cell r="C48" t="str">
            <v>Columnas en concreto 0.15 m X 0.15 m , concreto 3000 psi e incluye refuerzo y todos los materiales necesarios para su correcta ejecución.</v>
          </cell>
          <cell r="D48" t="str">
            <v>ML</v>
          </cell>
          <cell r="E48">
            <v>122598.13105122927</v>
          </cell>
        </row>
        <row r="49">
          <cell r="B49" t="str">
            <v>20119</v>
          </cell>
          <cell r="C49" t="str">
            <v>Concreto de 3.000 Psi, espesor de losa e=0.08m. incluye refuerzo y todos los materiales necesario para su correcta ejecución.</v>
          </cell>
          <cell r="D49" t="str">
            <v>M3</v>
          </cell>
          <cell r="E49">
            <v>1218877.0548800002</v>
          </cell>
        </row>
        <row r="50">
          <cell r="B50" t="str">
            <v>20120</v>
          </cell>
          <cell r="C50" t="str">
            <v>Zapata en concreto 3000 psi e incluye refuerzo y todos los elementos necesarios para su correcta ejecución.</v>
          </cell>
          <cell r="D50" t="str">
            <v>M3</v>
          </cell>
          <cell r="E50">
            <v>1175999.7681321001</v>
          </cell>
        </row>
        <row r="51">
          <cell r="B51" t="str">
            <v>20121</v>
          </cell>
          <cell r="C51" t="str">
            <v>Pedestal 4-1/2" concreto 3000 psi e incluye refuerzo y todos los elementos necesarios para su correcta ejecución.</v>
          </cell>
          <cell r="D51" t="str">
            <v>M3</v>
          </cell>
          <cell r="E51">
            <v>1807903.9369594506</v>
          </cell>
        </row>
        <row r="52">
          <cell r="B52" t="str">
            <v>20122</v>
          </cell>
          <cell r="C52" t="str">
            <v>Columnas en concreto 0.25 m X 0.25 m , 4-1/2" concreto 3000 psi e incluye refuerzo y todos los materiales necesarios para su correcta ejecución.</v>
          </cell>
          <cell r="D52" t="str">
            <v>ML</v>
          </cell>
          <cell r="E52">
            <v>278842.23724177002</v>
          </cell>
        </row>
        <row r="53">
          <cell r="B53" t="str">
            <v>20123</v>
          </cell>
          <cell r="C53" t="str">
            <v>Columnas en concreto 0.25 m X 0.25 m , 4-5/8" concreto 3000 psi e incluye refuerzo y todos los materiales necesarios para su correcta ejecución.</v>
          </cell>
          <cell r="D53" t="str">
            <v>ML</v>
          </cell>
          <cell r="E53">
            <v>298742.36415744922</v>
          </cell>
        </row>
        <row r="54">
          <cell r="B54" t="str">
            <v>20124</v>
          </cell>
          <cell r="C54" t="str">
            <v>Columnas en concreto 0.30 m X 0.30 m , 4-5/8" concreto 3000 psi e incluye refuerzo y todos los materiales necesarios para su correcta ejecución.</v>
          </cell>
          <cell r="D54" t="str">
            <v>ML</v>
          </cell>
          <cell r="E54">
            <v>317112.27400999994</v>
          </cell>
        </row>
        <row r="55">
          <cell r="B55" t="str">
            <v>20125</v>
          </cell>
          <cell r="C55" t="str">
            <v>Losa aligerada e=15 cm</v>
          </cell>
          <cell r="D55" t="str">
            <v>M2</v>
          </cell>
          <cell r="E55">
            <v>299767.1107522673</v>
          </cell>
        </row>
        <row r="56">
          <cell r="B56" t="str">
            <v>20126</v>
          </cell>
          <cell r="C56" t="str">
            <v>Losa aligerada e=20 cm</v>
          </cell>
          <cell r="D56" t="str">
            <v>M2</v>
          </cell>
          <cell r="E56">
            <v>338268.10562218667</v>
          </cell>
        </row>
        <row r="57">
          <cell r="B57" t="str">
            <v>20127</v>
          </cell>
          <cell r="C57" t="str">
            <v>Muro de contención en bloque de 0.20 hasta h=2.40 m</v>
          </cell>
          <cell r="D57" t="str">
            <v>M2</v>
          </cell>
          <cell r="E57">
            <v>690991.69268166251</v>
          </cell>
        </row>
        <row r="58">
          <cell r="B58" t="str">
            <v>20128</v>
          </cell>
          <cell r="C58" t="str">
            <v>Columna Nueva CC2-A (0.15x0.10m) Confinante, concreto 3000 psi e incluye refuerzo y todos los materiales necesarios para su correcta ejecución.</v>
          </cell>
          <cell r="D58" t="str">
            <v>ML</v>
          </cell>
          <cell r="E58">
            <v>117796.74530004799</v>
          </cell>
        </row>
        <row r="59">
          <cell r="B59" t="str">
            <v>20129</v>
          </cell>
          <cell r="C59" t="str">
            <v>Acero de refuerzo 1/4" #2 resistencia F´c= 6,000psi</v>
          </cell>
          <cell r="D59" t="str">
            <v>ML</v>
          </cell>
          <cell r="E59">
            <v>5262.0485693829041</v>
          </cell>
        </row>
        <row r="60">
          <cell r="B60" t="str">
            <v>20130</v>
          </cell>
          <cell r="C60" t="str">
            <v>Viga aerea H=2.30 en concreto 0.25 m X 0.25 m , 4-1/2" concreto 3000 psi e incluye refuerzo y todos los materiales necesarios para su correcta ejecución.</v>
          </cell>
          <cell r="D60" t="str">
            <v>ML</v>
          </cell>
          <cell r="E60">
            <v>233847.21598248708</v>
          </cell>
        </row>
        <row r="61">
          <cell r="B61" t="str">
            <v>20131</v>
          </cell>
          <cell r="C61" t="str">
            <v>Anclaje o fijación de barra hasta barra # 5</v>
          </cell>
          <cell r="D61" t="str">
            <v>UN</v>
          </cell>
          <cell r="E61">
            <v>40349.579791277807</v>
          </cell>
        </row>
        <row r="62">
          <cell r="B62" t="str">
            <v>20132</v>
          </cell>
          <cell r="C62" t="str">
            <v>Adherente para junta en frio (concreto existente con mortero)</v>
          </cell>
          <cell r="D62" t="str">
            <v>M2</v>
          </cell>
          <cell r="E62">
            <v>42225.548433882883</v>
          </cell>
        </row>
        <row r="63">
          <cell r="B63" t="str">
            <v>20133</v>
          </cell>
          <cell r="C63" t="str">
            <v>Encamizado en concreto para de columna de 45 X 0,05 incluye malla electrosoldada D106, acero de refuerzo 3/8" y todas las actividades para su correcta instalación</v>
          </cell>
          <cell r="D63" t="str">
            <v>M2</v>
          </cell>
          <cell r="E63">
            <v>111261.42389082893</v>
          </cell>
        </row>
        <row r="64">
          <cell r="B64" t="str">
            <v>20134</v>
          </cell>
          <cell r="C64" t="str">
            <v>Concreto ciclópeo (40% piedra, concreto 1:3:4)</v>
          </cell>
          <cell r="D64" t="str">
            <v>M3</v>
          </cell>
          <cell r="E64">
            <v>673126.37680748012</v>
          </cell>
        </row>
        <row r="65">
          <cell r="B65" t="str">
            <v>20135</v>
          </cell>
          <cell r="C65" t="str">
            <v>Viga de fundación 25X25, concreto 3000 psi e incluye refuerzo y todos los materiales necesarios para su correcta ejecución.</v>
          </cell>
          <cell r="D65" t="str">
            <v>ML</v>
          </cell>
          <cell r="E65">
            <v>116184.63937178672</v>
          </cell>
        </row>
        <row r="66">
          <cell r="B66" t="str">
            <v>20136</v>
          </cell>
          <cell r="C66" t="str">
            <v>Viga de fundación 25X30, concreto 3000 psi e incluye refuerzo y todos los materiales necesarios para su correcta ejecución.</v>
          </cell>
          <cell r="D66" t="str">
            <v>ML</v>
          </cell>
          <cell r="E66">
            <v>155127.01371999987</v>
          </cell>
        </row>
        <row r="67">
          <cell r="B67" t="str">
            <v>20137</v>
          </cell>
          <cell r="C67" t="str">
            <v>Acero de refuerzo 1/2" #4 resistencia F´c = 6,000psi</v>
          </cell>
          <cell r="D67" t="str">
            <v>ML</v>
          </cell>
          <cell r="E67">
            <v>8040.3670721240414</v>
          </cell>
        </row>
        <row r="68">
          <cell r="B68" t="str">
            <v>20138</v>
          </cell>
          <cell r="C68" t="str">
            <v>Acero de refuerzo 3/8" #3 resistencia F´c = 6,000psi</v>
          </cell>
          <cell r="D68" t="str">
            <v>ML</v>
          </cell>
          <cell r="E68">
            <v>6223.4673895567912</v>
          </cell>
        </row>
        <row r="69">
          <cell r="B69" t="str">
            <v>20139</v>
          </cell>
          <cell r="C69" t="str">
            <v>Losa maciza concreto 3000 psi e incluye refuerzo y todos los materiales necesarios para su correcta ejecución. e=12 cm - 3000 psi</v>
          </cell>
          <cell r="D69" t="str">
            <v>M2</v>
          </cell>
          <cell r="E69">
            <v>294392.29464246979</v>
          </cell>
        </row>
        <row r="70">
          <cell r="B70" t="str">
            <v>20140</v>
          </cell>
          <cell r="C70" t="str">
            <v>Retaque de Losa</v>
          </cell>
          <cell r="D70" t="str">
            <v>M2</v>
          </cell>
          <cell r="E70">
            <v>18124.080104766839</v>
          </cell>
        </row>
        <row r="71">
          <cell r="B71" t="str">
            <v>3</v>
          </cell>
          <cell r="C71" t="str">
            <v>MAMPOSTERÍA</v>
          </cell>
          <cell r="D71" t="str">
            <v/>
          </cell>
        </row>
        <row r="72">
          <cell r="B72" t="str">
            <v>30101</v>
          </cell>
          <cell r="C72" t="str">
            <v>Mampostería a la vista en ladrillo de 10 m x 20 m x 40 m, incluye rebitado liso y limpieza todos los materiales necesarios para su correcta ejecución</v>
          </cell>
          <cell r="D72" t="str">
            <v>M2</v>
          </cell>
          <cell r="E72">
            <v>76316.444325378237</v>
          </cell>
        </row>
        <row r="73">
          <cell r="B73" t="str">
            <v>30102</v>
          </cell>
          <cell r="C73" t="str">
            <v>Mampostería a la vista en ladrillo de 15 m x 20 m x 40 m, Incluye rebitado liso y limpieza y todos los materiales necesarios para su correcta ejecución</v>
          </cell>
          <cell r="D73" t="str">
            <v>M2</v>
          </cell>
          <cell r="E73">
            <v>92412.654348317883</v>
          </cell>
        </row>
        <row r="74">
          <cell r="B74" t="str">
            <v>30103</v>
          </cell>
          <cell r="C74" t="str">
            <v>Sobrecimiento en bloque de concreto 15 m x 20 m x 40 cm. Incluye rebitado liso y todos los materiales necesarios para su correcta ejecución.</v>
          </cell>
          <cell r="D74" t="str">
            <v>M2</v>
          </cell>
          <cell r="E74">
            <v>107045.99007459702</v>
          </cell>
        </row>
        <row r="75">
          <cell r="B75" t="str">
            <v>30104</v>
          </cell>
          <cell r="C75" t="str">
            <v>Mampostería en adobe calado de 0,10 m x 0,20 m x 0,20 m, Incluye rebitado liso y todos los materiales necesarios para su correcta ejecución.</v>
          </cell>
          <cell r="D75" t="str">
            <v>M2</v>
          </cell>
          <cell r="E75">
            <v>140020.3165756021</v>
          </cell>
        </row>
        <row r="76">
          <cell r="B76" t="str">
            <v>30105</v>
          </cell>
          <cell r="C76" t="str">
            <v>Suministro e Instalación de Lagrimal en concreto, Incluye todos los materiales necesarios para su correcta ejecución.</v>
          </cell>
          <cell r="D76" t="str">
            <v>ML</v>
          </cell>
          <cell r="E76">
            <v>50877.096627907697</v>
          </cell>
        </row>
        <row r="77">
          <cell r="B77" t="str">
            <v>30106</v>
          </cell>
          <cell r="C77" t="str">
            <v>Muro estructural en bloque 15cm x 20 cm x 40cm, incluye dovelas cada 33 cms en varilla de 1/2, Grauting y todos los materiales necesarios para su correcta ejecución.</v>
          </cell>
          <cell r="D77" t="str">
            <v>M2</v>
          </cell>
          <cell r="E77">
            <v>142923.47083291184</v>
          </cell>
        </row>
        <row r="78">
          <cell r="B78" t="str">
            <v>30107</v>
          </cell>
          <cell r="C78" t="str">
            <v>Mampostería para revoque en ladrillo de 10 m x 20 m x 40 m, incluye todos los materiales necesarios para su correcta ejecución</v>
          </cell>
          <cell r="D78" t="str">
            <v>M2</v>
          </cell>
          <cell r="E78">
            <v>61264.091680993602</v>
          </cell>
        </row>
        <row r="79">
          <cell r="B79" t="str">
            <v>30108</v>
          </cell>
          <cell r="C79" t="str">
            <v>Mampostería para revoque en ladrillo de 15 m x 20 m x 40 m, incluye todos los materiales necesarios para su correcta ejecución</v>
          </cell>
          <cell r="D79" t="str">
            <v>M2</v>
          </cell>
          <cell r="E79">
            <v>87802.477651242574</v>
          </cell>
        </row>
        <row r="80">
          <cell r="B80" t="str">
            <v>4</v>
          </cell>
          <cell r="C80" t="str">
            <v>REVOQUES</v>
          </cell>
          <cell r="D80" t="str">
            <v/>
          </cell>
        </row>
        <row r="81">
          <cell r="B81" t="str">
            <v>40101</v>
          </cell>
          <cell r="C81" t="str">
            <v>Revoque impermeabilizado. Incluye fajas, ranuras, filetes y todos los materiales necesarios para su correcta ejecución.</v>
          </cell>
          <cell r="D81" t="str">
            <v>M2</v>
          </cell>
          <cell r="E81">
            <v>58852.526221067783</v>
          </cell>
        </row>
        <row r="82">
          <cell r="B82" t="str">
            <v>40102</v>
          </cell>
          <cell r="C82" t="str">
            <v>Revoque liso sobre pared. Incluye fajas, ranuras, filetes y todos los materiales necesarios para su correcta ejecución.</v>
          </cell>
          <cell r="D82" t="str">
            <v>M2</v>
          </cell>
          <cell r="E82">
            <v>55646.948484992317</v>
          </cell>
        </row>
        <row r="83">
          <cell r="B83" t="str">
            <v>40103</v>
          </cell>
          <cell r="C83" t="str">
            <v>Suministro de emulsión asfáltica para losas en concreto. Incluye materiales para su correcta instalación</v>
          </cell>
          <cell r="D83" t="str">
            <v>M2</v>
          </cell>
          <cell r="E83">
            <v>55600.58826187993</v>
          </cell>
        </row>
        <row r="84">
          <cell r="B84" t="str">
            <v>40104</v>
          </cell>
          <cell r="C84" t="str">
            <v>Aplicación de revoque liso sobre cielos</v>
          </cell>
          <cell r="D84" t="str">
            <v>M2</v>
          </cell>
          <cell r="E84">
            <v>59974.315414897093</v>
          </cell>
        </row>
        <row r="85">
          <cell r="B85" t="str">
            <v>40105</v>
          </cell>
          <cell r="C85" t="str">
            <v>Suministro e instalación de encorozado h=0.15 m, incluye adobe, revoque (ambas caras), y los materiales necesarios para su correcta ejecución.</v>
          </cell>
          <cell r="D85" t="str">
            <v>ML</v>
          </cell>
          <cell r="E85">
            <v>28068.998161276824</v>
          </cell>
        </row>
        <row r="86">
          <cell r="B86" t="str">
            <v>40106</v>
          </cell>
          <cell r="C86" t="str">
            <v>Recubrimiento de Concreto Armado con Barras de 3/8"@0.50m e = 6cm</v>
          </cell>
          <cell r="D86" t="str">
            <v>M2</v>
          </cell>
          <cell r="E86">
            <v>94477.678586674345</v>
          </cell>
        </row>
        <row r="87">
          <cell r="B87" t="str">
            <v>40107</v>
          </cell>
          <cell r="C87" t="str">
            <v>Recubrimiento de Concreto Armado con Barras de 3/8"@0.50m e = 3cm</v>
          </cell>
          <cell r="D87" t="str">
            <v>M2</v>
          </cell>
          <cell r="E87">
            <v>65465.583639903147</v>
          </cell>
        </row>
        <row r="88">
          <cell r="B88" t="str">
            <v>40108</v>
          </cell>
          <cell r="C88" t="str">
            <v>Revoque estructural con Malla Electrosoldada e=3cm</v>
          </cell>
          <cell r="D88" t="str">
            <v>M2</v>
          </cell>
          <cell r="E88">
            <v>94353.754476885835</v>
          </cell>
        </row>
        <row r="89">
          <cell r="B89" t="str">
            <v>5</v>
          </cell>
          <cell r="C89" t="str">
            <v>ENCHAPES</v>
          </cell>
          <cell r="D89" t="str">
            <v/>
          </cell>
        </row>
        <row r="90">
          <cell r="B90" t="str">
            <v>50101</v>
          </cell>
          <cell r="C90" t="str">
            <v>Enchape cerámico para pared de zonas húmedas (baño, cocina, lavadero) incluye todos los materiales necesarios para su correcta ejecución.</v>
          </cell>
          <cell r="D90" t="str">
            <v>M2</v>
          </cell>
          <cell r="E90">
            <v>121070.01097599999</v>
          </cell>
        </row>
        <row r="91">
          <cell r="B91" t="str">
            <v>50102</v>
          </cell>
          <cell r="C91" t="str">
            <v>Enchape cerámico para piso baño mayor adherencia "antideslizante" incluye todos los materiales necesarios para su correcta ejecución.</v>
          </cell>
          <cell r="D91" t="str">
            <v>M2</v>
          </cell>
          <cell r="E91">
            <v>130845.38631899997</v>
          </cell>
        </row>
        <row r="92">
          <cell r="B92" t="str">
            <v>50103</v>
          </cell>
          <cell r="C92" t="str">
            <v>Enchape cerámico para piso incluye todos los materiales necesarios para su correcta ejecución.</v>
          </cell>
          <cell r="D92" t="str">
            <v>M2</v>
          </cell>
          <cell r="E92">
            <v>118938.26029000009</v>
          </cell>
        </row>
        <row r="93">
          <cell r="B93" t="str">
            <v>50104</v>
          </cell>
          <cell r="C93" t="str">
            <v>Suministro e instalación de guarda escobas en material cerámico h min=0,08 m, incluye remates superiores (tipo chaflan), laterales y todos los materiales necesarios para su correcta ejecución.</v>
          </cell>
          <cell r="D93" t="str">
            <v>ML</v>
          </cell>
          <cell r="E93">
            <v>27409.049237114465</v>
          </cell>
        </row>
        <row r="94">
          <cell r="B94" t="str">
            <v>50105</v>
          </cell>
          <cell r="C94" t="str">
            <v>Instalación de pirlan de aluminio</v>
          </cell>
          <cell r="D94" t="str">
            <v>ML</v>
          </cell>
          <cell r="E94">
            <v>18983.778603485545</v>
          </cell>
        </row>
        <row r="95">
          <cell r="B95" t="str">
            <v>50106</v>
          </cell>
          <cell r="C95" t="str">
            <v>Suministro e instalación de cenefa en material cerámico, incluye todos los materiales necesarios para su correcta ejecución.</v>
          </cell>
          <cell r="D95" t="str">
            <v>ML</v>
          </cell>
          <cell r="E95">
            <v>52493.784679837954</v>
          </cell>
        </row>
        <row r="96">
          <cell r="B96" t="str">
            <v>50107</v>
          </cell>
          <cell r="C96" t="str">
            <v>Enchape cerámico para piso de escalas mayor adherencia "antideslizante" incluye todos los materiales necesarios para su correcta ejecución.</v>
          </cell>
          <cell r="D96" t="str">
            <v>M2</v>
          </cell>
          <cell r="E96">
            <v>143957.70773309097</v>
          </cell>
        </row>
        <row r="97">
          <cell r="B97" t="str">
            <v>50108</v>
          </cell>
          <cell r="C97" t="str">
            <v>Suministro e instalación de cenefa decorativa pared en material 
cerámico paracocina(8x45), incluye todos los materiales necesarios
para su correcta ejecución.</v>
          </cell>
          <cell r="E97">
            <v>40547.129960603204</v>
          </cell>
        </row>
        <row r="98">
          <cell r="B98" t="str">
            <v>6</v>
          </cell>
          <cell r="C98" t="str">
            <v>APARATOS SANITARIOS</v>
          </cell>
          <cell r="D98" t="str">
            <v/>
          </cell>
        </row>
        <row r="99">
          <cell r="B99" t="str">
            <v>60101</v>
          </cell>
          <cell r="C99" t="str">
            <v>Suministro e instalación de sanitario, incluye abasto, accesorios y todos los materiales necesarios para su correcta ejecución.</v>
          </cell>
          <cell r="D99" t="str">
            <v>UN</v>
          </cell>
          <cell r="E99">
            <v>396438.10568388144</v>
          </cell>
        </row>
        <row r="100">
          <cell r="B100" t="str">
            <v>60102</v>
          </cell>
          <cell r="C100" t="str">
            <v>Suministro e instalación de lavamanos, incluye abasto, accesorios y todos los materiales necesarios para su correcta ejecución.</v>
          </cell>
          <cell r="D100" t="str">
            <v>UN</v>
          </cell>
          <cell r="E100">
            <v>261126.41744924482</v>
          </cell>
        </row>
        <row r="101">
          <cell r="B101" t="str">
            <v>60103</v>
          </cell>
          <cell r="C101" t="str">
            <v>Suministro e instalación de 3 Incrustaciones para baño, incluye Papelera, Jabonera, toallera y todos los demás elementos necesarios para su correcta ejecución.</v>
          </cell>
          <cell r="D101" t="str">
            <v>JUEGO</v>
          </cell>
          <cell r="E101">
            <v>120552.39730205826</v>
          </cell>
        </row>
        <row r="102">
          <cell r="B102" t="str">
            <v>60104</v>
          </cell>
          <cell r="C102" t="str">
            <v>Suministro e instalación de 5 Incrustaciones para baño, incluye Papelera, 2 Jabonera, 2 toallera y todos los demás elementos necesarios para su correcta ejecución.</v>
          </cell>
          <cell r="D102" t="str">
            <v>JUEGO</v>
          </cell>
          <cell r="E102">
            <v>149169.39730205829</v>
          </cell>
        </row>
        <row r="103">
          <cell r="B103" t="str">
            <v>60105</v>
          </cell>
          <cell r="C103" t="str">
            <v>Suministro e instalación de ducha, incluye registro, accesorios y todo lo necesario para su correcta ejecución.</v>
          </cell>
          <cell r="D103" t="str">
            <v>UN</v>
          </cell>
          <cell r="E103">
            <v>168724.75883967688</v>
          </cell>
        </row>
        <row r="104">
          <cell r="B104" t="str">
            <v>60106</v>
          </cell>
          <cell r="C104" t="str">
            <v>Suministro e instalación de combo: Sanitario, Lavamanos, Incrustaciones (3), ducha, incluye accesorios y todos los materiales necesarios para su correcta ejecución.</v>
          </cell>
          <cell r="D104" t="str">
            <v>UN</v>
          </cell>
          <cell r="E104">
            <v>912980.34387785709</v>
          </cell>
        </row>
        <row r="105">
          <cell r="B105" t="str">
            <v>60107</v>
          </cell>
          <cell r="C105" t="str">
            <v>Suministro e instalación de orinal cerámico</v>
          </cell>
          <cell r="D105" t="str">
            <v>UN</v>
          </cell>
          <cell r="E105">
            <v>389091.00823200005</v>
          </cell>
        </row>
        <row r="106">
          <cell r="B106" t="str">
            <v>60108</v>
          </cell>
          <cell r="C106" t="str">
            <v>Suministro e instalación de teleducha</v>
          </cell>
          <cell r="D106" t="str">
            <v>UN</v>
          </cell>
          <cell r="E106">
            <v>124360.50685999999</v>
          </cell>
        </row>
        <row r="107">
          <cell r="B107" t="str">
            <v>60109</v>
          </cell>
          <cell r="C107" t="str">
            <v>Reinstalación de aparato sanitario, incluye el remplazo de los accesorios y todos los materiales necesarios para su correcta ejecución.</v>
          </cell>
          <cell r="D107" t="str">
            <v>UN</v>
          </cell>
          <cell r="E107">
            <v>95347.053510490296</v>
          </cell>
        </row>
        <row r="108">
          <cell r="B108" t="str">
            <v>7</v>
          </cell>
          <cell r="C108" t="str">
            <v>REDES</v>
          </cell>
          <cell r="D108" t="str">
            <v/>
          </cell>
        </row>
        <row r="109">
          <cell r="B109" t="str">
            <v>701</v>
          </cell>
          <cell r="C109" t="str">
            <v>RED ELECTRICA</v>
          </cell>
          <cell r="D109" t="str">
            <v/>
          </cell>
        </row>
        <row r="110">
          <cell r="B110" t="str">
            <v>70101</v>
          </cell>
          <cell r="C110" t="str">
            <v>Salida de energía, incluye todos los materiales necesarios para su correcta ejecución y la instalación de positivo, negativo y neutro. (los materiales y accesorios deben de cumplir con las normas vigentes), desmonte, canchas, resanes y todas las actividades complementarias para su correcta instalación.</v>
          </cell>
          <cell r="D110" t="str">
            <v>PTO</v>
          </cell>
          <cell r="E110">
            <v>138017.47951209356</v>
          </cell>
        </row>
        <row r="111">
          <cell r="B111" t="str">
            <v>70102</v>
          </cell>
          <cell r="C111" t="str">
            <v xml:space="preserve">Instalación toma GFCI </v>
          </cell>
          <cell r="D111" t="str">
            <v>PTO</v>
          </cell>
          <cell r="E111">
            <v>174478.01372000005</v>
          </cell>
        </row>
        <row r="112">
          <cell r="B112" t="str">
            <v>70103</v>
          </cell>
          <cell r="C112" t="str">
            <v>Salida de energía, incluye todos los materiales necesarios para su correcta ejecución y la instalación de positivo, negativo y neutro, cajas y aparatos nuevos, (reutilización de tubería) incluye resane de ser necesario y todas las actividades complementarias para su correcta instalación.</v>
          </cell>
          <cell r="D112" t="str">
            <v>PTO</v>
          </cell>
          <cell r="E112">
            <v>104860.10625558189</v>
          </cell>
        </row>
        <row r="113">
          <cell r="B113" t="str">
            <v>702</v>
          </cell>
          <cell r="C113" t="str">
            <v>RED HIDRAULICA</v>
          </cell>
        </row>
        <row r="114">
          <cell r="B114" t="str">
            <v>70201</v>
          </cell>
          <cell r="C114" t="str">
            <v>Salida hidráulica de 1/2"</v>
          </cell>
          <cell r="D114" t="str">
            <v>UN</v>
          </cell>
          <cell r="E114">
            <v>43357.034000794185</v>
          </cell>
        </row>
        <row r="115">
          <cell r="B115" t="str">
            <v>70202</v>
          </cell>
          <cell r="C115" t="str">
            <v>Tubería PVC presión de 1/2" RDE 13.5, Incluye accesorios</v>
          </cell>
          <cell r="D115" t="str">
            <v>ML</v>
          </cell>
          <cell r="E115">
            <v>11295.096851731705</v>
          </cell>
        </row>
        <row r="116">
          <cell r="B116" t="str">
            <v>703</v>
          </cell>
          <cell r="C116" t="str">
            <v>RED SANITARIA</v>
          </cell>
        </row>
        <row r="117">
          <cell r="B117" t="str">
            <v>70301</v>
          </cell>
          <cell r="C117" t="str">
            <v>Desagüe tubería sanitaria de 2", 3" y 4"</v>
          </cell>
          <cell r="D117" t="str">
            <v>UN</v>
          </cell>
          <cell r="E117">
            <v>160508.265778</v>
          </cell>
        </row>
        <row r="118">
          <cell r="B118" t="str">
            <v>70302</v>
          </cell>
          <cell r="C118" t="str">
            <v>Tubería PVC sanitaria de 2"</v>
          </cell>
          <cell r="D118" t="str">
            <v>ML</v>
          </cell>
          <cell r="E118">
            <v>38179.094493064178</v>
          </cell>
        </row>
        <row r="119">
          <cell r="B119" t="str">
            <v>70303</v>
          </cell>
          <cell r="C119" t="str">
            <v>Tubería PVC sanitaria de 3"</v>
          </cell>
          <cell r="D119" t="str">
            <v>ML</v>
          </cell>
          <cell r="E119">
            <v>57513.756174000009</v>
          </cell>
        </row>
        <row r="120">
          <cell r="B120" t="str">
            <v>70304</v>
          </cell>
          <cell r="C120" t="str">
            <v>Tubería PVC sanitaria de 4"</v>
          </cell>
          <cell r="D120" t="str">
            <v>ML</v>
          </cell>
          <cell r="E120">
            <v>75004.506860000009</v>
          </cell>
        </row>
        <row r="121">
          <cell r="B121" t="str">
            <v>70305</v>
          </cell>
          <cell r="C121" t="str">
            <v>Tubería PVC sanitaria de 6"</v>
          </cell>
          <cell r="D121" t="str">
            <v>ML</v>
          </cell>
          <cell r="E121">
            <v>156411.00823200005</v>
          </cell>
        </row>
        <row r="122">
          <cell r="B122" t="str">
            <v>70306</v>
          </cell>
          <cell r="C122" t="str">
            <v>Caja de Inspección y/o de Empalme de 0.50x0.50</v>
          </cell>
          <cell r="D122" t="str">
            <v>UN</v>
          </cell>
          <cell r="E122">
            <v>327534.9026366318</v>
          </cell>
        </row>
        <row r="123">
          <cell r="B123" t="str">
            <v>70307</v>
          </cell>
          <cell r="C123" t="str">
            <v>Rejilla de piso</v>
          </cell>
          <cell r="D123" t="str">
            <v>UN</v>
          </cell>
          <cell r="E123">
            <v>38113.991681687963</v>
          </cell>
        </row>
        <row r="124">
          <cell r="B124" t="str">
            <v>70308</v>
          </cell>
          <cell r="C124" t="str">
            <v>Suministro e instalación de filtro 0.50 m X 0.50 m, incluye tubería de 4" perforada, triturado, geotextil (recubre toda la tubería) y los elementos necesarios para su correcta ejecución y funcionamiento.</v>
          </cell>
          <cell r="D124" t="str">
            <v>ML</v>
          </cell>
          <cell r="E124">
            <v>169534.76559710671</v>
          </cell>
        </row>
        <row r="125">
          <cell r="B125" t="str">
            <v>70309</v>
          </cell>
          <cell r="C125" t="str">
            <v>Suministro e instalación de polietileno de alta densidad</v>
          </cell>
          <cell r="D125" t="str">
            <v>M2</v>
          </cell>
          <cell r="E125">
            <v>9728.5013720000006</v>
          </cell>
        </row>
        <row r="126">
          <cell r="B126" t="str">
            <v>70310</v>
          </cell>
          <cell r="C126" t="str">
            <v>Suministro, transporte e instalación de sistema séptico domiciliario con capacidad de 2000 lt , compuesto por un tanque séptico de 1000 lt, un FAFA de 1000 lt y una trampa de grasa de 250 lt) para vivienda de hasta 6 personas.
Incluye rosetones, accesorios y todos los demás elementos para su 
puesta en marcha y funcionamiento, entregar manual de mantenimiento.</v>
          </cell>
          <cell r="D126" t="str">
            <v>UN</v>
          </cell>
          <cell r="E126">
            <v>3459950.6029000008</v>
          </cell>
        </row>
        <row r="127">
          <cell r="B127" t="str">
            <v>8</v>
          </cell>
          <cell r="C127" t="str">
            <v>CARPINTERIAS</v>
          </cell>
        </row>
        <row r="128">
          <cell r="B128" t="str">
            <v>801</v>
          </cell>
          <cell r="C128" t="str">
            <v>PUERTAS</v>
          </cell>
        </row>
        <row r="129">
          <cell r="B129" t="str">
            <v>80101</v>
          </cell>
          <cell r="C129" t="str">
            <v>Suministro e instalación de Cabina para baño, en aluminio crudo o anodizado</v>
          </cell>
          <cell r="D129" t="str">
            <v>ML</v>
          </cell>
          <cell r="E129">
            <v>435723.27400999999</v>
          </cell>
        </row>
        <row r="130">
          <cell r="B130" t="str">
            <v>80102</v>
          </cell>
          <cell r="C130" t="str">
            <v>Suministro e instalación de puerta metálica de 0.70 x 2.10 m calibre 20. Incluye marco, ala, chapa, pintura anticorrosiva y todos los materiales necesarios para su correcta ejecución.</v>
          </cell>
          <cell r="D130" t="str">
            <v>UN</v>
          </cell>
          <cell r="E130">
            <v>619059.0164640001</v>
          </cell>
        </row>
        <row r="131">
          <cell r="B131" t="str">
            <v>80103</v>
          </cell>
          <cell r="C131" t="str">
            <v>Suministro e instalación de puerta metálica de 0.80 x 2.10 m calibre 20. Incluye marco, ala, chapa pintura anticorrosivo y todos los materiales necesarios para su correcta ejecución.</v>
          </cell>
          <cell r="D131" t="str">
            <v>UN</v>
          </cell>
          <cell r="E131">
            <v>661172.01646399987</v>
          </cell>
        </row>
        <row r="132">
          <cell r="B132" t="str">
            <v>80104</v>
          </cell>
          <cell r="C132" t="str">
            <v>Suministro e instalación de puerta metálica de 1.00 x 2.10 m calibre 20. Incluye marco, ala, chapa, pintura anticorrosiva y todos los materiales necesarios para su correcta ejecución.</v>
          </cell>
          <cell r="D132" t="str">
            <v>UN</v>
          </cell>
          <cell r="E132">
            <v>767040.0164640001</v>
          </cell>
        </row>
        <row r="133">
          <cell r="B133" t="str">
            <v>80105</v>
          </cell>
          <cell r="C133" t="str">
            <v>Suministro e instalación de puerta en madera de 0.70 x 2.10 m, incluye, marco en madera, ala en tríplex, cerradura de pomo y todos los materiales para su correcta ejecución.</v>
          </cell>
          <cell r="D133" t="str">
            <v>UN</v>
          </cell>
          <cell r="E133">
            <v>401481.27126600005</v>
          </cell>
        </row>
        <row r="134">
          <cell r="B134" t="str">
            <v>80106</v>
          </cell>
          <cell r="C134" t="str">
            <v>Suministro e instalación de puerta en madera de 0.80 x 2.10 m, incluye, marco en madera, ala en tríplex, cerradura de pomo y todos los materiales para su correcta ejecución.</v>
          </cell>
          <cell r="D134" t="str">
            <v>UN</v>
          </cell>
          <cell r="E134">
            <v>426300.27126600005</v>
          </cell>
        </row>
        <row r="135">
          <cell r="B135" t="str">
            <v>80107</v>
          </cell>
          <cell r="C135" t="str">
            <v>Suministro e instalación de puerta en madera de 0.90 x 2.10 m, incluye, marco en madera, ala en tríplex, cerradura de pomo y todos los materiales para su correcta ejecución.</v>
          </cell>
          <cell r="D135" t="str">
            <v>UN</v>
          </cell>
          <cell r="E135">
            <v>458244.27126599988</v>
          </cell>
        </row>
        <row r="136">
          <cell r="B136" t="str">
            <v>80108</v>
          </cell>
          <cell r="C136" t="str">
            <v>Suministro e instalación de puerta para baño de 0,70 a 0,90 m, incluye, marco en aluminio, ala perfil en acrílico multienchape blanco 4mm y todos los materiales para su correcta ejecución, batiente.</v>
          </cell>
          <cell r="D136" t="str">
            <v>UN</v>
          </cell>
          <cell r="E136">
            <v>611573.51234799996</v>
          </cell>
        </row>
        <row r="137">
          <cell r="B137" t="str">
            <v>80109</v>
          </cell>
          <cell r="C137" t="str">
            <v>Suministro e instalación de puerta corrediza para baño de 0,70 a 0,90 m, incluye, ala perfil en acrílico multienchape blanco 4mm, riel en aluminio y todos los materiales para su correcta ejecución.</v>
          </cell>
          <cell r="D137" t="str">
            <v>UN</v>
          </cell>
          <cell r="E137">
            <v>740796.51234800008</v>
          </cell>
        </row>
        <row r="138">
          <cell r="B138" t="str">
            <v>80110</v>
          </cell>
          <cell r="C138" t="str">
            <v>Suministro e instalación de puerta corrediza para baño de 0,70 a 0,90 m, incluye, ala perfil en acrílico tipo amazona o similar, riel en aluminio y todos los materiales para su correcta ejecución.</v>
          </cell>
          <cell r="D138" t="str">
            <v>UN</v>
          </cell>
          <cell r="E138">
            <v>721965.51234800019</v>
          </cell>
        </row>
        <row r="139">
          <cell r="B139" t="str">
            <v>80111</v>
          </cell>
          <cell r="C139" t="str">
            <v>Suministro e instalación de puerta para baño de 0,70 a 0,90 m, incluye, marco en aluminio, ala perfil en acrílico tipo amazona o similar y todos los materiales para su correcta ejecución, batiente.</v>
          </cell>
          <cell r="D139" t="str">
            <v>UN</v>
          </cell>
          <cell r="E139">
            <v>585270.01920800016</v>
          </cell>
        </row>
        <row r="140">
          <cell r="B140" t="str">
            <v>80112</v>
          </cell>
          <cell r="C140" t="str">
            <v>Reinstalación de puertas y/o ventanas canchas, resanes y todo lo requerido para su correcta instalación y funcionamiento.</v>
          </cell>
          <cell r="D140" t="str">
            <v>UN</v>
          </cell>
          <cell r="E140">
            <v>99557.826922824723</v>
          </cell>
        </row>
        <row r="141">
          <cell r="B141" t="str">
            <v>80113</v>
          </cell>
          <cell r="C141" t="str">
            <v>Suministro e instalación de puerta en madera de 0.70, 0.80 ó 0.90 x 2.10 m, incluye ala en tríplex, cerradura de pomo, bisagras y todos los materiales para su correcta ejecución.</v>
          </cell>
          <cell r="D141" t="str">
            <v>UN</v>
          </cell>
          <cell r="E141">
            <v>386153.26029000001</v>
          </cell>
        </row>
        <row r="142">
          <cell r="B142" t="str">
            <v>802</v>
          </cell>
          <cell r="C142" t="str">
            <v>VENTANAS</v>
          </cell>
          <cell r="D142" t="str">
            <v/>
          </cell>
        </row>
        <row r="143">
          <cell r="B143" t="str">
            <v>80201</v>
          </cell>
          <cell r="C143" t="str">
            <v>Suministro e instalación de ventana en aluminio crudo o anodizado de 0,30 x 0,60 m. tipo celosía, incluye vidrio de 4mm.</v>
          </cell>
          <cell r="D143" t="str">
            <v>UN</v>
          </cell>
          <cell r="E143">
            <v>232161.83415155546</v>
          </cell>
        </row>
        <row r="144">
          <cell r="B144" t="str">
            <v>80202</v>
          </cell>
          <cell r="C144" t="str">
            <v>Suministro e instalación de ventana en aluminio crudo o anodizado. Incluye vidrio 4mm.</v>
          </cell>
          <cell r="D144" t="str">
            <v>M2</v>
          </cell>
          <cell r="E144">
            <v>462429.52057999989</v>
          </cell>
        </row>
        <row r="145">
          <cell r="B145" t="str">
            <v>80203</v>
          </cell>
          <cell r="C145" t="str">
            <v>Suministro e instalación de reja metálica para ventana</v>
          </cell>
          <cell r="D145" t="str">
            <v>M2</v>
          </cell>
          <cell r="E145">
            <v>359900.02744000003</v>
          </cell>
        </row>
        <row r="146">
          <cell r="B146" t="str">
            <v>803</v>
          </cell>
          <cell r="C146" t="str">
            <v>MUEBLES</v>
          </cell>
        </row>
        <row r="147">
          <cell r="B147" t="str">
            <v>80301</v>
          </cell>
          <cell r="C147" t="str">
            <v>Suministro e instalación de mueble Inferior para cocina entre mampostería en lamina RH (mínimo una línea con tres cajones y el restante con entrepaño 0,45m de fondo), Incluye adecuación de vano con estuco, pintura, rebanco e=0,05m con enchape y todos los materiales necesarios para su correcta instalación</v>
          </cell>
          <cell r="D147" t="str">
            <v>ML</v>
          </cell>
          <cell r="E147">
            <v>949580.56038562173</v>
          </cell>
        </row>
        <row r="148">
          <cell r="B148" t="str">
            <v>80302</v>
          </cell>
          <cell r="C148" t="str">
            <v>Suministro e instalación de mueble superior para cocina integral. Incluye dos nivele de rejilla metálica para losa (platos, pocillos, vasos) y todos los materiales necesarios para su correcta ejecución</v>
          </cell>
          <cell r="D148" t="str">
            <v>ML</v>
          </cell>
          <cell r="E148">
            <v>842483.78361400007</v>
          </cell>
        </row>
        <row r="149">
          <cell r="B149" t="str">
            <v>80303</v>
          </cell>
          <cell r="C149" t="str">
            <v>Suministro e instalación de piso en madera en tablilla zapan, con estructura en madera. Incluye todos los materiales necesarios para su correcta ejecución</v>
          </cell>
          <cell r="D149" t="str">
            <v>M2</v>
          </cell>
          <cell r="E149">
            <v>272369.76715000003</v>
          </cell>
        </row>
        <row r="150">
          <cell r="B150" t="str">
            <v>804</v>
          </cell>
          <cell r="C150" t="str">
            <v>ELEMENTOS DE APOYO</v>
          </cell>
        </row>
        <row r="151">
          <cell r="B151" t="str">
            <v>80401</v>
          </cell>
          <cell r="C151" t="str">
            <v>Suministro e instalación de barras de apoyo en aleación cromada de 18plg*7/8plg</v>
          </cell>
          <cell r="D151" t="str">
            <v>UN</v>
          </cell>
          <cell r="E151">
            <v>173270.26029000001</v>
          </cell>
        </row>
        <row r="152">
          <cell r="B152" t="str">
            <v>80402</v>
          </cell>
          <cell r="C152" t="str">
            <v>Suministro e instalación de pasamanos en tubería metálica de 2", con apoyo vertical cada 1,0m, tres horizontales, platina de anclaje, pernos expansivos y tapones en los extremos, pintura anticorrosivo y pintura de poliuretano. Incluye todos los materiales necesarios para su correcta ejecución</v>
          </cell>
          <cell r="D152" t="str">
            <v>ML</v>
          </cell>
          <cell r="E152">
            <v>329377.78087000002</v>
          </cell>
        </row>
        <row r="153">
          <cell r="B153" t="str">
            <v>80403</v>
          </cell>
          <cell r="C153" t="str">
            <v>Suministro e instalación de pasamanos metálicos para escalas y pared, con anticorrosivo y pintura de acabado. Incluye todos los materiales necesarios para su correcta ejecución</v>
          </cell>
          <cell r="D153" t="str">
            <v>ML</v>
          </cell>
          <cell r="E153">
            <v>155924.52058000007</v>
          </cell>
        </row>
        <row r="154">
          <cell r="B154" t="str">
            <v>805</v>
          </cell>
          <cell r="C154" t="str">
            <v>MESONES</v>
          </cell>
        </row>
        <row r="155">
          <cell r="B155" t="str">
            <v>80501</v>
          </cell>
          <cell r="C155" t="str">
            <v>Suministro e instalación de mesón prefabricado en acero inoxidable 1.5 x 0.6 m, incluye machón de 0,60 x 0,80, Pozuelo, grifería y todos los materiales necesarios para su correcta ejecución</v>
          </cell>
          <cell r="D155" t="str">
            <v>UN</v>
          </cell>
          <cell r="E155">
            <v>1022227.5044273671</v>
          </cell>
        </row>
        <row r="156">
          <cell r="B156" t="str">
            <v>80502</v>
          </cell>
          <cell r="C156" t="str">
            <v>Suministro e instalación de mesón prefabricado en acero inoxidable 1.8 x 0.6 m incluye machón de 0,6x0,80, Pozuelo, grifería y todos los materiales necesarios para su correcta ejecución</v>
          </cell>
          <cell r="D156" t="str">
            <v>UN</v>
          </cell>
          <cell r="E156">
            <v>1175431.5617400003</v>
          </cell>
        </row>
        <row r="157">
          <cell r="B157" t="str">
            <v>80503</v>
          </cell>
          <cell r="C157" t="str">
            <v>Suministro e instalación de mesón prefabricado en acero inoxidable 2.0 x 0.6 m incluye machón de 0,6x0,80, Pozuelo, grifería y todos los materiales necesarios para su correcta ejecución</v>
          </cell>
          <cell r="D157" t="str">
            <v>UN</v>
          </cell>
          <cell r="E157">
            <v>1250893.063112</v>
          </cell>
        </row>
        <row r="158">
          <cell r="B158" t="str">
            <v>80504</v>
          </cell>
          <cell r="C158" t="str">
            <v>Suministro e instalación mesón prefabricado en acero inoxidable 1.0 x 0.6 m incluye machón de 0,6x0,80, Pozuelo, grifería y todos los materiales necesarios para su correcta ejecución</v>
          </cell>
          <cell r="D158" t="str">
            <v>UN</v>
          </cell>
          <cell r="E158">
            <v>674025.04664800037</v>
          </cell>
        </row>
        <row r="159">
          <cell r="B159" t="str">
            <v>80505</v>
          </cell>
          <cell r="C159" t="str">
            <v>Suministro e instalación de pozuelo en Acero Inoxidable 0.4 X 0.6 mts Incluye accesorios y todos los materiales necesarios para la correcta ejecución</v>
          </cell>
          <cell r="D159" t="str">
            <v>UN</v>
          </cell>
          <cell r="E159">
            <v>351291.01372000005</v>
          </cell>
        </row>
        <row r="160">
          <cell r="B160" t="str">
            <v>80506</v>
          </cell>
          <cell r="C160" t="str">
            <v>Suministro e instalación de mesón prefabricado en acero inoxidable 1.8 x 0.52 m incluye machón de 0,52x0,80 revocados y pintado, Pozuelo, cubierta en acero inox. Con cuatro quemadores a gas, encendido eléctrico, grifería y todos los materiales necesarios para su correcta ejecución</v>
          </cell>
          <cell r="D160" t="str">
            <v>UN</v>
          </cell>
          <cell r="E160">
            <v>1810693.5562519999</v>
          </cell>
        </row>
        <row r="161">
          <cell r="B161" t="str">
            <v>80507</v>
          </cell>
          <cell r="C161" t="str">
            <v>Suministro e instalación de mesón prefabricado en acero inoxidable 2.0 x 0.52 m incluye machón de 0,52x0,80 revocados y pintado, Pozuelo, cubierta en acero inox. Con cuatro quemadores a gas, encendido eléctrico, grifería y todos los materiales necesarios para su correcta ejecución</v>
          </cell>
          <cell r="D161" t="str">
            <v>UN</v>
          </cell>
          <cell r="E161">
            <v>1862698.8083100002</v>
          </cell>
        </row>
        <row r="162">
          <cell r="B162" t="str">
            <v>80508</v>
          </cell>
          <cell r="C162" t="str">
            <v>Suministro e instalación de mesón prefabricado en acero inoxidable 1.0 x 0.52 m liso.</v>
          </cell>
          <cell r="D162" t="str">
            <v>ML</v>
          </cell>
          <cell r="E162">
            <v>218384.01097600019</v>
          </cell>
        </row>
        <row r="163">
          <cell r="B163" t="str">
            <v>806</v>
          </cell>
          <cell r="C163" t="str">
            <v>LAVADEROS</v>
          </cell>
        </row>
        <row r="164">
          <cell r="B164" t="str">
            <v>80601</v>
          </cell>
          <cell r="C164" t="str">
            <v>Suministro e instalación de Lavadero en cerámica 1.0m, incluye machón de 0,6x0,80 grifería y todos los materiales necesarios para su correcta ejecución.</v>
          </cell>
          <cell r="D164" t="str">
            <v>UN</v>
          </cell>
          <cell r="E164">
            <v>505602.06979074149</v>
          </cell>
        </row>
        <row r="165">
          <cell r="B165" t="str">
            <v>80602</v>
          </cell>
          <cell r="C165" t="str">
            <v>Suministro e instalación de Lavadero en cerámica 0.9m, incluye machón de 0,6x0,80 grifería y todos los materiales necesarios para su correcta ejecución</v>
          </cell>
          <cell r="D165" t="str">
            <v>UN</v>
          </cell>
          <cell r="E165">
            <v>501383.69957094744</v>
          </cell>
        </row>
        <row r="166">
          <cell r="B166" t="str">
            <v>80603</v>
          </cell>
          <cell r="C166" t="str">
            <v>Suministro e instalación de Lavadero en cerámica 0.8m incluye machón de
0,6x0,80 grifería y todos los materiales necesarios para su correcta ejecución</v>
          </cell>
          <cell r="D166" t="str">
            <v>UN</v>
          </cell>
          <cell r="E166">
            <v>487052.33621838695</v>
          </cell>
        </row>
        <row r="167">
          <cell r="B167" t="str">
            <v>80604</v>
          </cell>
          <cell r="C167" t="str">
            <v>Suministro e instalación de Lavadero en cerámica 0.7m incluye machón de
0,6x0,80 grifería y todos los materiales necesarios para su correcta ejecución</v>
          </cell>
          <cell r="D167" t="str">
            <v>UN</v>
          </cell>
          <cell r="E167">
            <v>480315.09100109519</v>
          </cell>
        </row>
        <row r="168">
          <cell r="B168" t="str">
            <v>80605</v>
          </cell>
          <cell r="C168" t="str">
            <v>Suministro e instalación de Lavadero en cerámica 0.5m incluye machón de 0,6x0,80 grifería y todos los materiales necesarios para su correcta ejecución</v>
          </cell>
          <cell r="D168" t="str">
            <v>UN</v>
          </cell>
          <cell r="E168">
            <v>282021.85944194364</v>
          </cell>
        </row>
        <row r="169">
          <cell r="B169" t="str">
            <v>9</v>
          </cell>
          <cell r="C169" t="str">
            <v>CUBIERTA</v>
          </cell>
        </row>
        <row r="170">
          <cell r="B170" t="str">
            <v>90101</v>
          </cell>
          <cell r="C170" t="str">
            <v>Cubierta en Teja Traslucida con estructura en madera, incluye aplicación por aspersión de inmunizante tipo sika o similar y todos los materiales necesarios para su correcta ejecución.</v>
          </cell>
          <cell r="D170" t="str">
            <v>M2</v>
          </cell>
          <cell r="E170">
            <v>184587.39212854955</v>
          </cell>
        </row>
      </sheetData>
      <sheetData sheetId="5"/>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Hoja1"/>
      <sheetName val="ITEMS DEF"/>
      <sheetName val="1-Resumen Ejecutivo"/>
      <sheetName val="2.1-Presupuesto VNR"/>
      <sheetName val="2.2-Presupuesto VNU"/>
      <sheetName val="3.1-Cantidades VNU"/>
      <sheetName val="3.2-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Polizas"/>
      <sheetName val="Salarios"/>
      <sheetName val="10-Propuesta de Giro SGR"/>
      <sheetName val="12-Flujo de inversion"/>
      <sheetName val="9-Cadena de Valor "/>
      <sheetName val="9-Cadena de Valor VNU"/>
      <sheetName val="9-Cadena de Valor VN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MATRIZ GRAL"/>
      <sheetName val="PRESUPUESTO GRAL ACTIVIDADES"/>
      <sheetName val=" PPTO MPIO "/>
      <sheetName val="2. PPTO X BENEF"/>
      <sheetName val="3-CANTIDADES DE OBRA"/>
      <sheetName val="4-FORMATO A.P.U"/>
      <sheetName val="5-LISTADO INSUMOS"/>
      <sheetName val="6. MANO DE OBRA"/>
      <sheetName val="7. CALCULO AU "/>
      <sheetName val="LISTADO GENERAL"/>
    </sheetNames>
    <sheetDataSet>
      <sheetData sheetId="0">
        <row r="110">
          <cell r="J110">
            <v>0</v>
          </cell>
        </row>
      </sheetData>
      <sheetData sheetId="1"/>
      <sheetData sheetId="2"/>
      <sheetData sheetId="3"/>
      <sheetData sheetId="4"/>
      <sheetData sheetId="5"/>
      <sheetData sheetId="6"/>
      <sheetData sheetId="7"/>
      <sheetData sheetId="8"/>
      <sheetData sheetId="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1-Resumen Ejecutivo"/>
      <sheetName val="2.1-Ppto VNR"/>
      <sheetName val="2.2-Ppto VNRM"/>
      <sheetName val="2.3-Ppto VNR sin trat"/>
      <sheetName val="2.4-Ppto VNRM sin trat"/>
      <sheetName val="Polizas"/>
      <sheetName val="3.1-Cant VNR"/>
      <sheetName val="3.2-Cant VNRM"/>
      <sheetName val="3.3-Cant VNR SIN TRAT"/>
      <sheetName val="3.4-Cant VNRM sin trat"/>
      <sheetName val="4-1-APU"/>
      <sheetName val="4.2-APU Aux"/>
      <sheetName val="5-Insumos"/>
      <sheetName val="7-Factor Prest"/>
      <sheetName val="8-Costos Administracion"/>
      <sheetName val="9-Costos Ambientales"/>
      <sheetName val="10.1-Interventoria"/>
      <sheetName val="10.2-Base Calculo FM"/>
      <sheetName val="Salarios"/>
      <sheetName val="8-Costos Operacionales"/>
      <sheetName val="11-Cadena de Valor"/>
      <sheetName val="12-Flujo de inversion"/>
      <sheetName val="14-Propuesta de Giro SGR"/>
      <sheetName val="13-Propuesta de Giro de Recurso"/>
    </sheetNames>
    <sheetDataSet>
      <sheetData sheetId="0"/>
      <sheetData sheetId="1"/>
      <sheetData sheetId="2">
        <row r="6">
          <cell r="B6" t="str">
            <v>Ítem</v>
          </cell>
        </row>
      </sheetData>
      <sheetData sheetId="3">
        <row r="6">
          <cell r="B6" t="str">
            <v>Ítem</v>
          </cell>
        </row>
      </sheetData>
      <sheetData sheetId="4">
        <row r="6">
          <cell r="B6" t="str">
            <v>Ítem</v>
          </cell>
        </row>
      </sheetData>
      <sheetData sheetId="5">
        <row r="6">
          <cell r="B6" t="str">
            <v>Ítem</v>
          </cell>
          <cell r="C6" t="str">
            <v>Descripción</v>
          </cell>
          <cell r="D6" t="str">
            <v>Unidad</v>
          </cell>
          <cell r="E6" t="str">
            <v>Cantidad</v>
          </cell>
          <cell r="F6" t="str">
            <v>Vr Unitario</v>
          </cell>
          <cell r="G6" t="str">
            <v>Vr. Total/U.V</v>
          </cell>
          <cell r="H6" t="str">
            <v>Vr. Total</v>
          </cell>
          <cell r="I6" t="str">
            <v>Vr Aproximado al peso</v>
          </cell>
        </row>
        <row r="7">
          <cell r="B7" t="str">
            <v>1.</v>
          </cell>
          <cell r="C7" t="str">
            <v>PRELIMINARES</v>
          </cell>
          <cell r="G7" t="str">
            <v/>
          </cell>
          <cell r="I7">
            <v>1876554</v>
          </cell>
        </row>
        <row r="8">
          <cell r="B8" t="str">
            <v>1.1</v>
          </cell>
          <cell r="C8" t="str">
            <v>Localización. trazado y replanteo. Se utilizará personal experto con equipo de precisión. Se hará con la frecuencia que lo indique la interventoría. Incluye demarcación con pintura. línea de trazado. corte de piso. libretas y planos.</v>
          </cell>
          <cell r="D8" t="str">
            <v>m2</v>
          </cell>
          <cell r="E8">
            <v>58.9</v>
          </cell>
          <cell r="F8">
            <v>1980</v>
          </cell>
          <cell r="G8">
            <v>116622</v>
          </cell>
          <cell r="H8">
            <v>1049598</v>
          </cell>
        </row>
        <row r="9">
          <cell r="B9" t="str">
            <v>1.2</v>
          </cell>
          <cell r="C9" t="str">
            <v>Nivelación del terreno por método manual. Incluye herramienta para apisonado.</v>
          </cell>
          <cell r="D9" t="str">
            <v>m2</v>
          </cell>
          <cell r="E9">
            <v>58.9</v>
          </cell>
          <cell r="F9">
            <v>1560</v>
          </cell>
          <cell r="G9">
            <v>91884</v>
          </cell>
          <cell r="H9">
            <v>826956</v>
          </cell>
        </row>
        <row r="10">
          <cell r="B10" t="str">
            <v>2.</v>
          </cell>
          <cell r="C10" t="str">
            <v>EXCAVACIONES Y CIMENTACIONES</v>
          </cell>
          <cell r="G10" t="str">
            <v/>
          </cell>
          <cell r="I10">
            <v>33706539</v>
          </cell>
        </row>
        <row r="11">
          <cell r="B11" t="str">
            <v>2.1</v>
          </cell>
          <cell r="C11" t="str">
            <v>Descapote a mano. Incluye el desenraice si es necesario. cargue transporte y botada de material sobrante en botaderos oficiales. Medido en sitio.</v>
          </cell>
          <cell r="D11" t="str">
            <v>m3</v>
          </cell>
          <cell r="E11">
            <v>5.89</v>
          </cell>
          <cell r="F11">
            <v>10239</v>
          </cell>
          <cell r="G11">
            <v>60308</v>
          </cell>
          <cell r="H11">
            <v>542772</v>
          </cell>
        </row>
        <row r="12">
          <cell r="B12" t="str">
            <v>2.2</v>
          </cell>
          <cell r="C12"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12" t="str">
            <v>m3</v>
          </cell>
          <cell r="E12">
            <v>17.600000000000001</v>
          </cell>
          <cell r="F12">
            <v>15978</v>
          </cell>
          <cell r="G12">
            <v>281213</v>
          </cell>
          <cell r="H12">
            <v>2530917</v>
          </cell>
        </row>
        <row r="13">
          <cell r="B13" t="str">
            <v>2.3</v>
          </cell>
          <cell r="C13" t="str">
            <v>Vaciado de viga de fundación en concreto de 21MPa a nivel de cimentación. de sección 0.25x0.20m. Incluye formaleta. equipo y todo lo necesario para su correcta colocación y funcionamiento.</v>
          </cell>
          <cell r="D13" t="str">
            <v>m</v>
          </cell>
          <cell r="E13">
            <v>52.57</v>
          </cell>
          <cell r="F13">
            <v>33310</v>
          </cell>
          <cell r="G13">
            <v>1751107</v>
          </cell>
          <cell r="H13">
            <v>15759963</v>
          </cell>
        </row>
        <row r="14">
          <cell r="B14" t="str">
            <v>2.4</v>
          </cell>
          <cell r="C14" t="str">
            <v>Vaciado de sobrecimiento en concreto de 21MPa 0.12x0.30m. Incluye formaleta. equipo. impermeabilización y todo lo necesario para su correcta instalación y funcionamiento. El acero de refuerzo se pagará por el respectivo ítem.</v>
          </cell>
          <cell r="D14" t="str">
            <v>m</v>
          </cell>
          <cell r="E14">
            <v>52.48</v>
          </cell>
          <cell r="F14">
            <v>31489</v>
          </cell>
          <cell r="G14">
            <v>1652543</v>
          </cell>
          <cell r="H14">
            <v>14872887</v>
          </cell>
        </row>
        <row r="15">
          <cell r="B15" t="str">
            <v>3.</v>
          </cell>
          <cell r="C15" t="str">
            <v>ELEMENTOS ESTRUCTURALES</v>
          </cell>
          <cell r="I15">
            <v>89488620</v>
          </cell>
        </row>
        <row r="16">
          <cell r="B16" t="str">
            <v>3.1</v>
          </cell>
          <cell r="C16" t="str">
            <v>Vaciado de viga de amarre superior en concreto a la vista de 21MPa sobre mampostería de sección 0.12x0.20m. Incluye formaleta. equipo y todo lo necesario para su correcta colocación y funcionamiento.</v>
          </cell>
          <cell r="D16" t="str">
            <v>m</v>
          </cell>
          <cell r="E16">
            <v>55.54</v>
          </cell>
          <cell r="F16">
            <v>30316</v>
          </cell>
          <cell r="G16">
            <v>1683751</v>
          </cell>
          <cell r="H16">
            <v>15153759</v>
          </cell>
        </row>
        <row r="17">
          <cell r="B17" t="str">
            <v>3.2</v>
          </cell>
          <cell r="C17" t="str">
            <v>Vaciado de viga cinta en concreto a la vista de 21MPa sobre mampostería de sección 0.12x0.10m. Incluye formaleta. equipo y todo lo necesario para su correcta colocación y funcionamiento.</v>
          </cell>
          <cell r="D17" t="str">
            <v>m</v>
          </cell>
          <cell r="E17">
            <v>54.29</v>
          </cell>
          <cell r="F17">
            <v>22582</v>
          </cell>
          <cell r="G17">
            <v>1225977</v>
          </cell>
          <cell r="H17">
            <v>11033793</v>
          </cell>
        </row>
        <row r="18">
          <cell r="B18" t="str">
            <v>3.3</v>
          </cell>
          <cell r="C18" t="str">
            <v>Vaciado de columna de confinamiento en concreto a la vista de 21MPa de sección 0.12x0.20m. Deberá ser vaciada una vez los muros estén construidos. Incluye formaleta. equipo y todo lo necesario para su correcta colocación y funcionamiento.</v>
          </cell>
          <cell r="D18" t="str">
            <v>m</v>
          </cell>
          <cell r="E18">
            <v>79.05</v>
          </cell>
          <cell r="F18">
            <v>30316</v>
          </cell>
          <cell r="G18">
            <v>2396480</v>
          </cell>
          <cell r="H18">
            <v>21568320</v>
          </cell>
        </row>
        <row r="19">
          <cell r="B19" t="str">
            <v>3.4</v>
          </cell>
          <cell r="C19"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19" t="str">
            <v>m2</v>
          </cell>
          <cell r="E19">
            <v>47.07</v>
          </cell>
          <cell r="F19">
            <v>78147</v>
          </cell>
          <cell r="G19">
            <v>3678379</v>
          </cell>
          <cell r="H19">
            <v>33105411</v>
          </cell>
        </row>
        <row r="20">
          <cell r="B20" t="str">
            <v>3.5</v>
          </cell>
          <cell r="C20"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20" t="str">
            <v>m2</v>
          </cell>
          <cell r="E20">
            <v>1.23</v>
          </cell>
          <cell r="F20">
            <v>78147</v>
          </cell>
          <cell r="G20">
            <v>96121</v>
          </cell>
          <cell r="H20">
            <v>865089</v>
          </cell>
        </row>
        <row r="21">
          <cell r="B21" t="str">
            <v>3.6</v>
          </cell>
          <cell r="C21" t="str">
            <v>Construcción de mesón en concreto de 21MPa de ancho 0.55m.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21" t="str">
            <v>m</v>
          </cell>
          <cell r="E21">
            <v>3.83</v>
          </cell>
          <cell r="F21">
            <v>161195</v>
          </cell>
          <cell r="G21">
            <v>617377</v>
          </cell>
          <cell r="H21">
            <v>5556393</v>
          </cell>
        </row>
        <row r="22">
          <cell r="B22" t="str">
            <v>3.7</v>
          </cell>
          <cell r="C22" t="str">
            <v>Vaciado de viga sillar en concreto de 21MPa vaciada al interior de unidad de mampostería en U. Incluye todo lo necesario para su correcta instalación. El acero se paga en el ítem respectivo.</v>
          </cell>
          <cell r="D22" t="str">
            <v>m</v>
          </cell>
          <cell r="E22">
            <v>8.4</v>
          </cell>
          <cell r="F22">
            <v>29178</v>
          </cell>
          <cell r="G22">
            <v>245095</v>
          </cell>
          <cell r="H22">
            <v>2205855</v>
          </cell>
        </row>
        <row r="23">
          <cell r="B23" t="str">
            <v>4.</v>
          </cell>
          <cell r="C23" t="str">
            <v>ACERO DE REFUERZO</v>
          </cell>
          <cell r="I23">
            <v>62215209</v>
          </cell>
        </row>
        <row r="24">
          <cell r="B24" t="str">
            <v>4.1</v>
          </cell>
          <cell r="C24"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4" t="str">
            <v>kg</v>
          </cell>
          <cell r="E24">
            <v>1031.69</v>
          </cell>
          <cell r="F24">
            <v>6172</v>
          </cell>
          <cell r="G24">
            <v>6367591</v>
          </cell>
          <cell r="H24">
            <v>57308319</v>
          </cell>
        </row>
        <row r="25">
          <cell r="B25" t="str">
            <v>4.2</v>
          </cell>
          <cell r="C25" t="str">
            <v>Colocación de malla electrosoldada D106 o equivalente. Incluye el suministro y el transporte del material y todos los elementos necesarios para su correcta colocación.</v>
          </cell>
          <cell r="D25" t="str">
            <v>m2</v>
          </cell>
          <cell r="E25">
            <v>48.3</v>
          </cell>
          <cell r="F25">
            <v>11288</v>
          </cell>
          <cell r="G25">
            <v>545210</v>
          </cell>
          <cell r="H25">
            <v>4906890</v>
          </cell>
        </row>
        <row r="26">
          <cell r="B26" t="str">
            <v>5.</v>
          </cell>
          <cell r="C26" t="str">
            <v>MAMPOSTERIA Y ELEMENTOS NO ESTRUCTURALES</v>
          </cell>
          <cell r="G26" t="str">
            <v/>
          </cell>
          <cell r="I26">
            <v>41918139</v>
          </cell>
        </row>
        <row r="27">
          <cell r="B27" t="str">
            <v>5.1</v>
          </cell>
          <cell r="C27"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7" t="str">
            <v>m2</v>
          </cell>
          <cell r="E27">
            <v>87.3</v>
          </cell>
          <cell r="F27">
            <v>51151</v>
          </cell>
          <cell r="G27">
            <v>4465482</v>
          </cell>
          <cell r="H27">
            <v>40189338</v>
          </cell>
        </row>
        <row r="28">
          <cell r="B28" t="str">
            <v>5.2</v>
          </cell>
          <cell r="C28"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28" t="str">
            <v>m2</v>
          </cell>
          <cell r="E28">
            <v>1.32</v>
          </cell>
          <cell r="F28">
            <v>73843</v>
          </cell>
          <cell r="G28">
            <v>97473</v>
          </cell>
          <cell r="H28">
            <v>877257</v>
          </cell>
        </row>
        <row r="29">
          <cell r="B29" t="str">
            <v>5.3</v>
          </cell>
          <cell r="C29" t="str">
            <v>Revoque para adecuación de superficie para instalación de enchape en zona de baño y lavadero.</v>
          </cell>
          <cell r="D29" t="str">
            <v>m2</v>
          </cell>
          <cell r="E29">
            <v>6.65</v>
          </cell>
          <cell r="F29">
            <v>14228</v>
          </cell>
          <cell r="G29">
            <v>94616</v>
          </cell>
          <cell r="H29">
            <v>851544</v>
          </cell>
        </row>
        <row r="30">
          <cell r="B30" t="str">
            <v>6.</v>
          </cell>
          <cell r="C30" t="str">
            <v>INSTALACIONES HIDRÁULICAS E HIDROSANITARIAS</v>
          </cell>
          <cell r="I30">
            <v>21752217</v>
          </cell>
        </row>
        <row r="31">
          <cell r="B31" t="str">
            <v>6.1</v>
          </cell>
          <cell r="C31" t="str">
            <v>Suministro. transporte e instalación de punto hidráulico en PVC-P 1/2" RDE-13.5. incluye tubería presión. accesorios. limpiador. soldadura y todos los elementos necesarios para su correcta instalación.</v>
          </cell>
          <cell r="D31" t="str">
            <v>Un</v>
          </cell>
          <cell r="E31">
            <v>6</v>
          </cell>
          <cell r="F31">
            <v>15756</v>
          </cell>
          <cell r="G31">
            <v>94536</v>
          </cell>
          <cell r="H31">
            <v>850824</v>
          </cell>
        </row>
        <row r="32">
          <cell r="B32" t="str">
            <v>6.2</v>
          </cell>
          <cell r="C32" t="str">
            <v>Suministro. transporte e instalación de tubería PVC-P x 1/2" RDE-13.5. incluye tubería presión. accesorios . limpiador. soldadura y todos los elementos necesarios para su correcta instalación.</v>
          </cell>
          <cell r="D32" t="str">
            <v>m</v>
          </cell>
          <cell r="E32">
            <v>12.3</v>
          </cell>
          <cell r="F32">
            <v>8460</v>
          </cell>
          <cell r="G32">
            <v>104058</v>
          </cell>
          <cell r="H32">
            <v>936522</v>
          </cell>
        </row>
        <row r="33">
          <cell r="B33" t="str">
            <v>6.3</v>
          </cell>
          <cell r="C33" t="str">
            <v>Suministro e instalación válvula de bola en PVC 1/2" extremo soldado. Se entregará debidamente instalada sin presencia de fugas ni fisuras.</v>
          </cell>
          <cell r="D33" t="str">
            <v>Un</v>
          </cell>
          <cell r="E33">
            <v>1</v>
          </cell>
          <cell r="F33">
            <v>11569</v>
          </cell>
          <cell r="G33">
            <v>11569</v>
          </cell>
          <cell r="H33">
            <v>104121</v>
          </cell>
        </row>
        <row r="34">
          <cell r="B34" t="str">
            <v>6.4</v>
          </cell>
          <cell r="C34" t="str">
            <v>Salidas sanitarias de 2" incluye materiales. accesorios y todos los elementos necesarios para su correcta instalación y funcionamiento</v>
          </cell>
          <cell r="D34" t="str">
            <v>Un</v>
          </cell>
          <cell r="E34">
            <v>6</v>
          </cell>
          <cell r="F34">
            <v>24895</v>
          </cell>
          <cell r="G34">
            <v>149370</v>
          </cell>
          <cell r="H34">
            <v>1344330</v>
          </cell>
        </row>
        <row r="35">
          <cell r="B35" t="str">
            <v>6.5</v>
          </cell>
          <cell r="C35" t="str">
            <v>Salida sanitaria de 4" incluye materiales. accesorios y todos los elementos necesarios para su correcta instalación y funcionamiento</v>
          </cell>
          <cell r="D35" t="str">
            <v>Un</v>
          </cell>
          <cell r="E35">
            <v>1</v>
          </cell>
          <cell r="F35">
            <v>39727</v>
          </cell>
          <cell r="G35">
            <v>39727</v>
          </cell>
          <cell r="H35">
            <v>357543</v>
          </cell>
        </row>
        <row r="36">
          <cell r="B36" t="str">
            <v>6.6</v>
          </cell>
          <cell r="C36" t="str">
            <v>Red sanitaria de piso para en tubería PVC-S 2". incluye accesorios  y todo lo necesario para su correcta instalación.</v>
          </cell>
          <cell r="D36" t="str">
            <v>m</v>
          </cell>
          <cell r="E36">
            <v>9</v>
          </cell>
          <cell r="F36">
            <v>22398</v>
          </cell>
          <cell r="G36">
            <v>201582</v>
          </cell>
          <cell r="H36">
            <v>1814238</v>
          </cell>
        </row>
        <row r="37">
          <cell r="B37" t="str">
            <v>6.7</v>
          </cell>
          <cell r="C37" t="str">
            <v xml:space="preserve">Red sanitaria de piso en tubería PVC-S 4". incluye accesorios y todo lo necesario para su correcta instalación. </v>
          </cell>
          <cell r="D37" t="str">
            <v>m</v>
          </cell>
          <cell r="E37">
            <v>16.7</v>
          </cell>
          <cell r="F37">
            <v>36685</v>
          </cell>
          <cell r="G37">
            <v>612640</v>
          </cell>
          <cell r="H37">
            <v>5513760</v>
          </cell>
        </row>
        <row r="38">
          <cell r="B38" t="str">
            <v>6.8</v>
          </cell>
          <cell r="C38" t="str">
            <v xml:space="preserve">Red sanitaria de piso en tubería PVC-S 3". incluye accesorios y todo lo necesario para su correcta instalación. </v>
          </cell>
          <cell r="D38" t="str">
            <v>m</v>
          </cell>
          <cell r="E38">
            <v>6.8</v>
          </cell>
          <cell r="F38">
            <v>31754</v>
          </cell>
          <cell r="G38">
            <v>215927</v>
          </cell>
          <cell r="H38">
            <v>1943343</v>
          </cell>
        </row>
        <row r="39">
          <cell r="B39" t="str">
            <v>6.9</v>
          </cell>
          <cell r="C39" t="str">
            <v>Suministro. transporte e instalación de tubería PVC-P x 3/4" RDE-11. incluye tubería presión. accesorios. limpiador. soldadura y todos los elementos necesarios para su correcta instalación.</v>
          </cell>
          <cell r="D39" t="str">
            <v>m</v>
          </cell>
          <cell r="E39">
            <v>7.3</v>
          </cell>
          <cell r="F39">
            <v>8874</v>
          </cell>
          <cell r="G39">
            <v>64780</v>
          </cell>
          <cell r="H39">
            <v>583020</v>
          </cell>
        </row>
        <row r="40">
          <cell r="B40" t="str">
            <v>6.10</v>
          </cell>
          <cell r="C40" t="str">
            <v>Construcción de caja de inspección. dimensiones de 0.5m x 0.5m. con altura de 0.7m. espesor de paredes 0.1m.  Incluye: excavación. herraje para tapa. cañuela y todos los materiales indicados en el plano. mano de obra. herramientas. formaleta. equipo. concreto de 21MPa. y demás elementos necesarios para el normal desarrollo de la actividad.</v>
          </cell>
          <cell r="D40" t="str">
            <v>Un</v>
          </cell>
          <cell r="E40">
            <v>1</v>
          </cell>
          <cell r="F40">
            <v>350323</v>
          </cell>
          <cell r="G40">
            <v>350323</v>
          </cell>
          <cell r="H40">
            <v>3152907</v>
          </cell>
        </row>
        <row r="41">
          <cell r="B41" t="str">
            <v>6.11</v>
          </cell>
          <cell r="C41" t="str">
            <v xml:space="preserve">Suministro e instalación de acometida domiciliaria. Incluye kit silla yee para conexiones domiciliarias ø 6" x 8". accesorios. hidrosellos. abrazaderas. lubricante. tubería novafort ø 6”. excavasión. lleno y demás elementos necesarios para el normal desarrollo de la actividad. </v>
          </cell>
          <cell r="D41" t="str">
            <v>Un</v>
          </cell>
          <cell r="E41">
            <v>1</v>
          </cell>
          <cell r="F41">
            <v>572401</v>
          </cell>
          <cell r="G41">
            <v>572401</v>
          </cell>
          <cell r="H41">
            <v>5151609</v>
          </cell>
        </row>
        <row r="42">
          <cell r="B42" t="str">
            <v>7.</v>
          </cell>
          <cell r="C42" t="str">
            <v>INSTALACIONES ELECTRICAS</v>
          </cell>
          <cell r="I42">
            <v>14183577</v>
          </cell>
        </row>
        <row r="43">
          <cell r="B43" t="str">
            <v>7.1</v>
          </cell>
          <cell r="C43" t="str">
            <v>Suministro e instalación de toma corriente 125V doble con polo a tierra. 15A. de empotrar. Incluye caja. accesorios. fijaciones y todos los elementos para su correcta instalación. Los materiales deben cumplir con certificación RETIE.</v>
          </cell>
          <cell r="D43" t="str">
            <v>Un</v>
          </cell>
          <cell r="E43">
            <v>11</v>
          </cell>
          <cell r="F43">
            <v>8637</v>
          </cell>
          <cell r="G43">
            <v>95007</v>
          </cell>
          <cell r="H43">
            <v>855063</v>
          </cell>
        </row>
        <row r="44">
          <cell r="B44" t="str">
            <v>7.2</v>
          </cell>
          <cell r="C44" t="str">
            <v>Suministro e instalación de tomas GFCI. blanca. de empotrar. Incluye caja. accesorios. fijaciones y todos los elementos para su correcta instalación. Los materiales deben cumplir con certificación RETIE.</v>
          </cell>
          <cell r="D44" t="str">
            <v>Un</v>
          </cell>
          <cell r="E44">
            <v>3</v>
          </cell>
          <cell r="F44">
            <v>37928</v>
          </cell>
          <cell r="G44">
            <v>113784</v>
          </cell>
          <cell r="H44">
            <v>1024056</v>
          </cell>
        </row>
        <row r="45">
          <cell r="B45" t="str">
            <v>7.3</v>
          </cell>
          <cell r="C45" t="str">
            <v xml:space="preserve">Suministro e instalación de interruptor sencillo blanco. de empotrar. Incluye caja. accesorios. fijaciones y todos los elementos para su correcta instalación. Los materiales deben cumplir con certificación RETIE. </v>
          </cell>
          <cell r="D45" t="str">
            <v>Un</v>
          </cell>
          <cell r="E45">
            <v>6</v>
          </cell>
          <cell r="F45">
            <v>8237</v>
          </cell>
          <cell r="G45">
            <v>49422</v>
          </cell>
          <cell r="H45">
            <v>444798</v>
          </cell>
        </row>
        <row r="46">
          <cell r="B46" t="str">
            <v>7.4</v>
          </cell>
          <cell r="C46" t="str">
            <v xml:space="preserve">Suministro e instalación de interruptor doble. blanco. de empotrar. Incluye caja. accesorios. fijaciones y todos los elementos para su correcta instalación. Los materiales deben cumplir con certificación RETIE. </v>
          </cell>
          <cell r="D46" t="str">
            <v>Un</v>
          </cell>
          <cell r="E46">
            <v>2</v>
          </cell>
          <cell r="F46">
            <v>10037</v>
          </cell>
          <cell r="G46">
            <v>20074</v>
          </cell>
          <cell r="H46">
            <v>180666</v>
          </cell>
        </row>
        <row r="47">
          <cell r="B47" t="str">
            <v>7.5</v>
          </cell>
          <cell r="C47" t="str">
            <v xml:space="preserve">Suministro e instalación de plafones. salidas para iluminación. En baquelita. blanco. de sobreponer. Incluye caja. accesorios. fijaciones y todos los elementos para su correcta instalación. Los materiales deben cumplir con certificación RETIE. </v>
          </cell>
          <cell r="D47" t="str">
            <v>Un</v>
          </cell>
          <cell r="E47">
            <v>10</v>
          </cell>
          <cell r="F47">
            <v>5736</v>
          </cell>
          <cell r="G47">
            <v>57360</v>
          </cell>
          <cell r="H47">
            <v>516240</v>
          </cell>
        </row>
        <row r="48">
          <cell r="B48" t="str">
            <v>7.6</v>
          </cell>
          <cell r="C48" t="str">
            <v xml:space="preserve">Suministro e instalación de protección del circuito de 1x20A.  Los materiales deben cumplir con certificación RETIE. </v>
          </cell>
          <cell r="D48" t="str">
            <v>Un</v>
          </cell>
          <cell r="E48">
            <v>5</v>
          </cell>
          <cell r="F48">
            <v>7751</v>
          </cell>
          <cell r="G48">
            <v>38755</v>
          </cell>
          <cell r="H48">
            <v>348795</v>
          </cell>
        </row>
        <row r="49">
          <cell r="B49" t="str">
            <v>7.7</v>
          </cell>
          <cell r="C49" t="str">
            <v xml:space="preserve">Suministro e instalación de protección del circuito de 1x30A.  Los materiales deben cumplir con certificación RETIE. </v>
          </cell>
          <cell r="D49" t="str">
            <v>Un</v>
          </cell>
          <cell r="E49">
            <v>1</v>
          </cell>
          <cell r="F49">
            <v>7751</v>
          </cell>
          <cell r="G49">
            <v>7751</v>
          </cell>
          <cell r="H49">
            <v>69759</v>
          </cell>
        </row>
        <row r="50">
          <cell r="B50" t="str">
            <v>7.8</v>
          </cell>
          <cell r="C50" t="str">
            <v>Suministro e instalación de cable antifraude 2 N° 8 Cu THWN + 1 N° 8 Cu THWN. Los materiales deben cumplir con Certificación RETIE.</v>
          </cell>
          <cell r="D50" t="str">
            <v>m</v>
          </cell>
          <cell r="E50">
            <v>8</v>
          </cell>
          <cell r="F50">
            <v>22854</v>
          </cell>
          <cell r="G50">
            <v>182832</v>
          </cell>
          <cell r="H50">
            <v>1645488</v>
          </cell>
        </row>
        <row r="51">
          <cell r="B51" t="str">
            <v>7.9</v>
          </cell>
          <cell r="C51" t="str">
            <v xml:space="preserve">Suministro e instalación de tubería PVC 1/2" tipo Conduit o similar. Incluye accesorios y todos los elementos para su correcta instalación. Los materiales deben cumplir con certificación RETIE. </v>
          </cell>
          <cell r="D51" t="str">
            <v>m</v>
          </cell>
          <cell r="E51">
            <v>47</v>
          </cell>
          <cell r="F51">
            <v>3888</v>
          </cell>
          <cell r="G51">
            <v>182736</v>
          </cell>
          <cell r="H51">
            <v>1644624</v>
          </cell>
        </row>
        <row r="52">
          <cell r="B52" t="str">
            <v>7.10</v>
          </cell>
          <cell r="C52" t="str">
            <v xml:space="preserve">Suministro e instalación de tubería PVC 3/4" tipo Conduit o similar. Incluye accesorios y todos los elementos para su correcta instalación. Los materiales deben cumplir con certificación RETIE. </v>
          </cell>
          <cell r="D52" t="str">
            <v>m</v>
          </cell>
          <cell r="E52">
            <v>4</v>
          </cell>
          <cell r="F52">
            <v>4396</v>
          </cell>
          <cell r="G52">
            <v>17584</v>
          </cell>
          <cell r="H52">
            <v>158256</v>
          </cell>
        </row>
        <row r="53">
          <cell r="B53" t="str">
            <v>7.11</v>
          </cell>
          <cell r="C53" t="str">
            <v>Suministro e instalación de cable de cobre 12AWU-Cu-THHN-THWN 90°C. Los materiales deben cumplir con Certificación RETIE.</v>
          </cell>
          <cell r="D53" t="str">
            <v>m</v>
          </cell>
          <cell r="E53">
            <v>153</v>
          </cell>
          <cell r="F53">
            <v>3530</v>
          </cell>
          <cell r="G53">
            <v>540090</v>
          </cell>
          <cell r="H53">
            <v>4860810</v>
          </cell>
        </row>
        <row r="54">
          <cell r="B54" t="str">
            <v>7.12</v>
          </cell>
          <cell r="C54" t="str">
            <v>Suministro e instalación de contador bifásico con todos los elementos para su correcta instalación. Los materiales deben cumplir con Certificación RETIE.</v>
          </cell>
          <cell r="D54" t="str">
            <v>Un</v>
          </cell>
          <cell r="E54">
            <v>1</v>
          </cell>
          <cell r="F54">
            <v>119149</v>
          </cell>
          <cell r="G54">
            <v>119149</v>
          </cell>
          <cell r="H54">
            <v>1072341</v>
          </cell>
        </row>
        <row r="55">
          <cell r="B55" t="str">
            <v>7.13</v>
          </cell>
          <cell r="C55" t="str">
            <v>Suministro e instalación de varilla de puesta a tierra. con conector y cable. Debe cumplir con certificación RETIE.</v>
          </cell>
          <cell r="D55" t="str">
            <v>Un</v>
          </cell>
          <cell r="E55">
            <v>1</v>
          </cell>
          <cell r="F55">
            <v>76146</v>
          </cell>
          <cell r="G55">
            <v>76146</v>
          </cell>
          <cell r="H55">
            <v>685314</v>
          </cell>
        </row>
        <row r="56">
          <cell r="B56" t="str">
            <v>7.14</v>
          </cell>
          <cell r="C56" t="str">
            <v>Suministro e instalación de tablero de distribución de 8 circuitos con todos los elementos para su correcta instalación. Los materiales deben cumplir con certificación RETIE.</v>
          </cell>
          <cell r="D56" t="str">
            <v>Un</v>
          </cell>
          <cell r="E56">
            <v>1</v>
          </cell>
          <cell r="F56">
            <v>58529</v>
          </cell>
          <cell r="G56">
            <v>58529</v>
          </cell>
          <cell r="H56">
            <v>526761</v>
          </cell>
        </row>
        <row r="57">
          <cell r="B57" t="str">
            <v>7.15</v>
          </cell>
          <cell r="C57" t="str">
            <v xml:space="preserve">Suministro e instalación de toma corriente 220V doble pata trabada con polo a tierra. 30A.  Incluye accesorios y todos los elementos para su correcta instalación. Los materiales deben cumplir con Certificación RETIE. </v>
          </cell>
          <cell r="D57" t="str">
            <v>Un</v>
          </cell>
          <cell r="E57">
            <v>1</v>
          </cell>
          <cell r="F57">
            <v>16734</v>
          </cell>
          <cell r="G57">
            <v>16734</v>
          </cell>
          <cell r="H57">
            <v>150606</v>
          </cell>
        </row>
        <row r="58">
          <cell r="B58" t="str">
            <v>8.</v>
          </cell>
          <cell r="C58" t="str">
            <v>CARPINTERIA EN MADERA</v>
          </cell>
          <cell r="I58">
            <v>20552895</v>
          </cell>
        </row>
        <row r="59">
          <cell r="B59" t="str">
            <v>8.1</v>
          </cell>
          <cell r="C59" t="str">
            <v>Suministro de puerta en madera entamborada con refuerzo interno de 1.00x2.10m. Incluye marco. chapa económica. bisagras. pintura inmunizante y demás elementos para su correcto funcionamiento.</v>
          </cell>
          <cell r="D59" t="str">
            <v>Un</v>
          </cell>
          <cell r="E59">
            <v>1</v>
          </cell>
          <cell r="F59">
            <v>289539</v>
          </cell>
          <cell r="G59">
            <v>289539</v>
          </cell>
          <cell r="H59">
            <v>2605851</v>
          </cell>
        </row>
        <row r="60">
          <cell r="B60" t="str">
            <v>8.2</v>
          </cell>
          <cell r="C60" t="str">
            <v>Suministro de puerta en madera entamborada de 0.80x2.10m. Incluye marco. chapa económica. bisagras. pintura inmunizante y demás elementos para su correcto funcionamiento.</v>
          </cell>
          <cell r="D60" t="str">
            <v>Un</v>
          </cell>
          <cell r="E60">
            <v>5</v>
          </cell>
          <cell r="F60">
            <v>269488</v>
          </cell>
          <cell r="G60">
            <v>1347440</v>
          </cell>
          <cell r="H60">
            <v>12126960</v>
          </cell>
        </row>
        <row r="61">
          <cell r="B61" t="str">
            <v>8.4</v>
          </cell>
          <cell r="C61" t="str">
            <v>Suministro de ventana en madera tipo económica de 1.20x1.20m. Incluye marco. vidrio. bisagras. pintura inmunizante y demás elementos para su correcto funcionamiento.</v>
          </cell>
          <cell r="D61" t="str">
            <v>Un</v>
          </cell>
          <cell r="E61">
            <v>4</v>
          </cell>
          <cell r="F61">
            <v>161669</v>
          </cell>
          <cell r="G61">
            <v>646676</v>
          </cell>
          <cell r="H61">
            <v>5820084</v>
          </cell>
        </row>
        <row r="62">
          <cell r="B62" t="str">
            <v>9.</v>
          </cell>
          <cell r="C62" t="str">
            <v>ENCHAPES Y ACABADOS</v>
          </cell>
          <cell r="I62">
            <v>8592840</v>
          </cell>
        </row>
        <row r="63">
          <cell r="B63" t="str">
            <v>9.1</v>
          </cell>
          <cell r="C63" t="str">
            <v>Enchape en cerámica antideslizante para piso en baño. color blanco. Formato a definir con la Interventoría. Incluye mortero de e=0.02m. relación 1:4 más imperbealizante integral. lechada. pega y todo lo necesario para su correcta instalación.</v>
          </cell>
          <cell r="D63" t="str">
            <v>m2</v>
          </cell>
          <cell r="E63">
            <v>4.7</v>
          </cell>
          <cell r="F63">
            <v>36811</v>
          </cell>
          <cell r="G63">
            <v>173012</v>
          </cell>
          <cell r="H63">
            <v>1557108</v>
          </cell>
        </row>
        <row r="64">
          <cell r="B64" t="str">
            <v>9.2</v>
          </cell>
          <cell r="C64" t="str">
            <v>Enchape cerámico para pared en el área de zona de ropas y baño según planos arquitectónicos. color blanco. Formato a definir con la Interventoría Incluye material de pega. lechada. limpieza y todo lo necesario para su correcta instalación.</v>
          </cell>
          <cell r="D64" t="str">
            <v>m2</v>
          </cell>
          <cell r="E64">
            <v>6.65</v>
          </cell>
          <cell r="F64">
            <v>36309</v>
          </cell>
          <cell r="G64">
            <v>241455</v>
          </cell>
          <cell r="H64">
            <v>2173095</v>
          </cell>
        </row>
        <row r="65">
          <cell r="B65" t="str">
            <v>9.3</v>
          </cell>
          <cell r="C65"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65" t="str">
            <v>m2</v>
          </cell>
          <cell r="E65">
            <v>20.851025500000002</v>
          </cell>
          <cell r="F65">
            <v>13744</v>
          </cell>
          <cell r="G65">
            <v>286576</v>
          </cell>
          <cell r="H65">
            <v>2579184</v>
          </cell>
        </row>
        <row r="66">
          <cell r="B66" t="str">
            <v>9.4</v>
          </cell>
          <cell r="C66" t="str">
            <v xml:space="preserve">Suministro e instalación de enchape cerámico antideslizante color beige para piso en cocina . Formato a definir con la Interventoría. Incluye lechada. pega y todo lo necesario para su correcta instalación. </v>
          </cell>
          <cell r="D66" t="str">
            <v>m2</v>
          </cell>
          <cell r="E66">
            <v>3.08</v>
          </cell>
          <cell r="F66">
            <v>40311</v>
          </cell>
          <cell r="G66">
            <v>124158</v>
          </cell>
          <cell r="H66">
            <v>1117422</v>
          </cell>
        </row>
        <row r="67">
          <cell r="B67" t="str">
            <v>9.5</v>
          </cell>
          <cell r="C67" t="str">
            <v>Aplicación de pintura vinílica para zonas húmedas. dos manos. Incluye suministro y transporte de los materiales. resanes. adecuación de la superficie y todo lo necesario para su correcta aplicación. en baños color blanco y en cocina color gris basalto.</v>
          </cell>
          <cell r="D67" t="str">
            <v>m2</v>
          </cell>
          <cell r="E67">
            <v>9.57</v>
          </cell>
          <cell r="F67">
            <v>13538</v>
          </cell>
          <cell r="G67">
            <v>129559</v>
          </cell>
          <cell r="H67">
            <v>1166031</v>
          </cell>
        </row>
        <row r="68">
          <cell r="B68" t="str">
            <v>10.</v>
          </cell>
          <cell r="C68" t="str">
            <v>APARATOS. ACCESORIOS Y MUEBLES ESPECIALES</v>
          </cell>
          <cell r="I68">
            <v>5526927</v>
          </cell>
        </row>
        <row r="69">
          <cell r="B69" t="str">
            <v>10.1</v>
          </cell>
          <cell r="C69" t="str">
            <v>Suministro. transporte y colocación de combo sanitario económico. color blanco. Incluye: Sanitario de 4.8lph - 1.28 gpf. alta eficiencia de agua. lavamanos de colgar. grifería y tres accesorios de incrustación a pared (portapel. jabonera y toallero).</v>
          </cell>
          <cell r="D69" t="str">
            <v>un</v>
          </cell>
          <cell r="E69">
            <v>1</v>
          </cell>
          <cell r="F69">
            <v>325190</v>
          </cell>
          <cell r="G69">
            <v>325190</v>
          </cell>
          <cell r="H69">
            <v>2926710</v>
          </cell>
        </row>
        <row r="70">
          <cell r="B70" t="str">
            <v>10.2</v>
          </cell>
          <cell r="C70" t="str">
            <v>Suministro. transporte e instalación de rejilla de piso cuadrada de 2" en PVC. para desagüe de ducha. Incluye los materiales y todos los elementos necesarios para su correcta instalación.</v>
          </cell>
          <cell r="D70" t="str">
            <v>Un</v>
          </cell>
          <cell r="E70">
            <v>1</v>
          </cell>
          <cell r="F70">
            <v>7072</v>
          </cell>
          <cell r="G70">
            <v>7072</v>
          </cell>
          <cell r="H70">
            <v>63648</v>
          </cell>
        </row>
        <row r="71">
          <cell r="B71" t="str">
            <v>10.3</v>
          </cell>
          <cell r="C71" t="str">
            <v>Suministro. transporte y colocación de ducha sencilla resistente a la corrosión. con tecnología de ahorro de agua. chorro tipo lluvia. direccionable.  Incluye todos los elementos necesarios para el buen funcionamiento.</v>
          </cell>
          <cell r="D71" t="str">
            <v>Un</v>
          </cell>
          <cell r="E71">
            <v>1</v>
          </cell>
          <cell r="F71">
            <v>44328</v>
          </cell>
          <cell r="G71">
            <v>44328</v>
          </cell>
          <cell r="H71">
            <v>398952</v>
          </cell>
        </row>
        <row r="72">
          <cell r="B72" t="str">
            <v>10.4</v>
          </cell>
          <cell r="C72" t="str">
            <v xml:space="preserve">Suministro. transporte y colocación de lavadero en granito de 0.55x0.80m sobre muretes de apoyo en bloque de concreto de 0.12x0.20x0.40m. Incluye grifería económica y todo lo necesario para su correcta instalación. </v>
          </cell>
          <cell r="D72" t="str">
            <v>Un</v>
          </cell>
          <cell r="E72">
            <v>1</v>
          </cell>
          <cell r="F72">
            <v>237513</v>
          </cell>
          <cell r="G72">
            <v>237513</v>
          </cell>
          <cell r="H72">
            <v>2137617</v>
          </cell>
        </row>
        <row r="73">
          <cell r="B73" t="str">
            <v>11.</v>
          </cell>
          <cell r="C73" t="str">
            <v>CUBIERTA</v>
          </cell>
          <cell r="I73">
            <v>55506690</v>
          </cell>
        </row>
        <row r="74">
          <cell r="B74" t="str">
            <v>11.1</v>
          </cell>
          <cell r="C74" t="str">
            <v>Suministro. transporte e instalación de cubierta en teja termoacústica UPVC 2.0 mm tipo ECOROOF o similar. Incluye sistemas fijación a elementos estructurales. La medida será tomada en pendiente de cubierta. Color VERDE.</v>
          </cell>
          <cell r="D74" t="str">
            <v>m2</v>
          </cell>
          <cell r="E74">
            <v>64.16</v>
          </cell>
          <cell r="F74">
            <v>60581</v>
          </cell>
          <cell r="G74">
            <v>3886877</v>
          </cell>
          <cell r="H74">
            <v>34981893</v>
          </cell>
        </row>
        <row r="75">
          <cell r="B75" t="str">
            <v>11.3</v>
          </cell>
          <cell r="C75" t="str">
            <v>Suministro. transporte e instalación de correa en madera pino pátula inmunizada (ES6) de sección 2"x6". Incluye anclajes y todo lo necesario para su correcto funcionamiento.</v>
          </cell>
          <cell r="D75" t="str">
            <v>m</v>
          </cell>
          <cell r="E75">
            <v>71</v>
          </cell>
          <cell r="F75">
            <v>23270</v>
          </cell>
          <cell r="G75">
            <v>1652170</v>
          </cell>
          <cell r="H75">
            <v>14869530</v>
          </cell>
        </row>
        <row r="76">
          <cell r="B76" t="str">
            <v>11.4</v>
          </cell>
          <cell r="C76"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76" t="str">
            <v>m</v>
          </cell>
          <cell r="E76">
            <v>12.8</v>
          </cell>
          <cell r="F76">
            <v>30410</v>
          </cell>
          <cell r="G76">
            <v>389248</v>
          </cell>
          <cell r="H76">
            <v>3503232</v>
          </cell>
        </row>
        <row r="77">
          <cell r="B77" t="str">
            <v>11.5</v>
          </cell>
          <cell r="C77" t="str">
            <v>Suministro. transporte e instalación de bajante de aguas lluvias PVC-ALL 2". Incluye todo lo requerido para su correcta instalación como codos. soportes y demás elementos necesarios.</v>
          </cell>
          <cell r="D77" t="str">
            <v>m</v>
          </cell>
          <cell r="E77">
            <v>9</v>
          </cell>
          <cell r="F77">
            <v>14413</v>
          </cell>
          <cell r="G77">
            <v>129717</v>
          </cell>
          <cell r="H77">
            <v>1167453</v>
          </cell>
        </row>
        <row r="78">
          <cell r="B78" t="str">
            <v>11.8</v>
          </cell>
          <cell r="C78" t="str">
            <v>Suministro. transporte y colocación de ruana en lámina galvanizada calibre 26. desarrollo 0.33m. Incluye pintura anticorrosiva a base de aceite. pestaña de 5 cm. y todos los elementos necesarios para su correcta construcción. Según diseño de cubierta.</v>
          </cell>
          <cell r="D78" t="str">
            <v>m</v>
          </cell>
          <cell r="E78">
            <v>6</v>
          </cell>
          <cell r="F78">
            <v>18233</v>
          </cell>
          <cell r="G78">
            <v>109398</v>
          </cell>
          <cell r="H78">
            <v>984582</v>
          </cell>
        </row>
        <row r="79">
          <cell r="C79" t="str">
            <v>TOTAL COSTO DIRECTO</v>
          </cell>
          <cell r="H79">
            <v>355320207</v>
          </cell>
          <cell r="I79">
            <v>355320207</v>
          </cell>
        </row>
      </sheetData>
      <sheetData sheetId="6"/>
      <sheetData sheetId="7"/>
      <sheetData sheetId="8"/>
      <sheetData sheetId="9"/>
      <sheetData sheetId="10"/>
      <sheetData sheetId="11">
        <row r="4">
          <cell r="B4" t="str">
            <v>ITEM</v>
          </cell>
        </row>
      </sheetData>
      <sheetData sheetId="12">
        <row r="4">
          <cell r="B4" t="str">
            <v>CLV</v>
          </cell>
        </row>
      </sheetData>
      <sheetData sheetId="13">
        <row r="6">
          <cell r="B6" t="str">
            <v>AD1050</v>
          </cell>
        </row>
      </sheetData>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3"/>
  <sheetViews>
    <sheetView showGridLines="0" tabSelected="1" view="pageBreakPreview" zoomScale="90" zoomScaleNormal="90" zoomScaleSheetLayoutView="90" workbookViewId="0">
      <selection activeCell="F10" sqref="F10"/>
    </sheetView>
  </sheetViews>
  <sheetFormatPr baseColWidth="10" defaultColWidth="8.5703125" defaultRowHeight="13.5" x14ac:dyDescent="0.2"/>
  <cols>
    <col min="1" max="1" width="10" style="1" customWidth="1"/>
    <col min="2" max="2" width="87.85546875" style="10" customWidth="1"/>
    <col min="3" max="3" width="11.42578125" style="1" customWidth="1"/>
    <col min="4" max="4" width="16.5703125" style="124" customWidth="1"/>
    <col min="5" max="5" width="16.5703125" style="130" customWidth="1"/>
    <col min="6" max="16384" width="8.5703125" style="1"/>
  </cols>
  <sheetData>
    <row r="1" spans="1:6" x14ac:dyDescent="0.2">
      <c r="A1" s="133" t="s">
        <v>646</v>
      </c>
      <c r="B1" s="134"/>
      <c r="C1" s="134"/>
      <c r="D1" s="135"/>
    </row>
    <row r="2" spans="1:6" x14ac:dyDescent="0.2">
      <c r="A2" s="136"/>
      <c r="B2" s="137"/>
      <c r="C2" s="137"/>
      <c r="D2" s="138"/>
    </row>
    <row r="3" spans="1:6" x14ac:dyDescent="0.2">
      <c r="A3" s="136"/>
      <c r="B3" s="137"/>
      <c r="C3" s="137"/>
      <c r="D3" s="138"/>
    </row>
    <row r="4" spans="1:6" ht="42" customHeight="1" thickBot="1" x14ac:dyDescent="0.25">
      <c r="A4" s="139"/>
      <c r="B4" s="140"/>
      <c r="C4" s="140"/>
      <c r="D4" s="141"/>
    </row>
    <row r="5" spans="1:6" ht="15.75" thickBot="1" x14ac:dyDescent="0.25">
      <c r="A5" s="142" t="s">
        <v>647</v>
      </c>
      <c r="B5" s="143"/>
      <c r="C5" s="143"/>
      <c r="D5" s="144"/>
    </row>
    <row r="6" spans="1:6" ht="12.6" customHeight="1" x14ac:dyDescent="0.2">
      <c r="A6" s="145" t="s">
        <v>0</v>
      </c>
      <c r="B6" s="145"/>
      <c r="C6" s="145"/>
      <c r="D6" s="145"/>
      <c r="E6" s="129"/>
    </row>
    <row r="7" spans="1:6" ht="15" x14ac:dyDescent="0.2">
      <c r="A7" s="2" t="s">
        <v>1</v>
      </c>
      <c r="B7" s="3" t="s">
        <v>2</v>
      </c>
      <c r="C7" s="2" t="s">
        <v>3</v>
      </c>
      <c r="D7" s="121" t="s">
        <v>4</v>
      </c>
      <c r="E7" s="131"/>
    </row>
    <row r="8" spans="1:6" ht="15" x14ac:dyDescent="0.25">
      <c r="A8" s="4" t="s">
        <v>5</v>
      </c>
      <c r="B8" s="5" t="s">
        <v>585</v>
      </c>
      <c r="C8" s="6"/>
      <c r="D8" s="122"/>
      <c r="E8" s="129"/>
    </row>
    <row r="9" spans="1:6" ht="40.5" x14ac:dyDescent="0.2">
      <c r="A9" s="7" t="s">
        <v>6</v>
      </c>
      <c r="B9" s="8" t="s">
        <v>7</v>
      </c>
      <c r="C9" s="9" t="str">
        <f>+APUS!F5</f>
        <v>m</v>
      </c>
      <c r="D9" s="123">
        <f>+APUS!E19</f>
        <v>5843</v>
      </c>
      <c r="E9" s="129"/>
      <c r="F9" s="132"/>
    </row>
    <row r="10" spans="1:6" ht="49.35" customHeight="1" x14ac:dyDescent="0.2">
      <c r="A10" s="7" t="s">
        <v>8</v>
      </c>
      <c r="B10" s="8" t="s">
        <v>9</v>
      </c>
      <c r="C10" s="9" t="str">
        <f>+APUS!F23</f>
        <v>un</v>
      </c>
      <c r="D10" s="123">
        <f>+APUS!E36</f>
        <v>52308</v>
      </c>
      <c r="E10" s="129"/>
      <c r="F10" s="132"/>
    </row>
    <row r="11" spans="1:6" ht="54" x14ac:dyDescent="0.2">
      <c r="A11" s="7" t="s">
        <v>10</v>
      </c>
      <c r="B11" s="8" t="s">
        <v>11</v>
      </c>
      <c r="C11" s="9" t="str">
        <f>+APUS!F40</f>
        <v>m2</v>
      </c>
      <c r="D11" s="123">
        <f>+APUS!E55</f>
        <v>42563</v>
      </c>
      <c r="E11" s="129"/>
      <c r="F11" s="132"/>
    </row>
    <row r="12" spans="1:6" ht="59.45" customHeight="1" x14ac:dyDescent="0.2">
      <c r="A12" s="7" t="s">
        <v>12</v>
      </c>
      <c r="B12" s="8" t="s">
        <v>13</v>
      </c>
      <c r="C12" s="9" t="str">
        <f>+APUS!F59</f>
        <v>m2</v>
      </c>
      <c r="D12" s="123">
        <f>+APUS!E73</f>
        <v>28210</v>
      </c>
      <c r="E12" s="129"/>
      <c r="F12" s="132"/>
    </row>
    <row r="13" spans="1:6" ht="40.5" x14ac:dyDescent="0.2">
      <c r="A13" s="7" t="s">
        <v>14</v>
      </c>
      <c r="B13" s="8" t="s">
        <v>15</v>
      </c>
      <c r="C13" s="9" t="str">
        <f>+APUS!F77</f>
        <v>m2</v>
      </c>
      <c r="D13" s="123">
        <f>+APUS!E92</f>
        <v>22813</v>
      </c>
      <c r="E13" s="129"/>
      <c r="F13" s="132"/>
    </row>
    <row r="14" spans="1:6" ht="40.5" x14ac:dyDescent="0.2">
      <c r="A14" s="7" t="s">
        <v>16</v>
      </c>
      <c r="B14" s="8" t="s">
        <v>17</v>
      </c>
      <c r="C14" s="9" t="str">
        <f>+APUS!F96</f>
        <v>m2</v>
      </c>
      <c r="D14" s="123">
        <f>+APUS!E110</f>
        <v>20525</v>
      </c>
      <c r="E14" s="129"/>
      <c r="F14" s="132"/>
    </row>
    <row r="15" spans="1:6" ht="67.5" x14ac:dyDescent="0.2">
      <c r="A15" s="7" t="s">
        <v>18</v>
      </c>
      <c r="B15" s="8" t="s">
        <v>19</v>
      </c>
      <c r="C15" s="9" t="str">
        <f>+APUS!F115</f>
        <v>m3</v>
      </c>
      <c r="D15" s="123">
        <f>+APUS!E130</f>
        <v>293378</v>
      </c>
      <c r="E15" s="129"/>
      <c r="F15" s="132"/>
    </row>
    <row r="16" spans="1:6" ht="58.7" customHeight="1" x14ac:dyDescent="0.2">
      <c r="A16" s="7" t="s">
        <v>20</v>
      </c>
      <c r="B16" s="8" t="s">
        <v>21</v>
      </c>
      <c r="C16" s="9" t="str">
        <f>+APUS!F134</f>
        <v>un</v>
      </c>
      <c r="D16" s="123">
        <f>+APUS!E145</f>
        <v>45939</v>
      </c>
      <c r="E16" s="129"/>
      <c r="F16" s="132"/>
    </row>
    <row r="17" spans="1:6" ht="29.45" customHeight="1" x14ac:dyDescent="0.2">
      <c r="A17" s="7" t="s">
        <v>22</v>
      </c>
      <c r="B17" s="8" t="s">
        <v>23</v>
      </c>
      <c r="C17" s="9" t="str">
        <f>+APUS!F149</f>
        <v>m2</v>
      </c>
      <c r="D17" s="123">
        <f>+APUS!E163</f>
        <v>17580</v>
      </c>
      <c r="E17" s="129"/>
      <c r="F17" s="132"/>
    </row>
    <row r="18" spans="1:6" ht="15" x14ac:dyDescent="0.25">
      <c r="A18" s="4" t="s">
        <v>24</v>
      </c>
      <c r="B18" s="5" t="s">
        <v>587</v>
      </c>
      <c r="C18" s="6"/>
      <c r="D18" s="122"/>
      <c r="E18" s="129"/>
      <c r="F18" s="132"/>
    </row>
    <row r="19" spans="1:6" ht="63.6" customHeight="1" x14ac:dyDescent="0.2">
      <c r="A19" s="7" t="s">
        <v>25</v>
      </c>
      <c r="B19" s="8" t="s">
        <v>26</v>
      </c>
      <c r="C19" s="9" t="str">
        <f>+APUS!F168</f>
        <v>m3</v>
      </c>
      <c r="D19" s="123">
        <f>+APUS!E185</f>
        <v>142188</v>
      </c>
      <c r="E19" s="129"/>
      <c r="F19" s="132"/>
    </row>
    <row r="20" spans="1:6" ht="15" x14ac:dyDescent="0.25">
      <c r="A20" s="4" t="s">
        <v>27</v>
      </c>
      <c r="B20" s="5" t="s">
        <v>589</v>
      </c>
      <c r="C20" s="6"/>
      <c r="D20" s="122"/>
      <c r="E20" s="129"/>
      <c r="F20" s="132"/>
    </row>
    <row r="21" spans="1:6" ht="40.5" x14ac:dyDescent="0.2">
      <c r="A21" s="7" t="s">
        <v>28</v>
      </c>
      <c r="B21" s="8" t="s">
        <v>29</v>
      </c>
      <c r="C21" s="9" t="str">
        <f>+APUS!F189</f>
        <v>kg</v>
      </c>
      <c r="D21" s="123">
        <f>+APUS!E204</f>
        <v>7445</v>
      </c>
      <c r="E21" s="129"/>
      <c r="F21" s="132"/>
    </row>
    <row r="22" spans="1:6" ht="27" x14ac:dyDescent="0.2">
      <c r="A22" s="7" t="s">
        <v>30</v>
      </c>
      <c r="B22" s="8" t="s">
        <v>33</v>
      </c>
      <c r="C22" s="9" t="str">
        <f>+APUS!F208</f>
        <v>m2</v>
      </c>
      <c r="D22" s="123">
        <f>+APUS!E223</f>
        <v>9275</v>
      </c>
      <c r="E22" s="129"/>
      <c r="F22" s="132"/>
    </row>
    <row r="23" spans="1:6" ht="27" x14ac:dyDescent="0.2">
      <c r="A23" s="7" t="s">
        <v>32</v>
      </c>
      <c r="B23" s="8" t="s">
        <v>35</v>
      </c>
      <c r="C23" s="9" t="str">
        <f>+APUS!F227</f>
        <v>m2</v>
      </c>
      <c r="D23" s="123">
        <f>+APUS!E242</f>
        <v>12996</v>
      </c>
      <c r="E23" s="129"/>
      <c r="F23" s="132"/>
    </row>
    <row r="24" spans="1:6" ht="27" x14ac:dyDescent="0.2">
      <c r="A24" s="7" t="s">
        <v>34</v>
      </c>
      <c r="B24" s="8" t="s">
        <v>31</v>
      </c>
      <c r="C24" s="9" t="str">
        <f>+APUS!F246</f>
        <v>m2</v>
      </c>
      <c r="D24" s="123">
        <f>+APUS!E261</f>
        <v>11128</v>
      </c>
      <c r="E24" s="129"/>
      <c r="F24" s="132"/>
    </row>
    <row r="25" spans="1:6" ht="15" x14ac:dyDescent="0.25">
      <c r="A25" s="4" t="s">
        <v>36</v>
      </c>
      <c r="B25" s="5" t="s">
        <v>590</v>
      </c>
      <c r="C25" s="6"/>
      <c r="D25" s="122"/>
      <c r="E25" s="129"/>
      <c r="F25" s="132"/>
    </row>
    <row r="26" spans="1:6" ht="40.5" x14ac:dyDescent="0.2">
      <c r="A26" s="7" t="s">
        <v>37</v>
      </c>
      <c r="B26" s="8" t="s">
        <v>38</v>
      </c>
      <c r="C26" s="9" t="str">
        <f>+APUS!F265</f>
        <v>m2</v>
      </c>
      <c r="D26" s="123">
        <f>+APUS!E285</f>
        <v>88802</v>
      </c>
      <c r="E26" s="129"/>
      <c r="F26" s="132"/>
    </row>
    <row r="27" spans="1:6" ht="40.5" x14ac:dyDescent="0.2">
      <c r="A27" s="7" t="s">
        <v>39</v>
      </c>
      <c r="B27" s="8" t="s">
        <v>621</v>
      </c>
      <c r="C27" s="9" t="str">
        <f>+APUS!F289</f>
        <v>m2</v>
      </c>
      <c r="D27" s="123">
        <f>+APUS!E309</f>
        <v>150988</v>
      </c>
      <c r="E27" s="129"/>
      <c r="F27" s="132"/>
    </row>
    <row r="28" spans="1:6" ht="81" x14ac:dyDescent="0.2">
      <c r="A28" s="7" t="s">
        <v>41</v>
      </c>
      <c r="B28" s="8" t="s">
        <v>42</v>
      </c>
      <c r="C28" s="9" t="str">
        <f>+APUS!F314</f>
        <v>m2</v>
      </c>
      <c r="D28" s="123">
        <f>+APUS!E336</f>
        <v>115865</v>
      </c>
      <c r="E28" s="129"/>
      <c r="F28" s="132"/>
    </row>
    <row r="29" spans="1:6" ht="27" x14ac:dyDescent="0.2">
      <c r="A29" s="7" t="s">
        <v>43</v>
      </c>
      <c r="B29" s="8" t="s">
        <v>44</v>
      </c>
      <c r="C29" s="9" t="str">
        <f>+APUS!F340</f>
        <v>un</v>
      </c>
      <c r="D29" s="123">
        <f>+APUS!E360</f>
        <v>326518</v>
      </c>
      <c r="E29" s="129"/>
      <c r="F29" s="132"/>
    </row>
    <row r="30" spans="1:6" ht="34.35" customHeight="1" x14ac:dyDescent="0.2">
      <c r="A30" s="7" t="s">
        <v>45</v>
      </c>
      <c r="B30" s="8" t="s">
        <v>592</v>
      </c>
      <c r="C30" s="9" t="str">
        <f>+APUS!F364</f>
        <v>m2</v>
      </c>
      <c r="D30" s="123">
        <f>+APUS!E382</f>
        <v>33970</v>
      </c>
      <c r="E30" s="129"/>
      <c r="F30" s="132"/>
    </row>
    <row r="31" spans="1:6" ht="44.45" customHeight="1" x14ac:dyDescent="0.2">
      <c r="A31" s="7" t="s">
        <v>46</v>
      </c>
      <c r="B31" s="8" t="s">
        <v>591</v>
      </c>
      <c r="C31" s="9" t="str">
        <f>+APUS!F386</f>
        <v>m2</v>
      </c>
      <c r="D31" s="123">
        <f>+APUS!E405</f>
        <v>50450</v>
      </c>
      <c r="E31" s="129"/>
      <c r="F31" s="132"/>
    </row>
    <row r="32" spans="1:6" ht="31.7" customHeight="1" x14ac:dyDescent="0.2">
      <c r="A32" s="7" t="s">
        <v>618</v>
      </c>
      <c r="B32" s="8" t="s">
        <v>586</v>
      </c>
      <c r="C32" s="9" t="str">
        <f>+APUS!F409</f>
        <v>m2</v>
      </c>
      <c r="D32" s="123">
        <f>+APUS!E428</f>
        <v>8818</v>
      </c>
      <c r="E32" s="129"/>
      <c r="F32" s="132"/>
    </row>
    <row r="33" spans="1:6" ht="15" x14ac:dyDescent="0.25">
      <c r="A33" s="4" t="s">
        <v>47</v>
      </c>
      <c r="B33" s="5" t="s">
        <v>48</v>
      </c>
      <c r="C33" s="6"/>
      <c r="D33" s="122"/>
      <c r="E33" s="129"/>
      <c r="F33" s="132"/>
    </row>
    <row r="34" spans="1:6" ht="54" x14ac:dyDescent="0.2">
      <c r="A34" s="7" t="s">
        <v>49</v>
      </c>
      <c r="B34" s="8" t="s">
        <v>597</v>
      </c>
      <c r="C34" s="9" t="str">
        <f>+APUS!F433</f>
        <v>m2</v>
      </c>
      <c r="D34" s="123">
        <f>+APUS!E450</f>
        <v>57272</v>
      </c>
      <c r="E34" s="129"/>
      <c r="F34" s="132"/>
    </row>
    <row r="35" spans="1:6" ht="27" x14ac:dyDescent="0.2">
      <c r="A35" s="7" t="s">
        <v>50</v>
      </c>
      <c r="B35" s="8" t="s">
        <v>51</v>
      </c>
      <c r="C35" s="9" t="str">
        <f>+APUS!F454</f>
        <v>m3</v>
      </c>
      <c r="D35" s="123">
        <f>+APUS!E468</f>
        <v>250191</v>
      </c>
      <c r="E35" s="129"/>
      <c r="F35" s="132"/>
    </row>
    <row r="36" spans="1:6" ht="48.6" customHeight="1" x14ac:dyDescent="0.2">
      <c r="A36" s="7" t="s">
        <v>52</v>
      </c>
      <c r="B36" s="8" t="s">
        <v>598</v>
      </c>
      <c r="C36" s="9" t="str">
        <f>+APUS!F472</f>
        <v>m3</v>
      </c>
      <c r="D36" s="123">
        <f>+APUS!E492</f>
        <v>924452</v>
      </c>
      <c r="E36" s="129"/>
      <c r="F36" s="132"/>
    </row>
    <row r="37" spans="1:6" ht="27" x14ac:dyDescent="0.2">
      <c r="A37" s="7" t="s">
        <v>53</v>
      </c>
      <c r="B37" s="8" t="s">
        <v>54</v>
      </c>
      <c r="C37" s="9" t="str">
        <f>+APUS!F496</f>
        <v>m2</v>
      </c>
      <c r="D37" s="123">
        <f>+APUS!E512</f>
        <v>9330</v>
      </c>
      <c r="E37" s="129"/>
      <c r="F37" s="132"/>
    </row>
    <row r="38" spans="1:6" ht="15" x14ac:dyDescent="0.2">
      <c r="A38" s="7" t="s">
        <v>55</v>
      </c>
      <c r="B38" s="8" t="s">
        <v>577</v>
      </c>
      <c r="C38" s="9" t="str">
        <f>+APUS!F516</f>
        <v>m2</v>
      </c>
      <c r="D38" s="123">
        <f>+APUS!E527</f>
        <v>8485</v>
      </c>
      <c r="E38" s="129"/>
      <c r="F38" s="132"/>
    </row>
    <row r="39" spans="1:6" ht="33" customHeight="1" x14ac:dyDescent="0.2">
      <c r="A39" s="7" t="s">
        <v>56</v>
      </c>
      <c r="B39" s="8" t="s">
        <v>599</v>
      </c>
      <c r="C39" s="9" t="str">
        <f>+APUS!F531</f>
        <v>m3</v>
      </c>
      <c r="D39" s="123">
        <f>+APUS!E545</f>
        <v>925139</v>
      </c>
      <c r="E39" s="129"/>
      <c r="F39" s="132"/>
    </row>
    <row r="40" spans="1:6" ht="15" x14ac:dyDescent="0.25">
      <c r="A40" s="4" t="s">
        <v>57</v>
      </c>
      <c r="B40" s="5" t="s">
        <v>595</v>
      </c>
      <c r="C40" s="6"/>
      <c r="D40" s="122"/>
      <c r="E40" s="129"/>
      <c r="F40" s="132"/>
    </row>
    <row r="41" spans="1:6" ht="62.45" customHeight="1" x14ac:dyDescent="0.2">
      <c r="A41" s="7" t="s">
        <v>58</v>
      </c>
      <c r="B41" s="46" t="s">
        <v>593</v>
      </c>
      <c r="C41" s="9" t="str">
        <f>+APUS!F549</f>
        <v>m2</v>
      </c>
      <c r="D41" s="123">
        <f>+APUS!E570</f>
        <v>120646</v>
      </c>
      <c r="E41" s="129"/>
      <c r="F41" s="132"/>
    </row>
    <row r="42" spans="1:6" ht="43.35" customHeight="1" x14ac:dyDescent="0.2">
      <c r="A42" s="7" t="s">
        <v>59</v>
      </c>
      <c r="B42" s="8" t="s">
        <v>60</v>
      </c>
      <c r="C42" s="9" t="str">
        <f>+APUS!F574</f>
        <v>m2</v>
      </c>
      <c r="D42" s="123">
        <f>+APUS!E591</f>
        <v>116824</v>
      </c>
      <c r="E42" s="129"/>
      <c r="F42" s="132"/>
    </row>
    <row r="43" spans="1:6" ht="72" customHeight="1" x14ac:dyDescent="0.2">
      <c r="A43" s="7" t="s">
        <v>61</v>
      </c>
      <c r="B43" s="8" t="s">
        <v>619</v>
      </c>
      <c r="C43" s="9" t="str">
        <f>+APUS!F595</f>
        <v>m2</v>
      </c>
      <c r="D43" s="123">
        <f>+APUS!E617</f>
        <v>121596</v>
      </c>
      <c r="E43" s="129"/>
      <c r="F43" s="132"/>
    </row>
    <row r="44" spans="1:6" ht="15" x14ac:dyDescent="0.2">
      <c r="A44" s="7" t="s">
        <v>62</v>
      </c>
      <c r="B44" s="8" t="s">
        <v>63</v>
      </c>
      <c r="C44" s="9" t="str">
        <f>+APUS!F621</f>
        <v>m</v>
      </c>
      <c r="D44" s="123">
        <f>+APUS!E631</f>
        <v>23102</v>
      </c>
      <c r="E44" s="129"/>
      <c r="F44" s="132"/>
    </row>
    <row r="45" spans="1:6" ht="61.35" customHeight="1" x14ac:dyDescent="0.2">
      <c r="A45" s="7" t="s">
        <v>64</v>
      </c>
      <c r="B45" s="46" t="s">
        <v>594</v>
      </c>
      <c r="C45" s="9" t="str">
        <f>+APUS!F635</f>
        <v>m</v>
      </c>
      <c r="D45" s="123">
        <f>+APUS!E655</f>
        <v>25581</v>
      </c>
      <c r="E45" s="129"/>
      <c r="F45" s="132"/>
    </row>
    <row r="46" spans="1:6" ht="40.5" x14ac:dyDescent="0.2">
      <c r="A46" s="7" t="s">
        <v>65</v>
      </c>
      <c r="B46" s="8" t="s">
        <v>66</v>
      </c>
      <c r="C46" s="9" t="str">
        <f>+APUS!F659</f>
        <v>m2</v>
      </c>
      <c r="D46" s="123">
        <f>+APUS!E676</f>
        <v>16739</v>
      </c>
      <c r="E46" s="129"/>
      <c r="F46" s="132"/>
    </row>
    <row r="47" spans="1:6" ht="67.5" x14ac:dyDescent="0.2">
      <c r="A47" s="7" t="s">
        <v>67</v>
      </c>
      <c r="B47" s="8" t="s">
        <v>68</v>
      </c>
      <c r="C47" s="9" t="str">
        <f>+APUS!F680</f>
        <v>m2</v>
      </c>
      <c r="D47" s="123">
        <f>+APUS!E698</f>
        <v>20608</v>
      </c>
      <c r="E47" s="129"/>
      <c r="F47" s="132"/>
    </row>
    <row r="48" spans="1:6" ht="65.45" customHeight="1" x14ac:dyDescent="0.2">
      <c r="A48" s="7" t="s">
        <v>69</v>
      </c>
      <c r="B48" s="8" t="s">
        <v>596</v>
      </c>
      <c r="C48" s="9" t="str">
        <f>+APUS!F702</f>
        <v>m2</v>
      </c>
      <c r="D48" s="123">
        <f>+APUS!E717</f>
        <v>16676</v>
      </c>
      <c r="E48" s="129"/>
      <c r="F48" s="132"/>
    </row>
    <row r="49" spans="1:6" ht="67.5" x14ac:dyDescent="0.2">
      <c r="A49" s="7" t="s">
        <v>70</v>
      </c>
      <c r="B49" s="8" t="s">
        <v>71</v>
      </c>
      <c r="C49" s="9" t="str">
        <f>+APUS!F721</f>
        <v>m2</v>
      </c>
      <c r="D49" s="123">
        <f>+APUS!E740</f>
        <v>29774</v>
      </c>
      <c r="E49" s="129"/>
      <c r="F49" s="132"/>
    </row>
    <row r="50" spans="1:6" ht="27" x14ac:dyDescent="0.2">
      <c r="A50" s="7" t="s">
        <v>628</v>
      </c>
      <c r="B50" s="128" t="s">
        <v>629</v>
      </c>
      <c r="C50" s="9" t="s">
        <v>411</v>
      </c>
      <c r="D50" s="123">
        <f>+APUS!E762</f>
        <v>62447</v>
      </c>
      <c r="E50" s="129"/>
      <c r="F50" s="132"/>
    </row>
    <row r="51" spans="1:6" ht="15" x14ac:dyDescent="0.25">
      <c r="A51" s="4" t="s">
        <v>72</v>
      </c>
      <c r="B51" s="5" t="s">
        <v>579</v>
      </c>
      <c r="C51" s="6"/>
      <c r="D51" s="122"/>
      <c r="E51" s="129"/>
      <c r="F51" s="132"/>
    </row>
    <row r="52" spans="1:6" ht="27" x14ac:dyDescent="0.2">
      <c r="A52" s="7" t="s">
        <v>73</v>
      </c>
      <c r="B52" s="8" t="s">
        <v>620</v>
      </c>
      <c r="C52" s="9" t="str">
        <f>+APUS!F766</f>
        <v>un</v>
      </c>
      <c r="D52" s="123">
        <f>+APUS!E787</f>
        <v>868295</v>
      </c>
      <c r="E52" s="129"/>
      <c r="F52" s="132"/>
    </row>
    <row r="53" spans="1:6" ht="54" x14ac:dyDescent="0.2">
      <c r="A53" s="7" t="s">
        <v>74</v>
      </c>
      <c r="B53" s="8" t="s">
        <v>75</v>
      </c>
      <c r="C53" s="9" t="str">
        <f>+APUS!F791</f>
        <v>un</v>
      </c>
      <c r="D53" s="123">
        <f>+APUS!E812</f>
        <v>502277</v>
      </c>
      <c r="E53" s="129"/>
      <c r="F53" s="132"/>
    </row>
    <row r="54" spans="1:6" ht="27" x14ac:dyDescent="0.2">
      <c r="A54" s="7" t="s">
        <v>76</v>
      </c>
      <c r="B54" s="8" t="s">
        <v>77</v>
      </c>
      <c r="C54" s="9" t="str">
        <f>+APUS!F816</f>
        <v>juego</v>
      </c>
      <c r="D54" s="123">
        <f>+APUS!E830</f>
        <v>113710</v>
      </c>
      <c r="E54" s="129"/>
      <c r="F54" s="132"/>
    </row>
    <row r="55" spans="1:6" ht="15" x14ac:dyDescent="0.2">
      <c r="A55" s="7" t="s">
        <v>78</v>
      </c>
      <c r="B55" s="8" t="s">
        <v>79</v>
      </c>
      <c r="C55" s="9" t="str">
        <f>+APUS!F834</f>
        <v>un</v>
      </c>
      <c r="D55" s="123">
        <f>+APUS!E848</f>
        <v>107832</v>
      </c>
      <c r="E55" s="129"/>
      <c r="F55" s="132"/>
    </row>
    <row r="56" spans="1:6" ht="40.5" x14ac:dyDescent="0.2">
      <c r="A56" s="7" t="s">
        <v>80</v>
      </c>
      <c r="B56" s="8" t="s">
        <v>601</v>
      </c>
      <c r="C56" s="9" t="str">
        <f>+APUS!F852</f>
        <v>un</v>
      </c>
      <c r="D56" s="123">
        <f>+APUS!E868</f>
        <v>195655</v>
      </c>
      <c r="E56" s="129"/>
      <c r="F56" s="132"/>
    </row>
    <row r="57" spans="1:6" ht="40.5" x14ac:dyDescent="0.2">
      <c r="A57" s="7" t="s">
        <v>81</v>
      </c>
      <c r="B57" s="8" t="s">
        <v>82</v>
      </c>
      <c r="C57" s="9" t="str">
        <f>+APUS!F872</f>
        <v>un</v>
      </c>
      <c r="D57" s="123">
        <f>+APUS!E886</f>
        <v>130080</v>
      </c>
      <c r="E57" s="129"/>
      <c r="F57" s="132"/>
    </row>
    <row r="58" spans="1:6" ht="30" customHeight="1" x14ac:dyDescent="0.2">
      <c r="A58" s="7" t="s">
        <v>83</v>
      </c>
      <c r="B58" s="8" t="s">
        <v>637</v>
      </c>
      <c r="C58" s="9" t="str">
        <f>+APUS!F890</f>
        <v>un</v>
      </c>
      <c r="D58" s="123">
        <f>+APUS!E915</f>
        <v>576222</v>
      </c>
      <c r="E58" s="129"/>
      <c r="F58" s="132"/>
    </row>
    <row r="59" spans="1:6" ht="38.25" customHeight="1" x14ac:dyDescent="0.2">
      <c r="A59" s="7" t="s">
        <v>84</v>
      </c>
      <c r="B59" s="46" t="s">
        <v>356</v>
      </c>
      <c r="C59" s="9" t="str">
        <f>+APUS!F919</f>
        <v>un</v>
      </c>
      <c r="D59" s="123">
        <f>+APUS!E937</f>
        <v>129830</v>
      </c>
      <c r="E59" s="129"/>
      <c r="F59" s="132"/>
    </row>
    <row r="60" spans="1:6" ht="40.5" x14ac:dyDescent="0.2">
      <c r="A60" s="7" t="s">
        <v>85</v>
      </c>
      <c r="B60" s="46" t="s">
        <v>600</v>
      </c>
      <c r="C60" s="9" t="str">
        <f>APUS!F941</f>
        <v>un</v>
      </c>
      <c r="D60" s="123">
        <f>+APUS!E957</f>
        <v>289637</v>
      </c>
      <c r="E60" s="129"/>
      <c r="F60" s="132"/>
    </row>
    <row r="61" spans="1:6" ht="15" x14ac:dyDescent="0.25">
      <c r="A61" s="4" t="s">
        <v>87</v>
      </c>
      <c r="B61" s="5" t="s">
        <v>581</v>
      </c>
      <c r="C61" s="6"/>
      <c r="D61" s="122"/>
      <c r="E61" s="129"/>
      <c r="F61" s="132"/>
    </row>
    <row r="62" spans="1:6" ht="40.5" x14ac:dyDescent="0.2">
      <c r="A62" s="60" t="s">
        <v>88</v>
      </c>
      <c r="B62" s="46" t="str">
        <f>+APUS!A961</f>
        <v>Suministro e instalación de  PUERTA METÁLICA PARA BAÑO con marco, chapa y ala, ancho de 60 cm. Incluye los materiales, accesorios y elementos necesarios para su correcta instalación y funcionamiento, incluye pintura y anticorrosivo.</v>
      </c>
      <c r="C62" s="9" t="str">
        <f>+APUS!F962</f>
        <v>un</v>
      </c>
      <c r="D62" s="123">
        <f>+APUS!E980</f>
        <v>657614</v>
      </c>
      <c r="E62" s="129"/>
      <c r="F62" s="132"/>
    </row>
    <row r="63" spans="1:6" ht="40.5" x14ac:dyDescent="0.2">
      <c r="A63" s="7" t="s">
        <v>89</v>
      </c>
      <c r="B63" s="46" t="str">
        <f>+APUS!A983</f>
        <v>Suministro e instalación de  PUERTA METÁLICA PARA BAÑO con marco, chapa y ala, ancho de 70 cm. Incluye los materiales, accesorios y elementos necesarios para su correcta instalación y funcionamiento, incluye pintura y anticorrosivo.</v>
      </c>
      <c r="C63" s="9" t="str">
        <f>+APUS!F984</f>
        <v>un</v>
      </c>
      <c r="D63" s="123">
        <f>+APUS!E1002</f>
        <v>657614</v>
      </c>
      <c r="E63" s="129"/>
      <c r="F63" s="132"/>
    </row>
    <row r="64" spans="1:6" ht="40.5" x14ac:dyDescent="0.2">
      <c r="A64" s="60" t="s">
        <v>90</v>
      </c>
      <c r="B64" s="46" t="str">
        <f>+APUS!A1005</f>
        <v>Suministro e instalación de  PUERTA METÁLICA PARA BAÑO con marco, chapa y ala, ancho de 80 cm. Incluye los materiales, accesorios y elementos necesarios para su correcta instalación y funcionamiento, incluye pintura y anticorrosivo.</v>
      </c>
      <c r="C64" s="9" t="str">
        <f>+APUS!F1006</f>
        <v>un</v>
      </c>
      <c r="D64" s="123">
        <f>+APUS!E1024</f>
        <v>714060</v>
      </c>
      <c r="E64" s="129"/>
      <c r="F64" s="132"/>
    </row>
    <row r="65" spans="1:6" ht="27" x14ac:dyDescent="0.2">
      <c r="A65" s="7" t="s">
        <v>91</v>
      </c>
      <c r="B65" s="8" t="s">
        <v>92</v>
      </c>
      <c r="C65" s="9" t="str">
        <f>+APUS!F1028</f>
        <v>un</v>
      </c>
      <c r="D65" s="123">
        <f>+APUS!E1044</f>
        <v>708465</v>
      </c>
      <c r="E65" s="129"/>
      <c r="F65" s="132"/>
    </row>
    <row r="66" spans="1:6" ht="27" x14ac:dyDescent="0.2">
      <c r="A66" s="60" t="s">
        <v>93</v>
      </c>
      <c r="B66" s="8" t="s">
        <v>94</v>
      </c>
      <c r="C66" s="9" t="str">
        <f>+APUS!F1048</f>
        <v>un</v>
      </c>
      <c r="D66" s="123">
        <f>+APUS!E1064</f>
        <v>451970</v>
      </c>
      <c r="E66" s="129"/>
      <c r="F66" s="132"/>
    </row>
    <row r="67" spans="1:6" ht="27" x14ac:dyDescent="0.2">
      <c r="A67" s="60" t="s">
        <v>95</v>
      </c>
      <c r="B67" s="8" t="s">
        <v>645</v>
      </c>
      <c r="C67" s="9" t="s">
        <v>411</v>
      </c>
      <c r="D67" s="123">
        <f>+APUS!E1091</f>
        <v>714620</v>
      </c>
      <c r="E67" s="129"/>
      <c r="F67" s="132"/>
    </row>
    <row r="68" spans="1:6" ht="27" x14ac:dyDescent="0.2">
      <c r="A68" s="7" t="s">
        <v>96</v>
      </c>
      <c r="B68" s="8" t="s">
        <v>97</v>
      </c>
      <c r="C68" s="9" t="s">
        <v>411</v>
      </c>
      <c r="D68" s="123">
        <f>+APUS!E1110</f>
        <v>694920</v>
      </c>
      <c r="E68" s="129"/>
      <c r="F68" s="132"/>
    </row>
    <row r="69" spans="1:6" ht="27" x14ac:dyDescent="0.2">
      <c r="A69" s="7" t="s">
        <v>560</v>
      </c>
      <c r="B69" s="115" t="s">
        <v>576</v>
      </c>
      <c r="C69" s="9" t="str">
        <f>+APUS!F1114</f>
        <v>und</v>
      </c>
      <c r="D69" s="123">
        <f>+APUS!E1130</f>
        <v>127587</v>
      </c>
      <c r="E69" s="129"/>
      <c r="F69" s="132"/>
    </row>
    <row r="70" spans="1:6" ht="40.5" x14ac:dyDescent="0.2">
      <c r="A70" s="7" t="s">
        <v>602</v>
      </c>
      <c r="B70" s="109" t="s">
        <v>635</v>
      </c>
      <c r="C70" s="22" t="str">
        <f>+APUS!F1135</f>
        <v>Und</v>
      </c>
      <c r="D70" s="24">
        <f>+APUS!E1154</f>
        <v>880360.64605088986</v>
      </c>
      <c r="E70" s="129"/>
      <c r="F70" s="132"/>
    </row>
    <row r="71" spans="1:6" ht="41.1" customHeight="1" x14ac:dyDescent="0.2">
      <c r="A71" s="7" t="s">
        <v>603</v>
      </c>
      <c r="B71" s="109" t="s">
        <v>636</v>
      </c>
      <c r="C71" s="22" t="str">
        <f>+APUS!F1158</f>
        <v>Und</v>
      </c>
      <c r="D71" s="24">
        <f>+APUS!E1178</f>
        <v>1374538.5876613753</v>
      </c>
      <c r="E71" s="129"/>
      <c r="F71" s="132"/>
    </row>
    <row r="72" spans="1:6" ht="41.1" customHeight="1" x14ac:dyDescent="0.2">
      <c r="A72" s="7" t="s">
        <v>604</v>
      </c>
      <c r="B72" s="109" t="s">
        <v>641</v>
      </c>
      <c r="C72" s="22" t="str">
        <f>+APUS!F1182</f>
        <v>Und</v>
      </c>
      <c r="D72" s="24">
        <f>+APUS!E1201</f>
        <v>1130384.0460508897</v>
      </c>
      <c r="E72" s="129"/>
      <c r="F72" s="132"/>
    </row>
    <row r="73" spans="1:6" ht="41.45" customHeight="1" x14ac:dyDescent="0.2">
      <c r="A73" s="7" t="s">
        <v>605</v>
      </c>
      <c r="B73" s="109" t="s">
        <v>642</v>
      </c>
      <c r="C73" s="22" t="str">
        <f>+APUS!F1205</f>
        <v>Und</v>
      </c>
      <c r="D73" s="24">
        <f>+APUS!E1225</f>
        <v>1651124.0460508899</v>
      </c>
      <c r="E73" s="129"/>
      <c r="F73" s="132"/>
    </row>
    <row r="74" spans="1:6" ht="40.5" x14ac:dyDescent="0.2">
      <c r="A74" s="7" t="s">
        <v>606</v>
      </c>
      <c r="B74" s="109" t="s">
        <v>643</v>
      </c>
      <c r="C74" s="22" t="str">
        <f>+APUS!F1229</f>
        <v>Und</v>
      </c>
      <c r="D74" s="24">
        <f>+APUS!E1248</f>
        <v>1280325.8538605971</v>
      </c>
      <c r="E74" s="129"/>
      <c r="F74" s="132"/>
    </row>
    <row r="75" spans="1:6" ht="42" customHeight="1" x14ac:dyDescent="0.2">
      <c r="A75" s="7" t="s">
        <v>607</v>
      </c>
      <c r="B75" s="109" t="s">
        <v>644</v>
      </c>
      <c r="C75" s="22" t="str">
        <f>+APUS!F1252</f>
        <v>Und</v>
      </c>
      <c r="D75" s="24">
        <f>+APUS!E1272</f>
        <v>1804865.6092469448</v>
      </c>
      <c r="E75" s="129"/>
      <c r="F75" s="132"/>
    </row>
    <row r="76" spans="1:6" ht="54" x14ac:dyDescent="0.2">
      <c r="A76" s="7" t="s">
        <v>608</v>
      </c>
      <c r="B76" s="109" t="s">
        <v>622</v>
      </c>
      <c r="C76" s="22" t="str">
        <f>+APUS!F1276</f>
        <v>und</v>
      </c>
      <c r="D76" s="24">
        <f>+APUS!E1292</f>
        <v>2234344.7999999998</v>
      </c>
      <c r="E76" s="129"/>
      <c r="F76" s="132"/>
    </row>
    <row r="77" spans="1:6" ht="54" x14ac:dyDescent="0.2">
      <c r="A77" s="7" t="s">
        <v>609</v>
      </c>
      <c r="B77" s="109" t="s">
        <v>624</v>
      </c>
      <c r="C77" s="22" t="str">
        <f>+APUS!F1296</f>
        <v>und</v>
      </c>
      <c r="D77" s="24">
        <f>+APUS!E1312</f>
        <v>2632412</v>
      </c>
      <c r="E77" s="129"/>
      <c r="F77" s="132"/>
    </row>
    <row r="78" spans="1:6" ht="54" x14ac:dyDescent="0.2">
      <c r="A78" s="7" t="s">
        <v>610</v>
      </c>
      <c r="B78" s="109" t="s">
        <v>623</v>
      </c>
      <c r="C78" s="22" t="str">
        <f>+APUS!F1316</f>
        <v>und</v>
      </c>
      <c r="D78" s="24">
        <f>+APUS!E1332</f>
        <v>3027973.2240000004</v>
      </c>
      <c r="E78" s="129"/>
      <c r="F78" s="132"/>
    </row>
    <row r="79" spans="1:6" ht="61.5" customHeight="1" x14ac:dyDescent="0.2">
      <c r="A79" s="7" t="s">
        <v>611</v>
      </c>
      <c r="B79" s="109" t="s">
        <v>625</v>
      </c>
      <c r="C79" s="22" t="str">
        <f>+APUS!F1336</f>
        <v>und</v>
      </c>
      <c r="D79" s="24">
        <f>+APUS!E1353</f>
        <v>2958527.8</v>
      </c>
      <c r="E79" s="129"/>
      <c r="F79" s="132"/>
    </row>
    <row r="80" spans="1:6" ht="61.5" customHeight="1" x14ac:dyDescent="0.2">
      <c r="A80" s="7" t="s">
        <v>612</v>
      </c>
      <c r="B80" s="109" t="s">
        <v>626</v>
      </c>
      <c r="C80" s="22" t="str">
        <f>+APUS!F1357</f>
        <v>und</v>
      </c>
      <c r="D80" s="24">
        <f>+APUS!E1374</f>
        <v>3620147.5443200003</v>
      </c>
      <c r="E80" s="129"/>
      <c r="F80" s="132"/>
    </row>
    <row r="81" spans="1:6" ht="69" customHeight="1" x14ac:dyDescent="0.2">
      <c r="A81" s="7" t="s">
        <v>613</v>
      </c>
      <c r="B81" s="109" t="s">
        <v>627</v>
      </c>
      <c r="C81" s="22" t="str">
        <f>+APUS!F1378</f>
        <v>und</v>
      </c>
      <c r="D81" s="24">
        <f>+APUS!E1395</f>
        <v>4116653.2240000004</v>
      </c>
      <c r="E81" s="129"/>
      <c r="F81" s="132"/>
    </row>
    <row r="82" spans="1:6" ht="46.5" customHeight="1" x14ac:dyDescent="0.2">
      <c r="A82" s="7" t="s">
        <v>614</v>
      </c>
      <c r="B82" s="109" t="s">
        <v>615</v>
      </c>
      <c r="C82" s="22" t="str">
        <f>+APUS!F1399</f>
        <v>und</v>
      </c>
      <c r="D82" s="123">
        <f>+APUS!E1414</f>
        <v>940600</v>
      </c>
      <c r="E82" s="129"/>
      <c r="F82" s="132"/>
    </row>
    <row r="83" spans="1:6" ht="15" x14ac:dyDescent="0.25">
      <c r="A83" s="4" t="s">
        <v>98</v>
      </c>
      <c r="B83" s="5" t="s">
        <v>99</v>
      </c>
      <c r="C83" s="6"/>
      <c r="D83" s="122"/>
      <c r="E83" s="129"/>
      <c r="F83" s="132"/>
    </row>
    <row r="84" spans="1:6" ht="81" x14ac:dyDescent="0.2">
      <c r="A84" s="7" t="s">
        <v>100</v>
      </c>
      <c r="B84" s="8" t="s">
        <v>101</v>
      </c>
      <c r="C84" s="9" t="str">
        <f>+APUS!F1419</f>
        <v>un</v>
      </c>
      <c r="D84" s="123">
        <f>+APUS!E1443</f>
        <v>55691</v>
      </c>
      <c r="E84" s="129"/>
      <c r="F84" s="132"/>
    </row>
    <row r="85" spans="1:6" ht="81" x14ac:dyDescent="0.2">
      <c r="A85" s="7" t="s">
        <v>102</v>
      </c>
      <c r="B85" s="8" t="s">
        <v>103</v>
      </c>
      <c r="C85" s="9" t="str">
        <f>+APUS!F1447</f>
        <v>m</v>
      </c>
      <c r="D85" s="123">
        <f>+APUS!E1467</f>
        <v>14286</v>
      </c>
      <c r="E85" s="129"/>
      <c r="F85" s="132"/>
    </row>
    <row r="86" spans="1:6" ht="67.5" x14ac:dyDescent="0.2">
      <c r="A86" s="7" t="s">
        <v>104</v>
      </c>
      <c r="B86" s="8" t="s">
        <v>105</v>
      </c>
      <c r="C86" s="9" t="str">
        <f>+APUS!F1471</f>
        <v>un</v>
      </c>
      <c r="D86" s="123">
        <f>+APUS!E1495</f>
        <v>115362</v>
      </c>
      <c r="E86" s="129"/>
      <c r="F86" s="132"/>
    </row>
    <row r="87" spans="1:6" ht="67.5" x14ac:dyDescent="0.2">
      <c r="A87" s="7" t="s">
        <v>106</v>
      </c>
      <c r="B87" s="8" t="s">
        <v>107</v>
      </c>
      <c r="C87" s="9" t="str">
        <f>+APUS!F1499</f>
        <v>un</v>
      </c>
      <c r="D87" s="123">
        <f>+APUS!E1523</f>
        <v>148287</v>
      </c>
      <c r="E87" s="129"/>
      <c r="F87" s="132"/>
    </row>
    <row r="88" spans="1:6" ht="67.5" x14ac:dyDescent="0.2">
      <c r="A88" s="7" t="s">
        <v>108</v>
      </c>
      <c r="B88" s="8" t="s">
        <v>109</v>
      </c>
      <c r="C88" s="9" t="str">
        <f>+APUS!F1527</f>
        <v>un</v>
      </c>
      <c r="D88" s="123">
        <f>+APUS!E1548</f>
        <v>190444</v>
      </c>
      <c r="E88" s="129"/>
      <c r="F88" s="132"/>
    </row>
    <row r="89" spans="1:6" ht="54" x14ac:dyDescent="0.2">
      <c r="A89" s="7" t="s">
        <v>110</v>
      </c>
      <c r="B89" s="8" t="s">
        <v>111</v>
      </c>
      <c r="C89" s="9" t="str">
        <f>+APUS!F1552</f>
        <v>m</v>
      </c>
      <c r="D89" s="123">
        <f>+APUS!E1574</f>
        <v>35696</v>
      </c>
      <c r="E89" s="129"/>
      <c r="F89" s="132"/>
    </row>
    <row r="90" spans="1:6" ht="54" x14ac:dyDescent="0.2">
      <c r="A90" s="7" t="s">
        <v>112</v>
      </c>
      <c r="B90" s="8" t="s">
        <v>113</v>
      </c>
      <c r="C90" s="9" t="str">
        <f>+APUS!F1578</f>
        <v>m</v>
      </c>
      <c r="D90" s="123">
        <f>+APUS!E1601</f>
        <v>53399</v>
      </c>
      <c r="E90" s="129"/>
      <c r="F90" s="132"/>
    </row>
    <row r="91" spans="1:6" ht="54" x14ac:dyDescent="0.2">
      <c r="A91" s="7" t="s">
        <v>114</v>
      </c>
      <c r="B91" s="8" t="s">
        <v>115</v>
      </c>
      <c r="C91" s="9" t="str">
        <f>+APUS!F1605</f>
        <v>m</v>
      </c>
      <c r="D91" s="123">
        <f>+APUS!E1631</f>
        <v>68920</v>
      </c>
      <c r="E91" s="129"/>
      <c r="F91" s="132"/>
    </row>
    <row r="92" spans="1:6" ht="40.5" x14ac:dyDescent="0.2">
      <c r="A92" s="7" t="s">
        <v>116</v>
      </c>
      <c r="B92" s="8" t="s">
        <v>117</v>
      </c>
      <c r="C92" s="9" t="str">
        <f>+APUS!F1635</f>
        <v>un</v>
      </c>
      <c r="D92" s="123">
        <f>+APUS!E1646</f>
        <v>47095</v>
      </c>
      <c r="E92" s="129"/>
      <c r="F92" s="132"/>
    </row>
    <row r="93" spans="1:6" ht="40.5" x14ac:dyDescent="0.2">
      <c r="A93" s="7" t="s">
        <v>118</v>
      </c>
      <c r="B93" s="8" t="s">
        <v>119</v>
      </c>
      <c r="C93" s="9" t="str">
        <f>+APUS!F1650</f>
        <v>un</v>
      </c>
      <c r="D93" s="123">
        <f>+APUS!E1661</f>
        <v>50409</v>
      </c>
      <c r="E93" s="129"/>
      <c r="F93" s="132"/>
    </row>
    <row r="94" spans="1:6" ht="40.5" x14ac:dyDescent="0.2">
      <c r="A94" s="7" t="s">
        <v>120</v>
      </c>
      <c r="B94" s="8" t="s">
        <v>121</v>
      </c>
      <c r="C94" s="9" t="str">
        <f>+APUS!F1665</f>
        <v>un</v>
      </c>
      <c r="D94" s="123">
        <f>+APUS!E1698</f>
        <v>3845524</v>
      </c>
      <c r="E94" s="129"/>
      <c r="F94" s="132"/>
    </row>
    <row r="95" spans="1:6" ht="40.5" x14ac:dyDescent="0.2">
      <c r="A95" s="7">
        <v>11.12</v>
      </c>
      <c r="B95" s="8" t="s">
        <v>122</v>
      </c>
      <c r="C95" s="9" t="str">
        <f>+APUS!F1702</f>
        <v>un</v>
      </c>
      <c r="D95" s="123">
        <f>+APUS!E1728</f>
        <v>3520226</v>
      </c>
      <c r="E95" s="129"/>
      <c r="F95" s="132"/>
    </row>
    <row r="96" spans="1:6" ht="15" x14ac:dyDescent="0.25">
      <c r="A96" s="4" t="s">
        <v>123</v>
      </c>
      <c r="B96" s="5" t="s">
        <v>124</v>
      </c>
      <c r="C96" s="6"/>
      <c r="D96" s="122"/>
      <c r="E96" s="129"/>
      <c r="F96" s="132"/>
    </row>
    <row r="97" spans="1:6" ht="59.45" customHeight="1" x14ac:dyDescent="0.2">
      <c r="A97" s="7" t="s">
        <v>125</v>
      </c>
      <c r="B97" s="8" t="s">
        <v>638</v>
      </c>
      <c r="C97" s="9" t="s">
        <v>171</v>
      </c>
      <c r="D97" s="123">
        <f>+APUS!E1757</f>
        <v>185335</v>
      </c>
      <c r="E97" s="129"/>
      <c r="F97" s="132"/>
    </row>
    <row r="98" spans="1:6" ht="69.599999999999994" customHeight="1" x14ac:dyDescent="0.2">
      <c r="A98" s="7" t="s">
        <v>126</v>
      </c>
      <c r="B98" s="8" t="s">
        <v>639</v>
      </c>
      <c r="C98" s="9" t="str">
        <f>+APUS!F1761</f>
        <v>un</v>
      </c>
      <c r="D98" s="123">
        <f>+APUS!E1782</f>
        <v>217003</v>
      </c>
      <c r="E98" s="129"/>
      <c r="F98" s="132"/>
    </row>
    <row r="99" spans="1:6" ht="54.6" customHeight="1" x14ac:dyDescent="0.2">
      <c r="A99" s="7" t="s">
        <v>547</v>
      </c>
      <c r="B99" s="8" t="s">
        <v>640</v>
      </c>
      <c r="C99" s="9" t="str">
        <f>+APUS!F1812</f>
        <v>un</v>
      </c>
      <c r="D99" s="123">
        <f>+APUS!E1831</f>
        <v>462874</v>
      </c>
      <c r="E99" s="129"/>
      <c r="F99" s="132"/>
    </row>
    <row r="100" spans="1:6" ht="15" x14ac:dyDescent="0.25">
      <c r="A100" s="4" t="s">
        <v>127</v>
      </c>
      <c r="B100" s="5" t="s">
        <v>588</v>
      </c>
      <c r="C100" s="6"/>
      <c r="D100" s="122"/>
      <c r="E100" s="129"/>
      <c r="F100" s="132"/>
    </row>
    <row r="101" spans="1:6" ht="49.35" customHeight="1" x14ac:dyDescent="0.2">
      <c r="A101" s="7" t="s">
        <v>128</v>
      </c>
      <c r="B101" s="8" t="s">
        <v>129</v>
      </c>
      <c r="C101" s="9" t="str">
        <f>+APUS!F1835</f>
        <v>m3</v>
      </c>
      <c r="D101" s="123">
        <f>+APUS!E1852</f>
        <v>203763</v>
      </c>
      <c r="E101" s="129"/>
      <c r="F101" s="132"/>
    </row>
    <row r="102" spans="1:6" ht="40.5" x14ac:dyDescent="0.2">
      <c r="A102" s="7" t="s">
        <v>130</v>
      </c>
      <c r="B102" s="8" t="s">
        <v>131</v>
      </c>
      <c r="C102" s="9" t="str">
        <f>+APUS!F1856</f>
        <v>m3</v>
      </c>
      <c r="D102" s="123">
        <f>+APUS!E1869</f>
        <v>58712</v>
      </c>
      <c r="E102" s="129"/>
      <c r="F102" s="132"/>
    </row>
    <row r="103" spans="1:6" ht="54" x14ac:dyDescent="0.2">
      <c r="A103" s="7" t="s">
        <v>132</v>
      </c>
      <c r="B103" s="8" t="s">
        <v>133</v>
      </c>
      <c r="C103" s="9" t="str">
        <f>+APUS!F1873</f>
        <v>m</v>
      </c>
      <c r="D103" s="123">
        <f>+APUS!E1889</f>
        <v>40786</v>
      </c>
      <c r="E103" s="129"/>
      <c r="F103" s="132"/>
    </row>
  </sheetData>
  <autoFilter ref="A7:D7" xr:uid="{00000000-0009-0000-0000-000000000000}"/>
  <mergeCells count="3">
    <mergeCell ref="A1:D4"/>
    <mergeCell ref="A5:D5"/>
    <mergeCell ref="A6:D6"/>
  </mergeCells>
  <phoneticPr fontId="12" type="noConversion"/>
  <conditionalFormatting sqref="B73:B82">
    <cfRule type="duplicateValues" dxfId="1" priority="9"/>
  </conditionalFormatting>
  <conditionalFormatting sqref="B70:B72">
    <cfRule type="duplicateValues" dxfId="0" priority="12"/>
  </conditionalFormatting>
  <pageMargins left="0.39370078740157483" right="0.39370078740157483" top="0.39370078740157483" bottom="0.39370078740157483" header="0" footer="0"/>
  <pageSetup paperSize="119" scale="70" orientation="portrait" r:id="rId1"/>
  <headerFooter alignWithMargins="0"/>
  <rowBreaks count="1" manualBreakCount="1">
    <brk id="95" max="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1902"/>
  <sheetViews>
    <sheetView showGridLines="0" zoomScale="90" zoomScaleNormal="90" zoomScaleSheetLayoutView="80" workbookViewId="0">
      <selection activeCell="I4" sqref="I4"/>
    </sheetView>
  </sheetViews>
  <sheetFormatPr baseColWidth="10" defaultColWidth="8.5703125" defaultRowHeight="13.5" x14ac:dyDescent="0.25"/>
  <cols>
    <col min="1" max="1" width="34" style="11" customWidth="1"/>
    <col min="2" max="2" width="55.42578125" style="11" customWidth="1"/>
    <col min="3" max="3" width="13.42578125" style="11" customWidth="1"/>
    <col min="4" max="4" width="15.42578125" style="11" customWidth="1"/>
    <col min="5" max="5" width="12" style="11" customWidth="1"/>
    <col min="6" max="6" width="13.140625" style="11" customWidth="1"/>
    <col min="7" max="9" width="11" style="11" customWidth="1"/>
    <col min="10" max="10" width="15.5703125" style="11" hidden="1" customWidth="1"/>
    <col min="11" max="11" width="22.42578125" style="11" hidden="1" customWidth="1"/>
    <col min="12" max="16384" width="8.5703125" style="11"/>
  </cols>
  <sheetData>
    <row r="1" spans="1:11" ht="33" customHeight="1" x14ac:dyDescent="0.25">
      <c r="A1" s="187" t="s">
        <v>135</v>
      </c>
      <c r="B1" s="188"/>
      <c r="C1" s="188"/>
      <c r="D1" s="188"/>
      <c r="E1" s="188"/>
      <c r="F1" s="189"/>
      <c r="J1" s="120">
        <v>1.1299999999999999</v>
      </c>
      <c r="K1" s="203" t="s">
        <v>634</v>
      </c>
    </row>
    <row r="2" spans="1:11" ht="14.1" customHeight="1" x14ac:dyDescent="0.25">
      <c r="A2" s="187"/>
      <c r="B2" s="188"/>
      <c r="C2" s="188"/>
      <c r="D2" s="188"/>
      <c r="E2" s="188"/>
      <c r="F2" s="189"/>
      <c r="K2" s="203"/>
    </row>
    <row r="3" spans="1:11" ht="15.75" x14ac:dyDescent="0.25">
      <c r="A3" s="184" t="s">
        <v>136</v>
      </c>
      <c r="B3" s="185"/>
      <c r="C3" s="185"/>
      <c r="D3" s="185"/>
      <c r="E3" s="185"/>
      <c r="F3" s="186"/>
    </row>
    <row r="4" spans="1:11" ht="20.45" customHeight="1" x14ac:dyDescent="0.25">
      <c r="A4" s="174" t="str">
        <f>+'RESUMEN APUS'!B9</f>
        <v>RETIRO DE TUBERÍA DE AGUAS RESIDUALES y/o LLUVIAS colgadas o expuestas. Incluye el cargue y transporte de los materiales aprovechables hasta la bodega o donde lo indique la interventoría, el cargue transporte y botada de los escombros generados en botaderos oficiales o donde lo indique la interventoría.</v>
      </c>
      <c r="B4" s="175"/>
      <c r="C4" s="175"/>
      <c r="D4" s="176"/>
      <c r="E4" s="12" t="s">
        <v>137</v>
      </c>
      <c r="F4" s="13" t="s">
        <v>3</v>
      </c>
    </row>
    <row r="5" spans="1:11" ht="37.5" customHeight="1" x14ac:dyDescent="0.25">
      <c r="A5" s="177"/>
      <c r="B5" s="178"/>
      <c r="C5" s="178"/>
      <c r="D5" s="179"/>
      <c r="E5" s="14" t="s">
        <v>6</v>
      </c>
      <c r="F5" s="15" t="s">
        <v>86</v>
      </c>
    </row>
    <row r="6" spans="1:11" x14ac:dyDescent="0.25">
      <c r="A6" s="16" t="s">
        <v>139</v>
      </c>
      <c r="B6" s="17" t="s">
        <v>140</v>
      </c>
      <c r="C6" s="18" t="s">
        <v>3</v>
      </c>
      <c r="D6" s="18" t="s">
        <v>141</v>
      </c>
      <c r="E6" s="18" t="s">
        <v>142</v>
      </c>
      <c r="F6" s="19" t="s">
        <v>143</v>
      </c>
    </row>
    <row r="7" spans="1:11" ht="14.25" thickBot="1" x14ac:dyDescent="0.3">
      <c r="A7" s="20" t="s">
        <v>169</v>
      </c>
      <c r="B7" s="21" t="s">
        <v>170</v>
      </c>
      <c r="C7" s="22" t="s">
        <v>146</v>
      </c>
      <c r="D7" s="23">
        <v>1.4919999999999999E-2</v>
      </c>
      <c r="E7" s="24">
        <f>262000*1.1*$J$1</f>
        <v>325665.99999999994</v>
      </c>
      <c r="F7" s="25">
        <f>ROUND(D7*E7,0)</f>
        <v>4859</v>
      </c>
      <c r="G7" s="59"/>
      <c r="H7" s="59"/>
    </row>
    <row r="8" spans="1:11" ht="14.25" thickBot="1" x14ac:dyDescent="0.3">
      <c r="A8" s="26" t="s">
        <v>147</v>
      </c>
      <c r="B8" s="27"/>
      <c r="C8" s="28">
        <v>81.419476538552203</v>
      </c>
      <c r="D8" s="27"/>
      <c r="E8" s="29" t="s">
        <v>148</v>
      </c>
      <c r="F8" s="30">
        <f>SUM(F7)</f>
        <v>4859</v>
      </c>
    </row>
    <row r="9" spans="1:11" x14ac:dyDescent="0.25">
      <c r="A9" s="16" t="s">
        <v>139</v>
      </c>
      <c r="B9" s="17" t="s">
        <v>149</v>
      </c>
      <c r="C9" s="18" t="s">
        <v>3</v>
      </c>
      <c r="D9" s="18" t="s">
        <v>141</v>
      </c>
      <c r="E9" s="18" t="s">
        <v>142</v>
      </c>
      <c r="F9" s="19" t="s">
        <v>143</v>
      </c>
    </row>
    <row r="10" spans="1:11" ht="14.25" thickBot="1" x14ac:dyDescent="0.3">
      <c r="A10" s="20" t="s">
        <v>150</v>
      </c>
      <c r="B10" s="21" t="s">
        <v>151</v>
      </c>
      <c r="C10" s="22" t="s">
        <v>152</v>
      </c>
      <c r="D10" s="23">
        <v>0.05</v>
      </c>
      <c r="E10" s="24">
        <f>F8</f>
        <v>4859</v>
      </c>
      <c r="F10" s="25">
        <f>ROUND(D10*E10,0)</f>
        <v>243</v>
      </c>
    </row>
    <row r="11" spans="1:11" ht="14.25" thickBot="1" x14ac:dyDescent="0.3">
      <c r="A11" s="26" t="s">
        <v>153</v>
      </c>
      <c r="B11" s="27"/>
      <c r="C11" s="28">
        <v>4.0792265975005897</v>
      </c>
      <c r="D11" s="27"/>
      <c r="E11" s="29" t="s">
        <v>148</v>
      </c>
      <c r="F11" s="30">
        <f>SUM(F10)</f>
        <v>243</v>
      </c>
    </row>
    <row r="12" spans="1:11" x14ac:dyDescent="0.25">
      <c r="A12" s="16" t="s">
        <v>139</v>
      </c>
      <c r="B12" s="17" t="s">
        <v>154</v>
      </c>
      <c r="C12" s="18" t="s">
        <v>3</v>
      </c>
      <c r="D12" s="18" t="s">
        <v>141</v>
      </c>
      <c r="E12" s="18" t="s">
        <v>142</v>
      </c>
      <c r="F12" s="19" t="s">
        <v>143</v>
      </c>
    </row>
    <row r="13" spans="1:11" ht="27" x14ac:dyDescent="0.25">
      <c r="A13" s="20" t="s">
        <v>158</v>
      </c>
      <c r="B13" s="21" t="s">
        <v>159</v>
      </c>
      <c r="C13" s="22" t="s">
        <v>157</v>
      </c>
      <c r="D13" s="23">
        <v>0.03</v>
      </c>
      <c r="E13" s="24">
        <f>+E49</f>
        <v>4100</v>
      </c>
      <c r="F13" s="25">
        <f>ROUND(D13*E13,0)</f>
        <v>123</v>
      </c>
    </row>
    <row r="14" spans="1:11" ht="27.75" thickBot="1" x14ac:dyDescent="0.3">
      <c r="A14" s="20" t="s">
        <v>155</v>
      </c>
      <c r="B14" s="21" t="s">
        <v>156</v>
      </c>
      <c r="C14" s="22" t="s">
        <v>157</v>
      </c>
      <c r="D14" s="23">
        <v>1.43E-2</v>
      </c>
      <c r="E14" s="24">
        <f>+E48</f>
        <v>5200</v>
      </c>
      <c r="F14" s="25">
        <f>ROUND(D14*E14,0)</f>
        <v>74</v>
      </c>
    </row>
    <row r="15" spans="1:11" ht="14.25" thickBot="1" x14ac:dyDescent="0.3">
      <c r="A15" s="26" t="s">
        <v>160</v>
      </c>
      <c r="B15" s="27"/>
      <c r="C15" s="28">
        <v>1.46191935864183</v>
      </c>
      <c r="D15" s="27"/>
      <c r="E15" s="29" t="s">
        <v>148</v>
      </c>
      <c r="F15" s="30">
        <f>SUM(F13:F14)</f>
        <v>197</v>
      </c>
    </row>
    <row r="16" spans="1:11" x14ac:dyDescent="0.25">
      <c r="A16" s="16" t="s">
        <v>139</v>
      </c>
      <c r="B16" s="17" t="s">
        <v>161</v>
      </c>
      <c r="C16" s="18" t="s">
        <v>3</v>
      </c>
      <c r="D16" s="18" t="s">
        <v>141</v>
      </c>
      <c r="E16" s="18" t="s">
        <v>142</v>
      </c>
      <c r="F16" s="19" t="s">
        <v>143</v>
      </c>
    </row>
    <row r="17" spans="1:8" ht="27.75" thickBot="1" x14ac:dyDescent="0.3">
      <c r="A17" s="20" t="s">
        <v>162</v>
      </c>
      <c r="B17" s="21" t="s">
        <v>163</v>
      </c>
      <c r="C17" s="22" t="s">
        <v>164</v>
      </c>
      <c r="D17" s="23">
        <v>8.9999999999999993E-3</v>
      </c>
      <c r="E17" s="24">
        <f>57458.778*1.052</f>
        <v>60446.634456</v>
      </c>
      <c r="F17" s="25">
        <f>ROUND(D17*E17,0)</f>
        <v>544</v>
      </c>
    </row>
    <row r="18" spans="1:8" ht="14.25" thickBot="1" x14ac:dyDescent="0.3">
      <c r="A18" s="26"/>
      <c r="B18" s="27"/>
      <c r="C18" s="28"/>
      <c r="D18" s="27"/>
      <c r="E18" s="29" t="s">
        <v>148</v>
      </c>
      <c r="F18" s="30">
        <f>SUM(F17)</f>
        <v>544</v>
      </c>
    </row>
    <row r="19" spans="1:8" ht="15.75" thickBot="1" x14ac:dyDescent="0.3">
      <c r="A19" s="180" t="s">
        <v>168</v>
      </c>
      <c r="B19" s="181"/>
      <c r="C19" s="181"/>
      <c r="D19" s="181"/>
      <c r="E19" s="182">
        <f>F8+F11+F15+F18</f>
        <v>5843</v>
      </c>
      <c r="F19" s="183"/>
      <c r="G19" s="59"/>
      <c r="H19" s="59"/>
    </row>
    <row r="20" spans="1:8" x14ac:dyDescent="0.25">
      <c r="A20" s="31"/>
      <c r="F20" s="32"/>
    </row>
    <row r="21" spans="1:8" ht="15.75" x14ac:dyDescent="0.25">
      <c r="A21" s="184" t="s">
        <v>136</v>
      </c>
      <c r="B21" s="185"/>
      <c r="C21" s="185"/>
      <c r="D21" s="185"/>
      <c r="E21" s="185"/>
      <c r="F21" s="186"/>
    </row>
    <row r="22" spans="1:8" x14ac:dyDescent="0.25">
      <c r="A22" s="174" t="str">
        <f>+'RESUMEN APUS'!B10</f>
        <v>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v>
      </c>
      <c r="B22" s="175"/>
      <c r="C22" s="175"/>
      <c r="D22" s="176"/>
      <c r="E22" s="12" t="s">
        <v>137</v>
      </c>
      <c r="F22" s="13" t="s">
        <v>3</v>
      </c>
    </row>
    <row r="23" spans="1:8" ht="28.35" customHeight="1" x14ac:dyDescent="0.25">
      <c r="A23" s="177"/>
      <c r="B23" s="178"/>
      <c r="C23" s="178"/>
      <c r="D23" s="179"/>
      <c r="E23" s="14" t="s">
        <v>8</v>
      </c>
      <c r="F23" s="15" t="s">
        <v>171</v>
      </c>
    </row>
    <row r="24" spans="1:8" x14ac:dyDescent="0.25">
      <c r="A24" s="16" t="s">
        <v>139</v>
      </c>
      <c r="B24" s="17" t="s">
        <v>172</v>
      </c>
      <c r="C24" s="18" t="s">
        <v>3</v>
      </c>
      <c r="D24" s="18" t="s">
        <v>141</v>
      </c>
      <c r="E24" s="18" t="s">
        <v>142</v>
      </c>
      <c r="F24" s="19" t="s">
        <v>143</v>
      </c>
    </row>
    <row r="25" spans="1:8" ht="14.25" thickBot="1" x14ac:dyDescent="0.3">
      <c r="A25" s="20" t="s">
        <v>173</v>
      </c>
      <c r="B25" s="21" t="s">
        <v>174</v>
      </c>
      <c r="C25" s="22" t="s">
        <v>171</v>
      </c>
      <c r="D25" s="23">
        <v>1</v>
      </c>
      <c r="E25" s="24">
        <f>1336.154*1.052</f>
        <v>1405.634008</v>
      </c>
      <c r="F25" s="25">
        <f>ROUND(D25*E25,0)</f>
        <v>1406</v>
      </c>
    </row>
    <row r="26" spans="1:8" ht="14.25" thickBot="1" x14ac:dyDescent="0.3">
      <c r="A26" s="26" t="s">
        <v>175</v>
      </c>
      <c r="B26" s="27"/>
      <c r="C26" s="28">
        <v>3.32325503268987</v>
      </c>
      <c r="D26" s="27"/>
      <c r="E26" s="29" t="s">
        <v>148</v>
      </c>
      <c r="F26" s="30">
        <f>SUM(F25)</f>
        <v>1406</v>
      </c>
    </row>
    <row r="27" spans="1:8" x14ac:dyDescent="0.25">
      <c r="A27" s="16" t="s">
        <v>139</v>
      </c>
      <c r="B27" s="17" t="s">
        <v>140</v>
      </c>
      <c r="C27" s="18" t="s">
        <v>3</v>
      </c>
      <c r="D27" s="18" t="s">
        <v>141</v>
      </c>
      <c r="E27" s="18" t="s">
        <v>142</v>
      </c>
      <c r="F27" s="19" t="s">
        <v>143</v>
      </c>
    </row>
    <row r="28" spans="1:8" ht="14.25" thickBot="1" x14ac:dyDescent="0.3">
      <c r="A28" s="20" t="s">
        <v>169</v>
      </c>
      <c r="B28" s="21" t="s">
        <v>170</v>
      </c>
      <c r="C28" s="22" t="s">
        <v>146</v>
      </c>
      <c r="D28" s="23">
        <v>0.12917999999999999</v>
      </c>
      <c r="E28" s="24">
        <f>262477.681158667*1.1*$J$1</f>
        <v>326259.75768022315</v>
      </c>
      <c r="F28" s="25">
        <f>ROUND(D28*E28,0)</f>
        <v>42146</v>
      </c>
    </row>
    <row r="29" spans="1:8" ht="14.25" thickBot="1" x14ac:dyDescent="0.3">
      <c r="A29" s="26" t="s">
        <v>147</v>
      </c>
      <c r="B29" s="27"/>
      <c r="C29" s="28">
        <v>74.380442928392398</v>
      </c>
      <c r="D29" s="27"/>
      <c r="E29" s="29" t="s">
        <v>148</v>
      </c>
      <c r="F29" s="30">
        <f>SUM(F28)</f>
        <v>42146</v>
      </c>
    </row>
    <row r="30" spans="1:8" x14ac:dyDescent="0.25">
      <c r="A30" s="16" t="s">
        <v>139</v>
      </c>
      <c r="B30" s="17" t="s">
        <v>149</v>
      </c>
      <c r="C30" s="18" t="s">
        <v>3</v>
      </c>
      <c r="D30" s="18" t="s">
        <v>141</v>
      </c>
      <c r="E30" s="18" t="s">
        <v>142</v>
      </c>
      <c r="F30" s="19" t="s">
        <v>143</v>
      </c>
    </row>
    <row r="31" spans="1:8" ht="14.25" thickBot="1" x14ac:dyDescent="0.3">
      <c r="A31" s="20" t="s">
        <v>150</v>
      </c>
      <c r="B31" s="21" t="s">
        <v>151</v>
      </c>
      <c r="C31" s="22" t="s">
        <v>152</v>
      </c>
      <c r="D31" s="23">
        <v>0.05</v>
      </c>
      <c r="E31" s="24">
        <f>F29</f>
        <v>42146</v>
      </c>
      <c r="F31" s="25">
        <f>ROUND(D31*E31,0)</f>
        <v>2107</v>
      </c>
    </row>
    <row r="32" spans="1:8" ht="14.25" thickBot="1" x14ac:dyDescent="0.3">
      <c r="A32" s="26" t="s">
        <v>153</v>
      </c>
      <c r="B32" s="27"/>
      <c r="C32" s="28">
        <v>3.7186345194717898</v>
      </c>
      <c r="D32" s="27"/>
      <c r="E32" s="29" t="s">
        <v>148</v>
      </c>
      <c r="F32" s="30">
        <f>SUM(F31)</f>
        <v>2107</v>
      </c>
    </row>
    <row r="33" spans="1:9" x14ac:dyDescent="0.25">
      <c r="A33" s="16" t="s">
        <v>139</v>
      </c>
      <c r="B33" s="17" t="s">
        <v>161</v>
      </c>
      <c r="C33" s="18" t="s">
        <v>3</v>
      </c>
      <c r="D33" s="18" t="s">
        <v>141</v>
      </c>
      <c r="E33" s="18" t="s">
        <v>142</v>
      </c>
      <c r="F33" s="19" t="s">
        <v>143</v>
      </c>
    </row>
    <row r="34" spans="1:9" ht="27.75" thickBot="1" x14ac:dyDescent="0.3">
      <c r="A34" s="20" t="s">
        <v>162</v>
      </c>
      <c r="B34" s="21" t="s">
        <v>163</v>
      </c>
      <c r="C34" s="22" t="s">
        <v>164</v>
      </c>
      <c r="D34" s="23">
        <v>0.11</v>
      </c>
      <c r="E34" s="24">
        <f>57458.778*1.052</f>
        <v>60446.634456</v>
      </c>
      <c r="F34" s="25">
        <f>ROUND(D34*E34,0)</f>
        <v>6649</v>
      </c>
    </row>
    <row r="35" spans="1:9" ht="14.25" thickBot="1" x14ac:dyDescent="0.3">
      <c r="A35" s="26"/>
      <c r="B35" s="27"/>
      <c r="C35" s="28"/>
      <c r="D35" s="27"/>
      <c r="E35" s="29" t="s">
        <v>148</v>
      </c>
      <c r="F35" s="30">
        <f>SUM(F34)</f>
        <v>6649</v>
      </c>
    </row>
    <row r="36" spans="1:9" ht="15.75" thickBot="1" x14ac:dyDescent="0.3">
      <c r="A36" s="180" t="s">
        <v>168</v>
      </c>
      <c r="B36" s="181"/>
      <c r="C36" s="181"/>
      <c r="D36" s="181"/>
      <c r="E36" s="182">
        <f>F26+F29+F32+F35</f>
        <v>52308</v>
      </c>
      <c r="F36" s="183"/>
      <c r="G36" s="59"/>
      <c r="H36" s="59"/>
      <c r="I36" s="59"/>
    </row>
    <row r="37" spans="1:9" x14ac:dyDescent="0.25">
      <c r="A37" s="31"/>
      <c r="F37" s="32"/>
    </row>
    <row r="38" spans="1:9" ht="15.75" x14ac:dyDescent="0.25">
      <c r="A38" s="184" t="s">
        <v>136</v>
      </c>
      <c r="B38" s="185"/>
      <c r="C38" s="185"/>
      <c r="D38" s="185"/>
      <c r="E38" s="185"/>
      <c r="F38" s="186"/>
    </row>
    <row r="39" spans="1:9" x14ac:dyDescent="0.25">
      <c r="A39" s="174" t="str">
        <f>+'RESUMEN APUS'!B11</f>
        <v>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
      <c r="B39" s="175"/>
      <c r="C39" s="175"/>
      <c r="D39" s="176"/>
      <c r="E39" s="12" t="s">
        <v>137</v>
      </c>
      <c r="F39" s="13" t="s">
        <v>3</v>
      </c>
    </row>
    <row r="40" spans="1:9" ht="47.1" customHeight="1" x14ac:dyDescent="0.25">
      <c r="A40" s="177"/>
      <c r="B40" s="178"/>
      <c r="C40" s="178"/>
      <c r="D40" s="179"/>
      <c r="E40" s="14" t="s">
        <v>10</v>
      </c>
      <c r="F40" s="15" t="s">
        <v>138</v>
      </c>
    </row>
    <row r="41" spans="1:9" x14ac:dyDescent="0.25">
      <c r="A41" s="16" t="s">
        <v>139</v>
      </c>
      <c r="B41" s="17" t="s">
        <v>140</v>
      </c>
      <c r="C41" s="18" t="s">
        <v>3</v>
      </c>
      <c r="D41" s="18" t="s">
        <v>141</v>
      </c>
      <c r="E41" s="18" t="s">
        <v>142</v>
      </c>
      <c r="F41" s="19" t="s">
        <v>143</v>
      </c>
    </row>
    <row r="42" spans="1:9" ht="14.25" thickBot="1" x14ac:dyDescent="0.3">
      <c r="A42" s="20" t="s">
        <v>144</v>
      </c>
      <c r="B42" s="21" t="s">
        <v>145</v>
      </c>
      <c r="C42" s="22" t="s">
        <v>146</v>
      </c>
      <c r="D42" s="23">
        <v>6.6284999999999997E-2</v>
      </c>
      <c r="E42" s="24">
        <f>312364.759126667*1.1*$J$1</f>
        <v>388269.39559444704</v>
      </c>
      <c r="F42" s="33">
        <f>ROUND(D42*E42,0)</f>
        <v>25736</v>
      </c>
    </row>
    <row r="43" spans="1:9" ht="14.25" thickBot="1" x14ac:dyDescent="0.3">
      <c r="A43" s="26" t="s">
        <v>147</v>
      </c>
      <c r="B43" s="27"/>
      <c r="C43" s="28">
        <v>55.915360233016401</v>
      </c>
      <c r="D43" s="27"/>
      <c r="E43" s="29" t="s">
        <v>148</v>
      </c>
      <c r="F43" s="30">
        <f>SUM(F42)</f>
        <v>25736</v>
      </c>
    </row>
    <row r="44" spans="1:9" x14ac:dyDescent="0.25">
      <c r="A44" s="16" t="s">
        <v>139</v>
      </c>
      <c r="B44" s="17" t="s">
        <v>149</v>
      </c>
      <c r="C44" s="18" t="s">
        <v>3</v>
      </c>
      <c r="D44" s="18" t="s">
        <v>141</v>
      </c>
      <c r="E44" s="18" t="s">
        <v>142</v>
      </c>
      <c r="F44" s="19" t="s">
        <v>143</v>
      </c>
    </row>
    <row r="45" spans="1:9" ht="14.25" thickBot="1" x14ac:dyDescent="0.3">
      <c r="A45" s="20" t="s">
        <v>150</v>
      </c>
      <c r="B45" s="21" t="s">
        <v>151</v>
      </c>
      <c r="C45" s="22" t="s">
        <v>152</v>
      </c>
      <c r="D45" s="23">
        <v>0.05</v>
      </c>
      <c r="E45" s="24">
        <f>F43</f>
        <v>25736</v>
      </c>
      <c r="F45" s="25">
        <f>ROUND(D45*E45,0)</f>
        <v>1287</v>
      </c>
    </row>
    <row r="46" spans="1:9" ht="14.25" thickBot="1" x14ac:dyDescent="0.3">
      <c r="A46" s="26" t="s">
        <v>153</v>
      </c>
      <c r="B46" s="27"/>
      <c r="C46" s="28">
        <v>2.7956252320169099</v>
      </c>
      <c r="D46" s="27"/>
      <c r="E46" s="29" t="s">
        <v>148</v>
      </c>
      <c r="F46" s="30">
        <f>SUM(F45)</f>
        <v>1287</v>
      </c>
    </row>
    <row r="47" spans="1:9" x14ac:dyDescent="0.25">
      <c r="A47" s="16" t="s">
        <v>139</v>
      </c>
      <c r="B47" s="17" t="s">
        <v>154</v>
      </c>
      <c r="C47" s="18" t="s">
        <v>3</v>
      </c>
      <c r="D47" s="18" t="s">
        <v>141</v>
      </c>
      <c r="E47" s="18" t="s">
        <v>142</v>
      </c>
      <c r="F47" s="19" t="s">
        <v>143</v>
      </c>
    </row>
    <row r="48" spans="1:9" ht="27" x14ac:dyDescent="0.25">
      <c r="A48" s="20" t="s">
        <v>155</v>
      </c>
      <c r="B48" s="21" t="s">
        <v>156</v>
      </c>
      <c r="C48" s="22" t="s">
        <v>157</v>
      </c>
      <c r="D48" s="23">
        <v>0.1</v>
      </c>
      <c r="E48" s="24">
        <f>+E85</f>
        <v>5200</v>
      </c>
      <c r="F48" s="25">
        <f>ROUND(D48*E48,0)</f>
        <v>520</v>
      </c>
    </row>
    <row r="49" spans="1:8" ht="27.75" thickBot="1" x14ac:dyDescent="0.3">
      <c r="A49" s="20" t="s">
        <v>158</v>
      </c>
      <c r="B49" s="21" t="s">
        <v>159</v>
      </c>
      <c r="C49" s="22" t="s">
        <v>157</v>
      </c>
      <c r="D49" s="23">
        <v>0.26</v>
      </c>
      <c r="E49" s="24">
        <f>+E86</f>
        <v>4100</v>
      </c>
      <c r="F49" s="25">
        <f>ROUND(D49*E49,0)</f>
        <v>1066</v>
      </c>
    </row>
    <row r="50" spans="1:8" ht="14.25" thickBot="1" x14ac:dyDescent="0.3">
      <c r="A50" s="26" t="s">
        <v>160</v>
      </c>
      <c r="B50" s="27"/>
      <c r="C50" s="28">
        <v>1.3421285587823799</v>
      </c>
      <c r="D50" s="27"/>
      <c r="E50" s="29" t="s">
        <v>148</v>
      </c>
      <c r="F50" s="30">
        <f>SUM(F48:F49)</f>
        <v>1586</v>
      </c>
    </row>
    <row r="51" spans="1:8" x14ac:dyDescent="0.25">
      <c r="A51" s="16" t="s">
        <v>139</v>
      </c>
      <c r="B51" s="17" t="s">
        <v>161</v>
      </c>
      <c r="C51" s="18" t="s">
        <v>3</v>
      </c>
      <c r="D51" s="18" t="s">
        <v>141</v>
      </c>
      <c r="E51" s="18" t="s">
        <v>142</v>
      </c>
      <c r="F51" s="19" t="s">
        <v>143</v>
      </c>
    </row>
    <row r="52" spans="1:8" ht="27" x14ac:dyDescent="0.25">
      <c r="A52" s="20" t="s">
        <v>162</v>
      </c>
      <c r="B52" s="21" t="s">
        <v>163</v>
      </c>
      <c r="C52" s="22" t="s">
        <v>164</v>
      </c>
      <c r="D52" s="23">
        <v>0.18</v>
      </c>
      <c r="E52" s="24">
        <f>57458.778*1.052</f>
        <v>60446.634456</v>
      </c>
      <c r="F52" s="25">
        <f>ROUND(D52*E52,0)</f>
        <v>10880</v>
      </c>
    </row>
    <row r="53" spans="1:8" ht="14.25" thickBot="1" x14ac:dyDescent="0.3">
      <c r="A53" s="20" t="s">
        <v>165</v>
      </c>
      <c r="B53" s="21" t="s">
        <v>166</v>
      </c>
      <c r="C53" s="22" t="s">
        <v>164</v>
      </c>
      <c r="D53" s="23">
        <v>0.18</v>
      </c>
      <c r="E53" s="24">
        <v>17078.042999999998</v>
      </c>
      <c r="F53" s="25">
        <f>ROUND(D53*E53,0)</f>
        <v>3074</v>
      </c>
    </row>
    <row r="54" spans="1:8" ht="14.25" thickBot="1" x14ac:dyDescent="0.3">
      <c r="A54" s="26"/>
      <c r="B54" s="27"/>
      <c r="C54" s="28"/>
      <c r="D54" s="27"/>
      <c r="E54" s="29" t="s">
        <v>148</v>
      </c>
      <c r="F54" s="30">
        <f>SUM(F52:F53)</f>
        <v>13954</v>
      </c>
    </row>
    <row r="55" spans="1:8" ht="15.75" thickBot="1" x14ac:dyDescent="0.3">
      <c r="A55" s="180" t="s">
        <v>168</v>
      </c>
      <c r="B55" s="181"/>
      <c r="C55" s="181"/>
      <c r="D55" s="181"/>
      <c r="E55" s="182">
        <f>F43+F46+F50+F54</f>
        <v>42563</v>
      </c>
      <c r="F55" s="183"/>
      <c r="G55" s="59"/>
      <c r="H55" s="59"/>
    </row>
    <row r="56" spans="1:8" x14ac:dyDescent="0.25">
      <c r="A56" s="31"/>
      <c r="F56" s="32"/>
    </row>
    <row r="57" spans="1:8" ht="15.75" x14ac:dyDescent="0.25">
      <c r="A57" s="184" t="s">
        <v>136</v>
      </c>
      <c r="B57" s="185"/>
      <c r="C57" s="185"/>
      <c r="D57" s="185"/>
      <c r="E57" s="185"/>
      <c r="F57" s="186"/>
    </row>
    <row r="58" spans="1:8" x14ac:dyDescent="0.25">
      <c r="A58" s="174" t="str">
        <f>+'RESUMEN APUS'!B12</f>
        <v>DEMOLICIÓN PISO EN CONCRETO de cualquier resistencia con espesor hasta de 12 cm, manual o mecánicamente. Incluye cargue, transporte y botada de escombros,  retiro de refuerzo e instalaciones embebidas, además recuperación de los materiales aprovechables y su transporte hasta el sitio que lo indique la interventoría.</v>
      </c>
      <c r="B58" s="175"/>
      <c r="C58" s="175"/>
      <c r="D58" s="176"/>
      <c r="E58" s="12" t="s">
        <v>137</v>
      </c>
      <c r="F58" s="13" t="s">
        <v>3</v>
      </c>
    </row>
    <row r="59" spans="1:8" ht="38.450000000000003" customHeight="1" x14ac:dyDescent="0.25">
      <c r="A59" s="177"/>
      <c r="B59" s="178"/>
      <c r="C59" s="178"/>
      <c r="D59" s="179"/>
      <c r="E59" s="14" t="s">
        <v>12</v>
      </c>
      <c r="F59" s="15" t="s">
        <v>138</v>
      </c>
    </row>
    <row r="60" spans="1:8" x14ac:dyDescent="0.25">
      <c r="A60" s="16" t="s">
        <v>139</v>
      </c>
      <c r="B60" s="17" t="s">
        <v>140</v>
      </c>
      <c r="C60" s="18" t="s">
        <v>3</v>
      </c>
      <c r="D60" s="18" t="s">
        <v>141</v>
      </c>
      <c r="E60" s="18" t="s">
        <v>142</v>
      </c>
      <c r="F60" s="19" t="s">
        <v>143</v>
      </c>
    </row>
    <row r="61" spans="1:8" ht="14.25" thickBot="1" x14ac:dyDescent="0.3">
      <c r="A61" s="20" t="s">
        <v>176</v>
      </c>
      <c r="B61" s="21" t="s">
        <v>177</v>
      </c>
      <c r="C61" s="22" t="s">
        <v>146</v>
      </c>
      <c r="D61" s="23">
        <v>6.0947972110827552E-2</v>
      </c>
      <c r="E61" s="24">
        <f>80365.8349622223*1.1*$J$1</f>
        <v>99894.732858042335</v>
      </c>
      <c r="F61" s="33">
        <f>ROUND(D61*E61,0)</f>
        <v>6088</v>
      </c>
    </row>
    <row r="62" spans="1:8" ht="14.25" thickBot="1" x14ac:dyDescent="0.3">
      <c r="A62" s="26" t="s">
        <v>147</v>
      </c>
      <c r="B62" s="27"/>
      <c r="C62" s="28">
        <v>17.079132294531</v>
      </c>
      <c r="D62" s="27"/>
      <c r="E62" s="29" t="s">
        <v>148</v>
      </c>
      <c r="F62" s="30">
        <f>SUM(F61)</f>
        <v>6088</v>
      </c>
    </row>
    <row r="63" spans="1:8" x14ac:dyDescent="0.25">
      <c r="A63" s="16" t="s">
        <v>139</v>
      </c>
      <c r="B63" s="17" t="s">
        <v>149</v>
      </c>
      <c r="C63" s="18" t="s">
        <v>3</v>
      </c>
      <c r="D63" s="18" t="s">
        <v>141</v>
      </c>
      <c r="E63" s="18" t="s">
        <v>142</v>
      </c>
      <c r="F63" s="19" t="s">
        <v>143</v>
      </c>
    </row>
    <row r="64" spans="1:8" ht="14.25" thickBot="1" x14ac:dyDescent="0.3">
      <c r="A64" s="20" t="s">
        <v>150</v>
      </c>
      <c r="B64" s="21" t="s">
        <v>151</v>
      </c>
      <c r="C64" s="22" t="s">
        <v>152</v>
      </c>
      <c r="D64" s="23">
        <v>0.05</v>
      </c>
      <c r="E64" s="24">
        <f>F62</f>
        <v>6088</v>
      </c>
      <c r="F64" s="25">
        <f>ROUND(D64*E64,0)</f>
        <v>304</v>
      </c>
    </row>
    <row r="65" spans="1:8" ht="14.25" thickBot="1" x14ac:dyDescent="0.3">
      <c r="A65" s="26" t="s">
        <v>153</v>
      </c>
      <c r="B65" s="27"/>
      <c r="C65" s="28">
        <v>0.855484265200122</v>
      </c>
      <c r="D65" s="27"/>
      <c r="E65" s="29" t="s">
        <v>148</v>
      </c>
      <c r="F65" s="30">
        <f>SUM(F64)</f>
        <v>304</v>
      </c>
    </row>
    <row r="66" spans="1:8" x14ac:dyDescent="0.25">
      <c r="A66" s="16" t="s">
        <v>139</v>
      </c>
      <c r="B66" s="17" t="s">
        <v>154</v>
      </c>
      <c r="C66" s="18" t="s">
        <v>3</v>
      </c>
      <c r="D66" s="18" t="s">
        <v>141</v>
      </c>
      <c r="E66" s="18" t="s">
        <v>142</v>
      </c>
      <c r="F66" s="19" t="s">
        <v>143</v>
      </c>
    </row>
    <row r="67" spans="1:8" ht="27.75" thickBot="1" x14ac:dyDescent="0.3">
      <c r="A67" s="20" t="s">
        <v>178</v>
      </c>
      <c r="B67" s="21" t="s">
        <v>179</v>
      </c>
      <c r="C67" s="22" t="s">
        <v>134</v>
      </c>
      <c r="D67" s="23">
        <v>0.10836</v>
      </c>
      <c r="E67" s="24">
        <f>78500*1.052</f>
        <v>82582</v>
      </c>
      <c r="F67" s="25">
        <f>ROUND(D67*E67,0)</f>
        <v>8949</v>
      </c>
    </row>
    <row r="68" spans="1:8" ht="14.25" thickBot="1" x14ac:dyDescent="0.3">
      <c r="A68" s="26" t="s">
        <v>160</v>
      </c>
      <c r="B68" s="27"/>
      <c r="C68" s="28">
        <v>33.219850726725099</v>
      </c>
      <c r="D68" s="27"/>
      <c r="E68" s="29" t="s">
        <v>148</v>
      </c>
      <c r="F68" s="30">
        <f>SUM(F67)</f>
        <v>8949</v>
      </c>
    </row>
    <row r="69" spans="1:8" x14ac:dyDescent="0.25">
      <c r="A69" s="16" t="s">
        <v>139</v>
      </c>
      <c r="B69" s="17" t="s">
        <v>161</v>
      </c>
      <c r="C69" s="18" t="s">
        <v>3</v>
      </c>
      <c r="D69" s="18" t="s">
        <v>141</v>
      </c>
      <c r="E69" s="18" t="s">
        <v>142</v>
      </c>
      <c r="F69" s="19" t="s">
        <v>143</v>
      </c>
    </row>
    <row r="70" spans="1:8" ht="27" x14ac:dyDescent="0.25">
      <c r="A70" s="20" t="s">
        <v>162</v>
      </c>
      <c r="B70" s="21" t="s">
        <v>163</v>
      </c>
      <c r="C70" s="22" t="s">
        <v>164</v>
      </c>
      <c r="D70" s="23">
        <v>0.16600000000000001</v>
      </c>
      <c r="E70" s="24">
        <f>57458.778*1.052</f>
        <v>60446.634456</v>
      </c>
      <c r="F70" s="25">
        <f>ROUND(D70*E70,0)</f>
        <v>10034</v>
      </c>
    </row>
    <row r="71" spans="1:8" ht="14.25" thickBot="1" x14ac:dyDescent="0.3">
      <c r="A71" s="20" t="s">
        <v>165</v>
      </c>
      <c r="B71" s="21" t="s">
        <v>166</v>
      </c>
      <c r="C71" s="22" t="s">
        <v>164</v>
      </c>
      <c r="D71" s="23">
        <v>0.16600000000000001</v>
      </c>
      <c r="E71" s="24">
        <v>17078.042999999998</v>
      </c>
      <c r="F71" s="25">
        <f>ROUND(D71*E71,0)</f>
        <v>2835</v>
      </c>
    </row>
    <row r="72" spans="1:8" ht="14.25" thickBot="1" x14ac:dyDescent="0.3">
      <c r="A72" s="26"/>
      <c r="B72" s="27"/>
      <c r="C72" s="28"/>
      <c r="D72" s="27"/>
      <c r="E72" s="29" t="s">
        <v>148</v>
      </c>
      <c r="F72" s="30">
        <f>SUM(F70:F71)</f>
        <v>12869</v>
      </c>
    </row>
    <row r="73" spans="1:8" ht="15.75" thickBot="1" x14ac:dyDescent="0.3">
      <c r="A73" s="180" t="s">
        <v>168</v>
      </c>
      <c r="B73" s="181"/>
      <c r="C73" s="181"/>
      <c r="D73" s="181"/>
      <c r="E73" s="182">
        <f>F62+F65+F68+F72</f>
        <v>28210</v>
      </c>
      <c r="F73" s="183"/>
      <c r="G73" s="59"/>
      <c r="H73" s="59"/>
    </row>
    <row r="74" spans="1:8" x14ac:dyDescent="0.25">
      <c r="A74" s="31"/>
      <c r="F74" s="32"/>
    </row>
    <row r="75" spans="1:8" ht="15.75" x14ac:dyDescent="0.25">
      <c r="A75" s="184" t="s">
        <v>136</v>
      </c>
      <c r="B75" s="185"/>
      <c r="C75" s="185"/>
      <c r="D75" s="185"/>
      <c r="E75" s="185"/>
      <c r="F75" s="186"/>
    </row>
    <row r="76" spans="1:8" x14ac:dyDescent="0.25">
      <c r="A76" s="174" t="str">
        <f>+'RESUMEN APUS'!B13</f>
        <v>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
      <c r="B76" s="175"/>
      <c r="C76" s="175"/>
      <c r="D76" s="176"/>
      <c r="E76" s="12" t="s">
        <v>137</v>
      </c>
      <c r="F76" s="13" t="s">
        <v>3</v>
      </c>
    </row>
    <row r="77" spans="1:8" ht="39.6" customHeight="1" x14ac:dyDescent="0.25">
      <c r="A77" s="177"/>
      <c r="B77" s="178"/>
      <c r="C77" s="178"/>
      <c r="D77" s="179"/>
      <c r="E77" s="14" t="s">
        <v>14</v>
      </c>
      <c r="F77" s="15" t="s">
        <v>138</v>
      </c>
    </row>
    <row r="78" spans="1:8" x14ac:dyDescent="0.25">
      <c r="A78" s="16" t="s">
        <v>139</v>
      </c>
      <c r="B78" s="17" t="s">
        <v>140</v>
      </c>
      <c r="C78" s="18" t="s">
        <v>3</v>
      </c>
      <c r="D78" s="18" t="s">
        <v>141</v>
      </c>
      <c r="E78" s="18" t="s">
        <v>142</v>
      </c>
      <c r="F78" s="19" t="s">
        <v>143</v>
      </c>
    </row>
    <row r="79" spans="1:8" ht="14.25" thickBot="1" x14ac:dyDescent="0.3">
      <c r="A79" s="20" t="s">
        <v>144</v>
      </c>
      <c r="B79" s="21" t="s">
        <v>145</v>
      </c>
      <c r="C79" s="22" t="s">
        <v>146</v>
      </c>
      <c r="D79" s="23">
        <v>4.3454E-2</v>
      </c>
      <c r="E79" s="24">
        <f>312364.759126667*1.1*$J$1</f>
        <v>388269.39559444704</v>
      </c>
      <c r="F79" s="25">
        <f>ROUND(D79*E79,0)</f>
        <v>16872</v>
      </c>
    </row>
    <row r="80" spans="1:8" ht="14.25" thickBot="1" x14ac:dyDescent="0.3">
      <c r="A80" s="26" t="s">
        <v>147</v>
      </c>
      <c r="B80" s="27"/>
      <c r="C80" s="28">
        <v>73.197069032009296</v>
      </c>
      <c r="D80" s="27"/>
      <c r="E80" s="29" t="s">
        <v>148</v>
      </c>
      <c r="F80" s="30">
        <f>SUM(F79)</f>
        <v>16872</v>
      </c>
    </row>
    <row r="81" spans="1:12" x14ac:dyDescent="0.25">
      <c r="A81" s="16" t="s">
        <v>139</v>
      </c>
      <c r="B81" s="17" t="s">
        <v>149</v>
      </c>
      <c r="C81" s="18" t="s">
        <v>3</v>
      </c>
      <c r="D81" s="18" t="s">
        <v>141</v>
      </c>
      <c r="E81" s="18" t="s">
        <v>142</v>
      </c>
      <c r="F81" s="19" t="s">
        <v>143</v>
      </c>
    </row>
    <row r="82" spans="1:12" ht="14.25" thickBot="1" x14ac:dyDescent="0.3">
      <c r="A82" s="20" t="s">
        <v>150</v>
      </c>
      <c r="B82" s="21" t="s">
        <v>151</v>
      </c>
      <c r="C82" s="22" t="s">
        <v>152</v>
      </c>
      <c r="D82" s="23">
        <v>0.05</v>
      </c>
      <c r="E82" s="24">
        <f>F80</f>
        <v>16872</v>
      </c>
      <c r="F82" s="25">
        <f>ROUND(D82*E82,0)</f>
        <v>844</v>
      </c>
    </row>
    <row r="83" spans="1:12" ht="14.25" thickBot="1" x14ac:dyDescent="0.3">
      <c r="A83" s="26" t="s">
        <v>153</v>
      </c>
      <c r="B83" s="27"/>
      <c r="C83" s="28">
        <v>3.6582006501019202</v>
      </c>
      <c r="D83" s="27"/>
      <c r="E83" s="29" t="s">
        <v>148</v>
      </c>
      <c r="F83" s="30">
        <f>SUM(F82)</f>
        <v>844</v>
      </c>
    </row>
    <row r="84" spans="1:12" x14ac:dyDescent="0.25">
      <c r="A84" s="16" t="s">
        <v>139</v>
      </c>
      <c r="B84" s="17" t="s">
        <v>154</v>
      </c>
      <c r="C84" s="18" t="s">
        <v>3</v>
      </c>
      <c r="D84" s="18" t="s">
        <v>141</v>
      </c>
      <c r="E84" s="18" t="s">
        <v>142</v>
      </c>
      <c r="F84" s="19" t="s">
        <v>143</v>
      </c>
    </row>
    <row r="85" spans="1:12" ht="27" x14ac:dyDescent="0.25">
      <c r="A85" s="20" t="s">
        <v>155</v>
      </c>
      <c r="B85" s="21" t="s">
        <v>156</v>
      </c>
      <c r="C85" s="22" t="s">
        <v>157</v>
      </c>
      <c r="D85" s="23">
        <v>0.08</v>
      </c>
      <c r="E85" s="24">
        <f>+E375</f>
        <v>5200</v>
      </c>
      <c r="F85" s="25">
        <f>ROUND(D85*E85,0)</f>
        <v>416</v>
      </c>
    </row>
    <row r="86" spans="1:12" ht="27.75" thickBot="1" x14ac:dyDescent="0.3">
      <c r="A86" s="20" t="s">
        <v>158</v>
      </c>
      <c r="B86" s="21" t="s">
        <v>159</v>
      </c>
      <c r="C86" s="22" t="s">
        <v>157</v>
      </c>
      <c r="D86" s="23">
        <v>0.27</v>
      </c>
      <c r="E86" s="24">
        <f>+E399</f>
        <v>4100</v>
      </c>
      <c r="F86" s="25">
        <f>ROUND(D86*E86,0)</f>
        <v>1107</v>
      </c>
    </row>
    <row r="87" spans="1:12" ht="14.25" thickBot="1" x14ac:dyDescent="0.3">
      <c r="A87" s="26" t="s">
        <v>160</v>
      </c>
      <c r="B87" s="27"/>
      <c r="C87" s="28">
        <v>2.5893890143793699</v>
      </c>
      <c r="D87" s="27"/>
      <c r="E87" s="29" t="s">
        <v>148</v>
      </c>
      <c r="F87" s="30">
        <f>SUM(F85:F86)</f>
        <v>1523</v>
      </c>
    </row>
    <row r="88" spans="1:12" x14ac:dyDescent="0.25">
      <c r="A88" s="16" t="s">
        <v>139</v>
      </c>
      <c r="B88" s="17" t="s">
        <v>161</v>
      </c>
      <c r="C88" s="18" t="s">
        <v>3</v>
      </c>
      <c r="D88" s="18" t="s">
        <v>141</v>
      </c>
      <c r="E88" s="18" t="s">
        <v>142</v>
      </c>
      <c r="F88" s="19" t="s">
        <v>143</v>
      </c>
    </row>
    <row r="89" spans="1:12" ht="27" x14ac:dyDescent="0.25">
      <c r="A89" s="20" t="s">
        <v>162</v>
      </c>
      <c r="B89" s="21" t="s">
        <v>163</v>
      </c>
      <c r="C89" s="22" t="s">
        <v>164</v>
      </c>
      <c r="D89" s="23">
        <v>4.3999999999999997E-2</v>
      </c>
      <c r="E89" s="24">
        <f>57458.778*1.052</f>
        <v>60446.634456</v>
      </c>
      <c r="F89" s="25">
        <f>ROUND(D89*E89,0)</f>
        <v>2660</v>
      </c>
    </row>
    <row r="90" spans="1:12" ht="14.25" thickBot="1" x14ac:dyDescent="0.3">
      <c r="A90" s="20" t="s">
        <v>165</v>
      </c>
      <c r="B90" s="21" t="s">
        <v>166</v>
      </c>
      <c r="C90" s="22" t="s">
        <v>164</v>
      </c>
      <c r="D90" s="23">
        <v>5.3499999999999999E-2</v>
      </c>
      <c r="E90" s="24">
        <v>17078.042999999998</v>
      </c>
      <c r="F90" s="25">
        <f>ROUND(D90*E90,0)</f>
        <v>914</v>
      </c>
    </row>
    <row r="91" spans="1:12" ht="14.25" thickBot="1" x14ac:dyDescent="0.3">
      <c r="A91" s="26"/>
      <c r="B91" s="27"/>
      <c r="C91" s="28"/>
      <c r="D91" s="27"/>
      <c r="E91" s="29" t="s">
        <v>148</v>
      </c>
      <c r="F91" s="30">
        <f>SUM(F89:F90)</f>
        <v>3574</v>
      </c>
    </row>
    <row r="92" spans="1:12" ht="15.75" thickBot="1" x14ac:dyDescent="0.3">
      <c r="A92" s="180" t="s">
        <v>168</v>
      </c>
      <c r="B92" s="181"/>
      <c r="C92" s="181"/>
      <c r="D92" s="181"/>
      <c r="E92" s="182">
        <f>F80+F83+F87+F91</f>
        <v>22813</v>
      </c>
      <c r="F92" s="183"/>
      <c r="G92" s="59"/>
      <c r="H92" s="59"/>
      <c r="I92"/>
      <c r="K92"/>
      <c r="L92"/>
    </row>
    <row r="93" spans="1:12" x14ac:dyDescent="0.25">
      <c r="A93" s="31"/>
      <c r="F93" s="32"/>
      <c r="G93"/>
      <c r="H93"/>
      <c r="I93"/>
      <c r="K93"/>
      <c r="L93"/>
    </row>
    <row r="94" spans="1:12" ht="15.75" x14ac:dyDescent="0.25">
      <c r="A94" s="184" t="s">
        <v>136</v>
      </c>
      <c r="B94" s="185"/>
      <c r="C94" s="185"/>
      <c r="D94" s="185"/>
      <c r="E94" s="185"/>
      <c r="F94" s="186"/>
      <c r="G94"/>
      <c r="H94"/>
      <c r="I94"/>
      <c r="K94"/>
      <c r="L94"/>
    </row>
    <row r="95" spans="1:12" x14ac:dyDescent="0.25">
      <c r="A95" s="174" t="str">
        <f>+'RESUMEN APUS'!B14</f>
        <v>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v>
      </c>
      <c r="B95" s="175"/>
      <c r="C95" s="175"/>
      <c r="D95" s="176"/>
      <c r="E95" s="12" t="s">
        <v>137</v>
      </c>
      <c r="F95" s="13" t="s">
        <v>3</v>
      </c>
      <c r="G95"/>
      <c r="H95"/>
      <c r="I95"/>
      <c r="K95"/>
      <c r="L95"/>
    </row>
    <row r="96" spans="1:12" ht="45" customHeight="1" x14ac:dyDescent="0.25">
      <c r="A96" s="177"/>
      <c r="B96" s="178"/>
      <c r="C96" s="178"/>
      <c r="D96" s="179"/>
      <c r="E96" s="14" t="s">
        <v>16</v>
      </c>
      <c r="F96" s="15" t="s">
        <v>138</v>
      </c>
      <c r="G96"/>
      <c r="H96"/>
      <c r="I96"/>
      <c r="K96"/>
      <c r="L96"/>
    </row>
    <row r="97" spans="1:12" x14ac:dyDescent="0.25">
      <c r="A97" s="16" t="s">
        <v>139</v>
      </c>
      <c r="B97" s="17" t="s">
        <v>172</v>
      </c>
      <c r="C97" s="18" t="s">
        <v>3</v>
      </c>
      <c r="D97" s="18" t="s">
        <v>141</v>
      </c>
      <c r="E97" s="18" t="s">
        <v>142</v>
      </c>
      <c r="F97" s="19" t="s">
        <v>143</v>
      </c>
      <c r="G97"/>
      <c r="H97"/>
      <c r="I97"/>
      <c r="K97"/>
      <c r="L97"/>
    </row>
    <row r="98" spans="1:12" ht="14.25" thickBot="1" x14ac:dyDescent="0.3">
      <c r="A98" s="20" t="s">
        <v>180</v>
      </c>
      <c r="B98" s="21" t="s">
        <v>181</v>
      </c>
      <c r="C98" s="22" t="s">
        <v>171</v>
      </c>
      <c r="D98" s="23">
        <v>2</v>
      </c>
      <c r="E98" s="24">
        <f>1350.7*1.052</f>
        <v>1420.9364</v>
      </c>
      <c r="F98" s="25">
        <f>ROUND(D98*E98,0)</f>
        <v>2842</v>
      </c>
      <c r="G98"/>
      <c r="H98"/>
      <c r="I98"/>
      <c r="K98"/>
      <c r="L98"/>
    </row>
    <row r="99" spans="1:12" ht="14.25" thickBot="1" x14ac:dyDescent="0.3">
      <c r="A99" s="26" t="s">
        <v>175</v>
      </c>
      <c r="B99" s="27"/>
      <c r="C99" s="47">
        <v>0.14787845606350944</v>
      </c>
      <c r="D99" s="27"/>
      <c r="E99" s="29" t="s">
        <v>148</v>
      </c>
      <c r="F99" s="30">
        <f>SUM(F98)</f>
        <v>2842</v>
      </c>
      <c r="G99"/>
      <c r="H99"/>
      <c r="I99"/>
      <c r="K99"/>
      <c r="L99"/>
    </row>
    <row r="100" spans="1:12" x14ac:dyDescent="0.25">
      <c r="A100" s="16" t="s">
        <v>139</v>
      </c>
      <c r="B100" s="17" t="s">
        <v>140</v>
      </c>
      <c r="C100" s="18" t="s">
        <v>3</v>
      </c>
      <c r="D100" s="18" t="s">
        <v>141</v>
      </c>
      <c r="E100" s="18" t="s">
        <v>142</v>
      </c>
      <c r="F100" s="19" t="s">
        <v>143</v>
      </c>
      <c r="G100"/>
      <c r="H100"/>
      <c r="I100"/>
      <c r="K100"/>
      <c r="L100"/>
    </row>
    <row r="101" spans="1:12" ht="14.25" thickBot="1" x14ac:dyDescent="0.3">
      <c r="A101" s="20" t="s">
        <v>176</v>
      </c>
      <c r="B101" s="21" t="s">
        <v>177</v>
      </c>
      <c r="C101" s="22" t="s">
        <v>146</v>
      </c>
      <c r="D101" s="23">
        <v>8.7278466880101019E-2</v>
      </c>
      <c r="E101" s="24">
        <f>80365.8349622223*1.1*$J$1</f>
        <v>99894.732858042335</v>
      </c>
      <c r="F101" s="25">
        <f>ROUND(D101*E101,0)</f>
        <v>8719</v>
      </c>
      <c r="G101"/>
      <c r="H101"/>
      <c r="I101"/>
      <c r="K101"/>
      <c r="L101"/>
    </row>
    <row r="102" spans="1:12" ht="14.25" thickBot="1" x14ac:dyDescent="0.3">
      <c r="A102" s="26" t="s">
        <v>147</v>
      </c>
      <c r="B102" s="27"/>
      <c r="C102" s="47">
        <v>0.384013139885026</v>
      </c>
      <c r="D102" s="27"/>
      <c r="E102" s="29" t="s">
        <v>148</v>
      </c>
      <c r="F102" s="30">
        <f>SUM(F101)</f>
        <v>8719</v>
      </c>
      <c r="G102"/>
      <c r="H102"/>
      <c r="I102"/>
      <c r="K102"/>
      <c r="L102"/>
    </row>
    <row r="103" spans="1:12" x14ac:dyDescent="0.25">
      <c r="A103" s="16" t="s">
        <v>139</v>
      </c>
      <c r="B103" s="17" t="s">
        <v>149</v>
      </c>
      <c r="C103" s="18" t="s">
        <v>3</v>
      </c>
      <c r="D103" s="18" t="s">
        <v>141</v>
      </c>
      <c r="E103" s="18" t="s">
        <v>142</v>
      </c>
      <c r="F103" s="19" t="s">
        <v>143</v>
      </c>
      <c r="G103"/>
      <c r="H103"/>
      <c r="I103"/>
      <c r="K103"/>
      <c r="L103"/>
    </row>
    <row r="104" spans="1:12" ht="14.25" thickBot="1" x14ac:dyDescent="0.3">
      <c r="A104" s="20" t="s">
        <v>150</v>
      </c>
      <c r="B104" s="21" t="s">
        <v>151</v>
      </c>
      <c r="C104" s="22" t="s">
        <v>152</v>
      </c>
      <c r="D104" s="23">
        <v>0.05</v>
      </c>
      <c r="E104" s="24">
        <f>F102</f>
        <v>8719</v>
      </c>
      <c r="F104" s="25">
        <f>ROUND(D104*E104,0)</f>
        <v>436</v>
      </c>
      <c r="G104"/>
      <c r="H104"/>
      <c r="I104"/>
      <c r="K104"/>
      <c r="L104"/>
    </row>
    <row r="105" spans="1:12" ht="14.25" thickBot="1" x14ac:dyDescent="0.3">
      <c r="A105" s="26" t="s">
        <v>153</v>
      </c>
      <c r="B105" s="27"/>
      <c r="C105" s="47">
        <v>1.7246099096632904E-2</v>
      </c>
      <c r="D105" s="27"/>
      <c r="E105" s="29" t="s">
        <v>148</v>
      </c>
      <c r="F105" s="30">
        <f>SUM(F104)</f>
        <v>436</v>
      </c>
      <c r="G105"/>
      <c r="H105"/>
      <c r="I105"/>
      <c r="K105"/>
      <c r="L105"/>
    </row>
    <row r="106" spans="1:12" x14ac:dyDescent="0.25">
      <c r="A106" s="16" t="s">
        <v>139</v>
      </c>
      <c r="B106" s="17" t="s">
        <v>161</v>
      </c>
      <c r="C106" s="18" t="s">
        <v>3</v>
      </c>
      <c r="D106" s="18" t="s">
        <v>141</v>
      </c>
      <c r="E106" s="18" t="s">
        <v>142</v>
      </c>
      <c r="F106" s="19" t="s">
        <v>143</v>
      </c>
      <c r="G106"/>
      <c r="H106"/>
      <c r="I106"/>
      <c r="K106"/>
      <c r="L106"/>
    </row>
    <row r="107" spans="1:12" ht="27" x14ac:dyDescent="0.25">
      <c r="A107" s="20" t="s">
        <v>162</v>
      </c>
      <c r="B107" s="21" t="s">
        <v>163</v>
      </c>
      <c r="C107" s="22" t="s">
        <v>138</v>
      </c>
      <c r="D107" s="23">
        <v>0.11</v>
      </c>
      <c r="E107" s="24">
        <f>57458.778*1.052</f>
        <v>60446.634456</v>
      </c>
      <c r="F107" s="25">
        <f>ROUND(D107*E107,0)</f>
        <v>6649</v>
      </c>
      <c r="G107"/>
      <c r="H107"/>
      <c r="I107"/>
      <c r="K107"/>
      <c r="L107"/>
    </row>
    <row r="108" spans="1:12" ht="14.25" thickBot="1" x14ac:dyDescent="0.3">
      <c r="A108" s="20" t="s">
        <v>165</v>
      </c>
      <c r="B108" s="21" t="s">
        <v>166</v>
      </c>
      <c r="C108" s="22" t="s">
        <v>138</v>
      </c>
      <c r="D108" s="23">
        <v>0.11</v>
      </c>
      <c r="E108" s="24">
        <v>17078.042999999998</v>
      </c>
      <c r="F108" s="25">
        <f>ROUND(D108*E108,0)</f>
        <v>1879</v>
      </c>
      <c r="G108"/>
      <c r="H108"/>
      <c r="I108"/>
      <c r="K108"/>
      <c r="L108"/>
    </row>
    <row r="109" spans="1:12" ht="14.25" thickBot="1" x14ac:dyDescent="0.3">
      <c r="A109" s="26"/>
      <c r="B109" s="27"/>
      <c r="C109" s="47"/>
      <c r="D109" s="27"/>
      <c r="E109" s="29" t="s">
        <v>148</v>
      </c>
      <c r="F109" s="30">
        <f>SUM(F107:F108)</f>
        <v>8528</v>
      </c>
      <c r="G109"/>
      <c r="H109"/>
      <c r="I109"/>
      <c r="K109"/>
      <c r="L109"/>
    </row>
    <row r="110" spans="1:12" ht="15.75" thickBot="1" x14ac:dyDescent="0.3">
      <c r="A110" s="180" t="s">
        <v>168</v>
      </c>
      <c r="B110" s="181"/>
      <c r="C110" s="181"/>
      <c r="D110" s="181"/>
      <c r="E110" s="182">
        <f>F102+F105+F109+F98</f>
        <v>20525</v>
      </c>
      <c r="F110" s="183"/>
      <c r="G110" s="59"/>
      <c r="H110" s="59"/>
      <c r="I110"/>
      <c r="K110"/>
      <c r="L110"/>
    </row>
    <row r="111" spans="1:12" x14ac:dyDescent="0.25">
      <c r="A111" s="31"/>
      <c r="F111" s="32"/>
      <c r="G111"/>
      <c r="H111"/>
      <c r="I111"/>
      <c r="K111"/>
      <c r="L111"/>
    </row>
    <row r="112" spans="1:12" x14ac:dyDescent="0.25">
      <c r="A112" s="31"/>
      <c r="F112" s="32"/>
      <c r="G112"/>
      <c r="H112"/>
      <c r="I112"/>
      <c r="K112"/>
      <c r="L112"/>
    </row>
    <row r="113" spans="1:12" ht="15.75" x14ac:dyDescent="0.25">
      <c r="A113" s="184" t="s">
        <v>136</v>
      </c>
      <c r="B113" s="185"/>
      <c r="C113" s="185"/>
      <c r="D113" s="185"/>
      <c r="E113" s="185"/>
      <c r="F113" s="186"/>
      <c r="G113"/>
      <c r="H113"/>
      <c r="I113"/>
      <c r="K113"/>
      <c r="L113"/>
    </row>
    <row r="114" spans="1:12" x14ac:dyDescent="0.25">
      <c r="A114" s="174" t="str">
        <f>+'RESUMEN APUS'!B15</f>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B114" s="175"/>
      <c r="C114" s="175"/>
      <c r="D114" s="176"/>
      <c r="E114" s="12" t="s">
        <v>137</v>
      </c>
      <c r="F114" s="13" t="s">
        <v>3</v>
      </c>
    </row>
    <row r="115" spans="1:12" ht="66.75" customHeight="1" x14ac:dyDescent="0.25">
      <c r="A115" s="177"/>
      <c r="B115" s="178"/>
      <c r="C115" s="178"/>
      <c r="D115" s="179"/>
      <c r="E115" s="14" t="s">
        <v>18</v>
      </c>
      <c r="F115" s="15" t="s">
        <v>164</v>
      </c>
    </row>
    <row r="116" spans="1:12" x14ac:dyDescent="0.25">
      <c r="A116" s="16" t="s">
        <v>139</v>
      </c>
      <c r="B116" s="17" t="s">
        <v>140</v>
      </c>
      <c r="C116" s="18" t="s">
        <v>3</v>
      </c>
      <c r="D116" s="18" t="s">
        <v>141</v>
      </c>
      <c r="E116" s="18" t="s">
        <v>142</v>
      </c>
      <c r="F116" s="19" t="s">
        <v>143</v>
      </c>
    </row>
    <row r="117" spans="1:12" ht="14.25" thickBot="1" x14ac:dyDescent="0.3">
      <c r="A117" s="20" t="s">
        <v>144</v>
      </c>
      <c r="B117" s="21" t="s">
        <v>145</v>
      </c>
      <c r="C117" s="22" t="s">
        <v>146</v>
      </c>
      <c r="D117" s="23">
        <v>0.40500000000000003</v>
      </c>
      <c r="E117" s="24">
        <f>312364.759126667*1.1*$J$1</f>
        <v>388269.39559444704</v>
      </c>
      <c r="F117" s="33">
        <f>ROUND(D117*E117,0)</f>
        <v>157249</v>
      </c>
      <c r="G117" s="127"/>
      <c r="H117" s="127"/>
      <c r="I117" s="127"/>
    </row>
    <row r="118" spans="1:12" ht="14.25" thickBot="1" x14ac:dyDescent="0.3">
      <c r="A118" s="26" t="s">
        <v>147</v>
      </c>
      <c r="B118" s="27"/>
      <c r="C118" s="28">
        <v>48.869087858475098</v>
      </c>
      <c r="D118" s="27"/>
      <c r="E118" s="29" t="s">
        <v>148</v>
      </c>
      <c r="F118" s="30">
        <f>SUM(F117)</f>
        <v>157249</v>
      </c>
    </row>
    <row r="119" spans="1:12" x14ac:dyDescent="0.25">
      <c r="A119" s="16" t="s">
        <v>139</v>
      </c>
      <c r="B119" s="17" t="s">
        <v>149</v>
      </c>
      <c r="C119" s="18" t="s">
        <v>3</v>
      </c>
      <c r="D119" s="18" t="s">
        <v>141</v>
      </c>
      <c r="E119" s="18" t="s">
        <v>142</v>
      </c>
      <c r="F119" s="19" t="s">
        <v>143</v>
      </c>
    </row>
    <row r="120" spans="1:12" ht="14.25" thickBot="1" x14ac:dyDescent="0.3">
      <c r="A120" s="20" t="s">
        <v>150</v>
      </c>
      <c r="B120" s="21" t="s">
        <v>151</v>
      </c>
      <c r="C120" s="22" t="s">
        <v>152</v>
      </c>
      <c r="D120" s="23">
        <v>0.05</v>
      </c>
      <c r="E120" s="24">
        <f>F118</f>
        <v>157249</v>
      </c>
      <c r="F120" s="25">
        <f>ROUND(D120*E120,0)</f>
        <v>7862</v>
      </c>
    </row>
    <row r="121" spans="1:12" ht="14.25" thickBot="1" x14ac:dyDescent="0.3">
      <c r="A121" s="26" t="s">
        <v>153</v>
      </c>
      <c r="B121" s="27"/>
      <c r="C121" s="28">
        <v>2.4434543929237602</v>
      </c>
      <c r="D121" s="27"/>
      <c r="E121" s="29" t="s">
        <v>148</v>
      </c>
      <c r="F121" s="30">
        <f>SUM(F120)</f>
        <v>7862</v>
      </c>
    </row>
    <row r="122" spans="1:12" x14ac:dyDescent="0.25">
      <c r="A122" s="16" t="s">
        <v>139</v>
      </c>
      <c r="B122" s="17" t="s">
        <v>154</v>
      </c>
      <c r="C122" s="18" t="s">
        <v>3</v>
      </c>
      <c r="D122" s="18" t="s">
        <v>141</v>
      </c>
      <c r="E122" s="18" t="s">
        <v>142</v>
      </c>
      <c r="F122" s="19" t="s">
        <v>143</v>
      </c>
    </row>
    <row r="123" spans="1:12" ht="27" x14ac:dyDescent="0.25">
      <c r="A123" s="20" t="s">
        <v>178</v>
      </c>
      <c r="B123" s="21" t="s">
        <v>179</v>
      </c>
      <c r="C123" s="22" t="s">
        <v>134</v>
      </c>
      <c r="D123" s="23">
        <v>0.13300999999999999</v>
      </c>
      <c r="E123" s="24">
        <f>+E67</f>
        <v>82582</v>
      </c>
      <c r="F123" s="25">
        <f>ROUND(D123*E123,0)</f>
        <v>10984</v>
      </c>
    </row>
    <row r="124" spans="1:12" ht="14.25" thickBot="1" x14ac:dyDescent="0.3">
      <c r="A124" s="20" t="s">
        <v>182</v>
      </c>
      <c r="B124" s="21" t="s">
        <v>183</v>
      </c>
      <c r="C124" s="22" t="s">
        <v>157</v>
      </c>
      <c r="D124" s="23">
        <v>0.27</v>
      </c>
      <c r="E124" s="24">
        <f>30495*1.039</f>
        <v>31684.304999999997</v>
      </c>
      <c r="F124" s="25">
        <f>ROUND(D124*E124,0)</f>
        <v>8555</v>
      </c>
    </row>
    <row r="125" spans="1:12" ht="14.25" thickBot="1" x14ac:dyDescent="0.3">
      <c r="A125" s="26" t="s">
        <v>160</v>
      </c>
      <c r="B125" s="27"/>
      <c r="C125" s="28">
        <v>7.7860674230515503</v>
      </c>
      <c r="D125" s="27"/>
      <c r="E125" s="29" t="s">
        <v>148</v>
      </c>
      <c r="F125" s="30">
        <f>SUM(F123:F124)</f>
        <v>19539</v>
      </c>
    </row>
    <row r="126" spans="1:12" x14ac:dyDescent="0.25">
      <c r="A126" s="16" t="s">
        <v>139</v>
      </c>
      <c r="B126" s="17" t="s">
        <v>161</v>
      </c>
      <c r="C126" s="18" t="s">
        <v>3</v>
      </c>
      <c r="D126" s="18" t="s">
        <v>141</v>
      </c>
      <c r="E126" s="18" t="s">
        <v>142</v>
      </c>
      <c r="F126" s="19" t="s">
        <v>143</v>
      </c>
    </row>
    <row r="127" spans="1:12" ht="27" x14ac:dyDescent="0.25">
      <c r="A127" s="20" t="s">
        <v>162</v>
      </c>
      <c r="B127" s="21" t="s">
        <v>163</v>
      </c>
      <c r="C127" s="22" t="s">
        <v>164</v>
      </c>
      <c r="D127" s="23">
        <v>1.4025000000000001</v>
      </c>
      <c r="E127" s="24">
        <f>57458.778*1.052</f>
        <v>60446.634456</v>
      </c>
      <c r="F127" s="25">
        <f>ROUND(D127*E127,0)</f>
        <v>84776</v>
      </c>
    </row>
    <row r="128" spans="1:12" ht="14.25" thickBot="1" x14ac:dyDescent="0.3">
      <c r="A128" s="20" t="s">
        <v>165</v>
      </c>
      <c r="B128" s="21" t="s">
        <v>166</v>
      </c>
      <c r="C128" s="22" t="s">
        <v>164</v>
      </c>
      <c r="D128" s="23">
        <v>1.4025000000000001</v>
      </c>
      <c r="E128" s="24">
        <v>17078.042999999998</v>
      </c>
      <c r="F128" s="25">
        <f>ROUND(D128*E128,0)</f>
        <v>23952</v>
      </c>
    </row>
    <row r="129" spans="1:9" ht="14.25" thickBot="1" x14ac:dyDescent="0.3">
      <c r="A129" s="26"/>
      <c r="B129" s="27"/>
      <c r="C129" s="28"/>
      <c r="D129" s="27"/>
      <c r="E129" s="29" t="s">
        <v>148</v>
      </c>
      <c r="F129" s="30">
        <f>SUM(F127:F128)</f>
        <v>108728</v>
      </c>
    </row>
    <row r="130" spans="1:9" ht="15.75" thickBot="1" x14ac:dyDescent="0.3">
      <c r="A130" s="180" t="s">
        <v>168</v>
      </c>
      <c r="B130" s="181"/>
      <c r="C130" s="181"/>
      <c r="D130" s="181"/>
      <c r="E130" s="182">
        <f>F118+F121+F125+F129</f>
        <v>293378</v>
      </c>
      <c r="F130" s="183"/>
      <c r="G130" s="59"/>
      <c r="H130" s="59"/>
    </row>
    <row r="131" spans="1:9" x14ac:dyDescent="0.25">
      <c r="A131" s="31"/>
      <c r="F131" s="32"/>
    </row>
    <row r="132" spans="1:9" ht="15.75" x14ac:dyDescent="0.25">
      <c r="A132" s="184" t="s">
        <v>136</v>
      </c>
      <c r="B132" s="185"/>
      <c r="C132" s="185"/>
      <c r="D132" s="185"/>
      <c r="E132" s="185"/>
      <c r="F132" s="186"/>
    </row>
    <row r="133" spans="1:9" x14ac:dyDescent="0.25">
      <c r="A133" s="174" t="str">
        <f>+'RESUMEN APUS'!B16</f>
        <v>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v>
      </c>
      <c r="B133" s="175"/>
      <c r="C133" s="175"/>
      <c r="D133" s="176"/>
      <c r="E133" s="12" t="s">
        <v>137</v>
      </c>
      <c r="F133" s="13" t="s">
        <v>3</v>
      </c>
    </row>
    <row r="134" spans="1:9" ht="55.5" customHeight="1" x14ac:dyDescent="0.25">
      <c r="A134" s="177"/>
      <c r="B134" s="178"/>
      <c r="C134" s="178"/>
      <c r="D134" s="179"/>
      <c r="E134" s="14" t="s">
        <v>20</v>
      </c>
      <c r="F134" s="15" t="s">
        <v>171</v>
      </c>
    </row>
    <row r="135" spans="1:9" x14ac:dyDescent="0.25">
      <c r="A135" s="16" t="s">
        <v>139</v>
      </c>
      <c r="B135" s="17" t="s">
        <v>140</v>
      </c>
      <c r="C135" s="18" t="s">
        <v>3</v>
      </c>
      <c r="D135" s="18" t="s">
        <v>141</v>
      </c>
      <c r="E135" s="18" t="s">
        <v>142</v>
      </c>
      <c r="F135" s="19" t="s">
        <v>143</v>
      </c>
    </row>
    <row r="136" spans="1:9" ht="14.25" thickBot="1" x14ac:dyDescent="0.3">
      <c r="A136" s="20" t="s">
        <v>169</v>
      </c>
      <c r="B136" s="21" t="s">
        <v>170</v>
      </c>
      <c r="C136" s="22" t="s">
        <v>146</v>
      </c>
      <c r="D136" s="23">
        <v>8.4000000000000005E-2</v>
      </c>
      <c r="E136" s="24">
        <f>262477.681158667*1.1*$J$1</f>
        <v>326259.75768022315</v>
      </c>
      <c r="F136" s="33">
        <f>ROUND(D136*E136,0)</f>
        <v>27406</v>
      </c>
      <c r="G136" s="127"/>
      <c r="H136" s="127"/>
      <c r="I136" s="127"/>
    </row>
    <row r="137" spans="1:9" ht="14.25" thickBot="1" x14ac:dyDescent="0.3">
      <c r="A137" s="26" t="s">
        <v>147</v>
      </c>
      <c r="B137" s="27"/>
      <c r="C137" s="28">
        <v>51.693251872943897</v>
      </c>
      <c r="D137" s="27"/>
      <c r="E137" s="29" t="s">
        <v>148</v>
      </c>
      <c r="F137" s="30">
        <f>SUM(F136)</f>
        <v>27406</v>
      </c>
    </row>
    <row r="138" spans="1:9" x14ac:dyDescent="0.25">
      <c r="A138" s="16" t="s">
        <v>139</v>
      </c>
      <c r="B138" s="17" t="s">
        <v>149</v>
      </c>
      <c r="C138" s="18" t="s">
        <v>3</v>
      </c>
      <c r="D138" s="18" t="s">
        <v>141</v>
      </c>
      <c r="E138" s="18" t="s">
        <v>142</v>
      </c>
      <c r="F138" s="19" t="s">
        <v>143</v>
      </c>
    </row>
    <row r="139" spans="1:9" ht="14.25" thickBot="1" x14ac:dyDescent="0.3">
      <c r="A139" s="20" t="s">
        <v>150</v>
      </c>
      <c r="B139" s="21" t="s">
        <v>151</v>
      </c>
      <c r="C139" s="22" t="s">
        <v>152</v>
      </c>
      <c r="D139" s="23">
        <v>0.05</v>
      </c>
      <c r="E139" s="24">
        <f>F137</f>
        <v>27406</v>
      </c>
      <c r="F139" s="25">
        <f>ROUND(D139*E139,0)</f>
        <v>1370</v>
      </c>
    </row>
    <row r="140" spans="1:9" ht="14.25" thickBot="1" x14ac:dyDescent="0.3">
      <c r="A140" s="26" t="s">
        <v>153</v>
      </c>
      <c r="B140" s="27"/>
      <c r="C140" s="28">
        <v>2.5848008182898798</v>
      </c>
      <c r="D140" s="27"/>
      <c r="E140" s="29" t="s">
        <v>148</v>
      </c>
      <c r="F140" s="30">
        <f>SUM(F139)</f>
        <v>1370</v>
      </c>
    </row>
    <row r="141" spans="1:9" x14ac:dyDescent="0.25">
      <c r="A141" s="16" t="s">
        <v>139</v>
      </c>
      <c r="B141" s="17" t="s">
        <v>161</v>
      </c>
      <c r="C141" s="18" t="s">
        <v>3</v>
      </c>
      <c r="D141" s="18" t="s">
        <v>141</v>
      </c>
      <c r="E141" s="18" t="s">
        <v>142</v>
      </c>
      <c r="F141" s="19" t="s">
        <v>143</v>
      </c>
    </row>
    <row r="142" spans="1:9" ht="27" x14ac:dyDescent="0.25">
      <c r="A142" s="20" t="s">
        <v>162</v>
      </c>
      <c r="B142" s="21" t="s">
        <v>163</v>
      </c>
      <c r="C142" s="22" t="s">
        <v>164</v>
      </c>
      <c r="D142" s="23">
        <v>0.25062000000000001</v>
      </c>
      <c r="E142" s="24">
        <f>57458.778*1.052</f>
        <v>60446.634456</v>
      </c>
      <c r="F142" s="25">
        <f>ROUND(D142*E142,0)</f>
        <v>15149</v>
      </c>
    </row>
    <row r="143" spans="1:9" ht="14.25" thickBot="1" x14ac:dyDescent="0.3">
      <c r="A143" s="20" t="s">
        <v>184</v>
      </c>
      <c r="B143" s="21" t="s">
        <v>185</v>
      </c>
      <c r="C143" s="22" t="s">
        <v>171</v>
      </c>
      <c r="D143" s="23">
        <v>0.90600000000000003</v>
      </c>
      <c r="E143" s="24">
        <f>2140*1.039</f>
        <v>2223.46</v>
      </c>
      <c r="F143" s="25">
        <f>ROUND(D143*E143,0)</f>
        <v>2014</v>
      </c>
    </row>
    <row r="144" spans="1:9" ht="14.25" thickBot="1" x14ac:dyDescent="0.3">
      <c r="A144" s="26"/>
      <c r="B144" s="27"/>
      <c r="C144" s="28"/>
      <c r="D144" s="27"/>
      <c r="E144" s="29" t="s">
        <v>148</v>
      </c>
      <c r="F144" s="30">
        <f>SUM(F142:F143)</f>
        <v>17163</v>
      </c>
    </row>
    <row r="145" spans="1:8" ht="15.75" thickBot="1" x14ac:dyDescent="0.3">
      <c r="A145" s="180" t="s">
        <v>168</v>
      </c>
      <c r="B145" s="181"/>
      <c r="C145" s="181"/>
      <c r="D145" s="181"/>
      <c r="E145" s="182">
        <f>SUM(F137+F140+F144)</f>
        <v>45939</v>
      </c>
      <c r="F145" s="183"/>
      <c r="G145" s="59"/>
      <c r="H145" s="59"/>
    </row>
    <row r="146" spans="1:8" x14ac:dyDescent="0.25">
      <c r="A146" s="31"/>
      <c r="F146" s="32"/>
    </row>
    <row r="147" spans="1:8" ht="15.75" x14ac:dyDescent="0.25">
      <c r="A147" s="184" t="s">
        <v>136</v>
      </c>
      <c r="B147" s="185"/>
      <c r="C147" s="185"/>
      <c r="D147" s="185"/>
      <c r="E147" s="185"/>
      <c r="F147" s="186"/>
    </row>
    <row r="148" spans="1:8" x14ac:dyDescent="0.25">
      <c r="A148" s="174" t="str">
        <f>+'RESUMEN APUS'!B17</f>
        <v>DEMOLICIÓN DE REVOQUE, espesores entre 0.02 y 0.03 m. Incluye cargue, transporte y botada de escombros en botaderos oficiales, transporte hasta el sitio que lo indique la interventoría.</v>
      </c>
      <c r="B148" s="175"/>
      <c r="C148" s="175"/>
      <c r="D148" s="176"/>
      <c r="E148" s="12" t="s">
        <v>137</v>
      </c>
      <c r="F148" s="13" t="s">
        <v>3</v>
      </c>
    </row>
    <row r="149" spans="1:8" x14ac:dyDescent="0.25">
      <c r="A149" s="177"/>
      <c r="B149" s="178"/>
      <c r="C149" s="178"/>
      <c r="D149" s="179"/>
      <c r="E149" s="14" t="s">
        <v>22</v>
      </c>
      <c r="F149" s="15" t="s">
        <v>138</v>
      </c>
    </row>
    <row r="150" spans="1:8" x14ac:dyDescent="0.25">
      <c r="A150" s="16" t="s">
        <v>139</v>
      </c>
      <c r="B150" s="17" t="s">
        <v>172</v>
      </c>
      <c r="C150" s="18" t="s">
        <v>3</v>
      </c>
      <c r="D150" s="18" t="s">
        <v>141</v>
      </c>
      <c r="E150" s="18" t="s">
        <v>142</v>
      </c>
      <c r="F150" s="19" t="s">
        <v>143</v>
      </c>
    </row>
    <row r="151" spans="1:8" ht="14.25" thickBot="1" x14ac:dyDescent="0.3">
      <c r="A151" s="20" t="s">
        <v>180</v>
      </c>
      <c r="B151" s="21" t="s">
        <v>181</v>
      </c>
      <c r="C151" s="22" t="s">
        <v>171</v>
      </c>
      <c r="D151" s="23">
        <v>0.77500000000000002</v>
      </c>
      <c r="E151" s="24">
        <f>(1300*1.039)*1.052</f>
        <v>1420.9363999999998</v>
      </c>
      <c r="F151" s="25">
        <f>ROUND(D151*E151,0)</f>
        <v>1101</v>
      </c>
    </row>
    <row r="152" spans="1:8" ht="14.25" thickBot="1" x14ac:dyDescent="0.3">
      <c r="A152" s="26" t="s">
        <v>175</v>
      </c>
      <c r="B152" s="27"/>
      <c r="C152" s="28">
        <v>4.5952633439377903</v>
      </c>
      <c r="D152" s="27"/>
      <c r="E152" s="29" t="s">
        <v>148</v>
      </c>
      <c r="F152" s="30">
        <f>SUM(F151)</f>
        <v>1101</v>
      </c>
    </row>
    <row r="153" spans="1:8" x14ac:dyDescent="0.25">
      <c r="A153" s="16" t="s">
        <v>139</v>
      </c>
      <c r="B153" s="17" t="s">
        <v>140</v>
      </c>
      <c r="C153" s="18" t="s">
        <v>3</v>
      </c>
      <c r="D153" s="18" t="s">
        <v>141</v>
      </c>
      <c r="E153" s="18" t="s">
        <v>142</v>
      </c>
      <c r="F153" s="19" t="s">
        <v>143</v>
      </c>
    </row>
    <row r="154" spans="1:8" ht="14.25" thickBot="1" x14ac:dyDescent="0.3">
      <c r="A154" s="20" t="s">
        <v>176</v>
      </c>
      <c r="B154" s="21" t="s">
        <v>177</v>
      </c>
      <c r="C154" s="22" t="s">
        <v>146</v>
      </c>
      <c r="D154" s="23">
        <v>8.8010000000000005E-2</v>
      </c>
      <c r="E154" s="24">
        <f>100000*1.1*$J$1</f>
        <v>124300</v>
      </c>
      <c r="F154" s="25">
        <f>ROUND(D154*E154,0)</f>
        <v>10940</v>
      </c>
    </row>
    <row r="155" spans="1:8" ht="14.25" thickBot="1" x14ac:dyDescent="0.3">
      <c r="A155" s="26" t="s">
        <v>147</v>
      </c>
      <c r="B155" s="27"/>
      <c r="C155" s="28">
        <v>69.494521032166801</v>
      </c>
      <c r="D155" s="27"/>
      <c r="E155" s="29" t="s">
        <v>148</v>
      </c>
      <c r="F155" s="30">
        <f>SUM(F154)</f>
        <v>10940</v>
      </c>
    </row>
    <row r="156" spans="1:8" x14ac:dyDescent="0.25">
      <c r="A156" s="16" t="s">
        <v>139</v>
      </c>
      <c r="B156" s="17" t="s">
        <v>149</v>
      </c>
      <c r="C156" s="18" t="s">
        <v>3</v>
      </c>
      <c r="D156" s="18" t="s">
        <v>141</v>
      </c>
      <c r="E156" s="18" t="s">
        <v>142</v>
      </c>
      <c r="F156" s="19" t="s">
        <v>143</v>
      </c>
    </row>
    <row r="157" spans="1:8" ht="14.25" thickBot="1" x14ac:dyDescent="0.3">
      <c r="A157" s="20" t="s">
        <v>150</v>
      </c>
      <c r="B157" s="21" t="s">
        <v>151</v>
      </c>
      <c r="C157" s="22" t="s">
        <v>152</v>
      </c>
      <c r="D157" s="23">
        <v>0.05</v>
      </c>
      <c r="E157" s="24">
        <f>F155</f>
        <v>10940</v>
      </c>
      <c r="F157" s="25">
        <f>ROUND(D157*E157,0)</f>
        <v>547</v>
      </c>
    </row>
    <row r="158" spans="1:8" ht="14.25" thickBot="1" x14ac:dyDescent="0.3">
      <c r="A158" s="26" t="s">
        <v>153</v>
      </c>
      <c r="B158" s="27"/>
      <c r="C158" s="28">
        <v>3.47826086956522</v>
      </c>
      <c r="D158" s="27"/>
      <c r="E158" s="29" t="s">
        <v>148</v>
      </c>
      <c r="F158" s="30">
        <f>SUM(F157)</f>
        <v>547</v>
      </c>
    </row>
    <row r="159" spans="1:8" x14ac:dyDescent="0.25">
      <c r="A159" s="16" t="s">
        <v>139</v>
      </c>
      <c r="B159" s="17" t="s">
        <v>161</v>
      </c>
      <c r="C159" s="18" t="s">
        <v>3</v>
      </c>
      <c r="D159" s="18" t="s">
        <v>141</v>
      </c>
      <c r="E159" s="18" t="s">
        <v>142</v>
      </c>
      <c r="F159" s="19" t="s">
        <v>143</v>
      </c>
    </row>
    <row r="160" spans="1:8" ht="27" x14ac:dyDescent="0.25">
      <c r="A160" s="20" t="s">
        <v>162</v>
      </c>
      <c r="B160" s="21" t="s">
        <v>163</v>
      </c>
      <c r="C160" s="22" t="s">
        <v>164</v>
      </c>
      <c r="D160" s="23">
        <v>5.3999999999999999E-2</v>
      </c>
      <c r="E160" s="24">
        <f>57458.778*1.052</f>
        <v>60446.634456</v>
      </c>
      <c r="F160" s="25">
        <f>ROUND(D160*E160,0)</f>
        <v>3264</v>
      </c>
    </row>
    <row r="161" spans="1:11" ht="14.25" thickBot="1" x14ac:dyDescent="0.3">
      <c r="A161" s="20" t="s">
        <v>184</v>
      </c>
      <c r="B161" s="21" t="s">
        <v>185</v>
      </c>
      <c r="C161" s="22" t="s">
        <v>529</v>
      </c>
      <c r="D161" s="23">
        <v>5.3999999999999999E-2</v>
      </c>
      <c r="E161" s="24">
        <v>32000</v>
      </c>
      <c r="F161" s="25">
        <f>ROUND(D161*E161,0)</f>
        <v>1728</v>
      </c>
    </row>
    <row r="162" spans="1:11" ht="14.25" thickBot="1" x14ac:dyDescent="0.3">
      <c r="A162" s="26"/>
      <c r="B162" s="27"/>
      <c r="C162" s="28"/>
      <c r="D162" s="27"/>
      <c r="E162" s="29" t="s">
        <v>148</v>
      </c>
      <c r="F162" s="30">
        <f>SUM(F160:F161)</f>
        <v>4992</v>
      </c>
    </row>
    <row r="163" spans="1:11" ht="15.75" thickBot="1" x14ac:dyDescent="0.3">
      <c r="A163" s="180" t="s">
        <v>168</v>
      </c>
      <c r="B163" s="181"/>
      <c r="C163" s="181"/>
      <c r="D163" s="181"/>
      <c r="E163" s="182">
        <f>+F152+F155+F158+F162</f>
        <v>17580</v>
      </c>
      <c r="F163" s="183"/>
      <c r="G163" s="59"/>
      <c r="H163" s="59"/>
      <c r="I163"/>
      <c r="K163"/>
    </row>
    <row r="164" spans="1:11" x14ac:dyDescent="0.25">
      <c r="A164" s="31"/>
      <c r="F164" s="32"/>
      <c r="G164"/>
      <c r="H164"/>
      <c r="I164"/>
      <c r="K164"/>
    </row>
    <row r="165" spans="1:11" x14ac:dyDescent="0.25">
      <c r="A165" s="31"/>
      <c r="G165"/>
      <c r="H165"/>
      <c r="I165"/>
      <c r="K165"/>
    </row>
    <row r="166" spans="1:11" ht="15.75" x14ac:dyDescent="0.25">
      <c r="A166" s="184" t="s">
        <v>136</v>
      </c>
      <c r="B166" s="185"/>
      <c r="C166" s="185"/>
      <c r="D166" s="185"/>
      <c r="E166" s="185"/>
      <c r="F166" s="186"/>
      <c r="G166"/>
      <c r="H166"/>
      <c r="I166"/>
      <c r="K166"/>
    </row>
    <row r="167" spans="1:11" x14ac:dyDescent="0.25">
      <c r="A167" s="174" t="str">
        <f>+'RESUMEN APUS'!B19</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B167" s="175"/>
      <c r="C167" s="175"/>
      <c r="D167" s="176"/>
      <c r="E167" s="12" t="s">
        <v>137</v>
      </c>
      <c r="F167" s="13" t="s">
        <v>3</v>
      </c>
      <c r="G167"/>
      <c r="H167"/>
      <c r="I167"/>
      <c r="K167"/>
    </row>
    <row r="168" spans="1:11" ht="42.75" customHeight="1" x14ac:dyDescent="0.25">
      <c r="A168" s="177"/>
      <c r="B168" s="178"/>
      <c r="C168" s="178"/>
      <c r="D168" s="179"/>
      <c r="E168" s="14" t="s">
        <v>25</v>
      </c>
      <c r="F168" s="15" t="s">
        <v>164</v>
      </c>
    </row>
    <row r="169" spans="1:11" x14ac:dyDescent="0.25">
      <c r="A169" s="16" t="s">
        <v>139</v>
      </c>
      <c r="B169" s="17" t="s">
        <v>172</v>
      </c>
      <c r="C169" s="18" t="s">
        <v>3</v>
      </c>
      <c r="D169" s="18" t="s">
        <v>141</v>
      </c>
      <c r="E169" s="18" t="s">
        <v>142</v>
      </c>
      <c r="F169" s="19" t="s">
        <v>143</v>
      </c>
    </row>
    <row r="170" spans="1:11" ht="14.25" thickBot="1" x14ac:dyDescent="0.3">
      <c r="A170" s="20" t="s">
        <v>180</v>
      </c>
      <c r="B170" s="21" t="s">
        <v>181</v>
      </c>
      <c r="C170" s="22" t="s">
        <v>171</v>
      </c>
      <c r="D170" s="23">
        <v>22</v>
      </c>
      <c r="E170" s="24">
        <f>1350.7*1.052</f>
        <v>1420.9364</v>
      </c>
      <c r="F170" s="25">
        <f>ROUND(D170*E170,0)</f>
        <v>31261</v>
      </c>
    </row>
    <row r="171" spans="1:11" ht="14.25" thickBot="1" x14ac:dyDescent="0.3">
      <c r="A171" s="26" t="s">
        <v>175</v>
      </c>
      <c r="B171" s="27"/>
      <c r="C171" s="28">
        <v>21.738948670997701</v>
      </c>
      <c r="D171" s="27"/>
      <c r="E171" s="29" t="s">
        <v>148</v>
      </c>
      <c r="F171" s="30">
        <f>SUM(F170)</f>
        <v>31261</v>
      </c>
    </row>
    <row r="172" spans="1:11" x14ac:dyDescent="0.25">
      <c r="A172" s="16" t="s">
        <v>139</v>
      </c>
      <c r="B172" s="17" t="s">
        <v>140</v>
      </c>
      <c r="C172" s="18" t="s">
        <v>3</v>
      </c>
      <c r="D172" s="18" t="s">
        <v>141</v>
      </c>
      <c r="E172" s="18" t="s">
        <v>142</v>
      </c>
      <c r="F172" s="19" t="s">
        <v>143</v>
      </c>
    </row>
    <row r="173" spans="1:11" x14ac:dyDescent="0.25">
      <c r="A173" s="20" t="s">
        <v>176</v>
      </c>
      <c r="B173" s="21" t="s">
        <v>177</v>
      </c>
      <c r="C173" s="22" t="s">
        <v>146</v>
      </c>
      <c r="D173" s="23">
        <v>0.15692958282284983</v>
      </c>
      <c r="E173" s="24">
        <f>80365.8349622223*1.1*$J$1</f>
        <v>99894.732858042335</v>
      </c>
      <c r="F173" s="25">
        <f>ROUND(D173*E173,0)</f>
        <v>15676</v>
      </c>
    </row>
    <row r="174" spans="1:11" ht="14.25" thickBot="1" x14ac:dyDescent="0.3">
      <c r="A174" s="20" t="s">
        <v>194</v>
      </c>
      <c r="B174" s="21" t="s">
        <v>195</v>
      </c>
      <c r="C174" s="22" t="s">
        <v>146</v>
      </c>
      <c r="D174" s="23">
        <v>0.13689000000000001</v>
      </c>
      <c r="E174" s="24">
        <f>80365.8349622223*1.1*$J$1</f>
        <v>99894.732858042335</v>
      </c>
      <c r="F174" s="25">
        <f>ROUND(D174*E174,0)</f>
        <v>13675</v>
      </c>
    </row>
    <row r="175" spans="1:11" ht="14.25" thickBot="1" x14ac:dyDescent="0.3">
      <c r="A175" s="26" t="s">
        <v>147</v>
      </c>
      <c r="B175" s="27"/>
      <c r="C175" s="28">
        <v>16.173777811222301</v>
      </c>
      <c r="D175" s="27"/>
      <c r="E175" s="29" t="s">
        <v>148</v>
      </c>
      <c r="F175" s="30">
        <f>SUM(F173:F174)</f>
        <v>29351</v>
      </c>
    </row>
    <row r="176" spans="1:11" x14ac:dyDescent="0.25">
      <c r="A176" s="16" t="s">
        <v>139</v>
      </c>
      <c r="B176" s="17" t="s">
        <v>149</v>
      </c>
      <c r="C176" s="18" t="s">
        <v>3</v>
      </c>
      <c r="D176" s="18" t="s">
        <v>141</v>
      </c>
      <c r="E176" s="18" t="s">
        <v>142</v>
      </c>
      <c r="F176" s="19" t="s">
        <v>143</v>
      </c>
    </row>
    <row r="177" spans="1:6" ht="14.25" thickBot="1" x14ac:dyDescent="0.3">
      <c r="A177" s="20" t="s">
        <v>150</v>
      </c>
      <c r="B177" s="21" t="s">
        <v>151</v>
      </c>
      <c r="C177" s="22" t="s">
        <v>152</v>
      </c>
      <c r="D177" s="23">
        <v>0.05</v>
      </c>
      <c r="E177" s="24">
        <f>F175</f>
        <v>29351</v>
      </c>
      <c r="F177" s="25">
        <f>ROUND(D177*E177,0)</f>
        <v>1468</v>
      </c>
    </row>
    <row r="178" spans="1:6" ht="14.25" thickBot="1" x14ac:dyDescent="0.3">
      <c r="A178" s="26" t="s">
        <v>153</v>
      </c>
      <c r="B178" s="27"/>
      <c r="C178" s="28">
        <v>0.80852166787903101</v>
      </c>
      <c r="D178" s="27"/>
      <c r="E178" s="29" t="s">
        <v>148</v>
      </c>
      <c r="F178" s="30">
        <f>SUM(F177)</f>
        <v>1468</v>
      </c>
    </row>
    <row r="179" spans="1:6" x14ac:dyDescent="0.25">
      <c r="A179" s="16" t="s">
        <v>139</v>
      </c>
      <c r="B179" s="17" t="s">
        <v>154</v>
      </c>
      <c r="C179" s="18" t="s">
        <v>3</v>
      </c>
      <c r="D179" s="18" t="s">
        <v>141</v>
      </c>
      <c r="E179" s="18" t="s">
        <v>142</v>
      </c>
      <c r="F179" s="19" t="s">
        <v>143</v>
      </c>
    </row>
    <row r="180" spans="1:6" ht="27.75" thickBot="1" x14ac:dyDescent="0.3">
      <c r="A180" s="20" t="s">
        <v>196</v>
      </c>
      <c r="B180" s="21" t="s">
        <v>197</v>
      </c>
      <c r="C180" s="22" t="s">
        <v>157</v>
      </c>
      <c r="D180" s="23">
        <v>0.03</v>
      </c>
      <c r="E180" s="24">
        <f>48389.347*1.052</f>
        <v>50905.593044000001</v>
      </c>
      <c r="F180" s="25">
        <f>ROUND(D180*E180,0)</f>
        <v>1527</v>
      </c>
    </row>
    <row r="181" spans="1:6" ht="14.25" thickBot="1" x14ac:dyDescent="0.3">
      <c r="A181" s="26" t="s">
        <v>160</v>
      </c>
      <c r="B181" s="27"/>
      <c r="C181" s="28">
        <v>1.1680504343609199</v>
      </c>
      <c r="D181" s="27"/>
      <c r="E181" s="29" t="s">
        <v>148</v>
      </c>
      <c r="F181" s="30">
        <f>SUM(F180)</f>
        <v>1527</v>
      </c>
    </row>
    <row r="182" spans="1:6" x14ac:dyDescent="0.25">
      <c r="A182" s="16" t="s">
        <v>139</v>
      </c>
      <c r="B182" s="17" t="s">
        <v>161</v>
      </c>
      <c r="C182" s="18" t="s">
        <v>3</v>
      </c>
      <c r="D182" s="18" t="s">
        <v>141</v>
      </c>
      <c r="E182" s="18" t="s">
        <v>142</v>
      </c>
      <c r="F182" s="19" t="s">
        <v>143</v>
      </c>
    </row>
    <row r="183" spans="1:6" ht="27.75" thickBot="1" x14ac:dyDescent="0.3">
      <c r="A183" s="20" t="s">
        <v>162</v>
      </c>
      <c r="B183" s="21" t="s">
        <v>163</v>
      </c>
      <c r="C183" s="22" t="s">
        <v>164</v>
      </c>
      <c r="D183" s="23">
        <v>1.3</v>
      </c>
      <c r="E183" s="24">
        <f>57458.778*1.052</f>
        <v>60446.634456</v>
      </c>
      <c r="F183" s="25">
        <f>ROUND(D183*E183,0)</f>
        <v>78581</v>
      </c>
    </row>
    <row r="184" spans="1:6" ht="14.25" thickBot="1" x14ac:dyDescent="0.3">
      <c r="A184" s="26"/>
      <c r="B184" s="27"/>
      <c r="C184" s="28"/>
      <c r="D184" s="27"/>
      <c r="E184" s="29" t="s">
        <v>148</v>
      </c>
      <c r="F184" s="30">
        <f>SUM(F183)</f>
        <v>78581</v>
      </c>
    </row>
    <row r="185" spans="1:6" ht="15.75" thickBot="1" x14ac:dyDescent="0.3">
      <c r="A185" s="180" t="s">
        <v>168</v>
      </c>
      <c r="B185" s="181"/>
      <c r="C185" s="181"/>
      <c r="D185" s="181"/>
      <c r="E185" s="182">
        <f>+F171+F175+F178+F181+F184</f>
        <v>142188</v>
      </c>
      <c r="F185" s="183"/>
    </row>
    <row r="186" spans="1:6" x14ac:dyDescent="0.25">
      <c r="A186" s="31"/>
      <c r="F186" s="32"/>
    </row>
    <row r="187" spans="1:6" ht="15.75" x14ac:dyDescent="0.25">
      <c r="A187" s="184" t="s">
        <v>136</v>
      </c>
      <c r="B187" s="185"/>
      <c r="C187" s="185"/>
      <c r="D187" s="185"/>
      <c r="E187" s="185"/>
      <c r="F187" s="186"/>
    </row>
    <row r="188" spans="1:6" ht="21.6" customHeight="1" x14ac:dyDescent="0.25">
      <c r="A188" s="174" t="str">
        <f>+'RESUMEN APUS'!B21</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B188" s="175"/>
      <c r="C188" s="175"/>
      <c r="D188" s="176"/>
      <c r="E188" s="12" t="s">
        <v>137</v>
      </c>
      <c r="F188" s="13" t="s">
        <v>3</v>
      </c>
    </row>
    <row r="189" spans="1:6" ht="19.5" customHeight="1" x14ac:dyDescent="0.25">
      <c r="A189" s="177"/>
      <c r="B189" s="178"/>
      <c r="C189" s="178"/>
      <c r="D189" s="179"/>
      <c r="E189" s="14" t="s">
        <v>28</v>
      </c>
      <c r="F189" s="15" t="s">
        <v>202</v>
      </c>
    </row>
    <row r="190" spans="1:6" x14ac:dyDescent="0.25">
      <c r="A190" s="16" t="s">
        <v>139</v>
      </c>
      <c r="B190" s="17" t="s">
        <v>172</v>
      </c>
      <c r="C190" s="18" t="s">
        <v>3</v>
      </c>
      <c r="D190" s="18" t="s">
        <v>141</v>
      </c>
      <c r="E190" s="18" t="s">
        <v>142</v>
      </c>
      <c r="F190" s="19" t="s">
        <v>143</v>
      </c>
    </row>
    <row r="191" spans="1:6" x14ac:dyDescent="0.25">
      <c r="A191" s="20" t="s">
        <v>210</v>
      </c>
      <c r="B191" s="21" t="s">
        <v>211</v>
      </c>
      <c r="C191" s="22" t="s">
        <v>202</v>
      </c>
      <c r="D191" s="23">
        <v>1.04</v>
      </c>
      <c r="E191" s="24">
        <f>5092.35519636364*1.052</f>
        <v>5357.1576665745497</v>
      </c>
      <c r="F191" s="25">
        <f>ROUND(D191*E191,0)</f>
        <v>5571</v>
      </c>
    </row>
    <row r="192" spans="1:6" ht="14.25" thickBot="1" x14ac:dyDescent="0.3">
      <c r="A192" s="20" t="s">
        <v>200</v>
      </c>
      <c r="B192" s="21" t="s">
        <v>201</v>
      </c>
      <c r="C192" s="22" t="s">
        <v>202</v>
      </c>
      <c r="D192" s="23">
        <v>0.03</v>
      </c>
      <c r="E192" s="24">
        <f>7500*1.052</f>
        <v>7890</v>
      </c>
      <c r="F192" s="25">
        <f>ROUND(D192*E192,0)</f>
        <v>237</v>
      </c>
    </row>
    <row r="193" spans="1:6" ht="14.25" thickBot="1" x14ac:dyDescent="0.3">
      <c r="A193" s="26" t="s">
        <v>175</v>
      </c>
      <c r="B193" s="27"/>
      <c r="C193" s="28">
        <v>85.2114758947057</v>
      </c>
      <c r="D193" s="27"/>
      <c r="E193" s="29" t="s">
        <v>148</v>
      </c>
      <c r="F193" s="30">
        <f>SUM(F191:F192)</f>
        <v>5808</v>
      </c>
    </row>
    <row r="194" spans="1:6" x14ac:dyDescent="0.25">
      <c r="A194" s="16" t="s">
        <v>139</v>
      </c>
      <c r="B194" s="17" t="s">
        <v>140</v>
      </c>
      <c r="C194" s="18" t="s">
        <v>3</v>
      </c>
      <c r="D194" s="18" t="s">
        <v>141</v>
      </c>
      <c r="E194" s="18" t="s">
        <v>142</v>
      </c>
      <c r="F194" s="19" t="s">
        <v>143</v>
      </c>
    </row>
    <row r="195" spans="1:6" ht="14.25" thickBot="1" x14ac:dyDescent="0.3">
      <c r="A195" s="20" t="s">
        <v>189</v>
      </c>
      <c r="B195" s="21" t="s">
        <v>190</v>
      </c>
      <c r="C195" s="22" t="s">
        <v>146</v>
      </c>
      <c r="D195" s="23">
        <v>4.0000000000000001E-3</v>
      </c>
      <c r="E195" s="24">
        <f>258000*1.1*$J$1</f>
        <v>320693.99999999994</v>
      </c>
      <c r="F195" s="25">
        <f>ROUND(D195*E195,0)</f>
        <v>1283</v>
      </c>
    </row>
    <row r="196" spans="1:6" ht="14.25" thickBot="1" x14ac:dyDescent="0.3">
      <c r="A196" s="26" t="s">
        <v>147</v>
      </c>
      <c r="B196" s="27"/>
      <c r="C196" s="28">
        <v>12.6589766341319</v>
      </c>
      <c r="D196" s="27"/>
      <c r="E196" s="29" t="s">
        <v>148</v>
      </c>
      <c r="F196" s="30">
        <f>SUM(F195)</f>
        <v>1283</v>
      </c>
    </row>
    <row r="197" spans="1:6" x14ac:dyDescent="0.25">
      <c r="A197" s="16" t="s">
        <v>139</v>
      </c>
      <c r="B197" s="17" t="s">
        <v>149</v>
      </c>
      <c r="C197" s="18" t="s">
        <v>3</v>
      </c>
      <c r="D197" s="18" t="s">
        <v>141</v>
      </c>
      <c r="E197" s="18" t="s">
        <v>142</v>
      </c>
      <c r="F197" s="19" t="s">
        <v>143</v>
      </c>
    </row>
    <row r="198" spans="1:6" ht="14.25" thickBot="1" x14ac:dyDescent="0.3">
      <c r="A198" s="20" t="s">
        <v>150</v>
      </c>
      <c r="B198" s="21" t="s">
        <v>151</v>
      </c>
      <c r="C198" s="22" t="s">
        <v>152</v>
      </c>
      <c r="D198" s="23">
        <v>0.05</v>
      </c>
      <c r="E198" s="24">
        <f>F196</f>
        <v>1283</v>
      </c>
      <c r="F198" s="25">
        <f>ROUND(D198*E198,0)</f>
        <v>64</v>
      </c>
    </row>
    <row r="199" spans="1:6" ht="14.25" thickBot="1" x14ac:dyDescent="0.3">
      <c r="A199" s="26" t="s">
        <v>153</v>
      </c>
      <c r="B199" s="27"/>
      <c r="C199" s="28">
        <v>0.63590653652765405</v>
      </c>
      <c r="D199" s="27"/>
      <c r="E199" s="29" t="s">
        <v>148</v>
      </c>
      <c r="F199" s="30">
        <f>SUM(F198)</f>
        <v>64</v>
      </c>
    </row>
    <row r="200" spans="1:6" x14ac:dyDescent="0.25">
      <c r="A200" s="16" t="s">
        <v>139</v>
      </c>
      <c r="B200" s="17" t="s">
        <v>161</v>
      </c>
      <c r="C200" s="18" t="s">
        <v>3</v>
      </c>
      <c r="D200" s="18" t="s">
        <v>141</v>
      </c>
      <c r="E200" s="18" t="s">
        <v>142</v>
      </c>
      <c r="F200" s="19" t="s">
        <v>143</v>
      </c>
    </row>
    <row r="201" spans="1:6" x14ac:dyDescent="0.25">
      <c r="A201" s="20" t="s">
        <v>212</v>
      </c>
      <c r="B201" s="21" t="s">
        <v>213</v>
      </c>
      <c r="C201" s="22" t="s">
        <v>202</v>
      </c>
      <c r="D201" s="23">
        <v>1.04</v>
      </c>
      <c r="E201" s="24">
        <f>1.039*96</f>
        <v>99.744</v>
      </c>
      <c r="F201" s="25">
        <f>ROUND(D201*E201,0)</f>
        <v>104</v>
      </c>
    </row>
    <row r="202" spans="1:6" ht="14.25" thickBot="1" x14ac:dyDescent="0.3">
      <c r="A202" s="34" t="s">
        <v>191</v>
      </c>
      <c r="B202" s="35" t="s">
        <v>192</v>
      </c>
      <c r="C202" s="36" t="s">
        <v>193</v>
      </c>
      <c r="D202" s="37">
        <v>1E-3</v>
      </c>
      <c r="E202" s="38">
        <f>176630*1.052</f>
        <v>185814.76</v>
      </c>
      <c r="F202" s="25">
        <f>ROUND(D202*E202,0)</f>
        <v>186</v>
      </c>
    </row>
    <row r="203" spans="1:6" ht="14.25" thickBot="1" x14ac:dyDescent="0.3">
      <c r="A203" s="26"/>
      <c r="B203" s="27"/>
      <c r="C203" s="28"/>
      <c r="D203" s="27"/>
      <c r="E203" s="29" t="s">
        <v>148</v>
      </c>
      <c r="F203" s="30">
        <f>SUM(F201:F202)</f>
        <v>290</v>
      </c>
    </row>
    <row r="204" spans="1:6" ht="15.75" thickBot="1" x14ac:dyDescent="0.3">
      <c r="A204" s="180" t="s">
        <v>168</v>
      </c>
      <c r="B204" s="181"/>
      <c r="C204" s="181"/>
      <c r="D204" s="181"/>
      <c r="E204" s="182">
        <f>+F193+F196+F199+F203</f>
        <v>7445</v>
      </c>
      <c r="F204" s="183"/>
    </row>
    <row r="205" spans="1:6" x14ac:dyDescent="0.25">
      <c r="A205" s="31"/>
      <c r="F205" s="32"/>
    </row>
    <row r="206" spans="1:6" ht="15.75" x14ac:dyDescent="0.25">
      <c r="A206" s="184" t="s">
        <v>136</v>
      </c>
      <c r="B206" s="185"/>
      <c r="C206" s="185"/>
      <c r="D206" s="185"/>
      <c r="E206" s="185"/>
      <c r="F206" s="186"/>
    </row>
    <row r="207" spans="1:6" x14ac:dyDescent="0.25">
      <c r="A207" s="174" t="str">
        <f>+'RESUMEN APUS'!B22</f>
        <v>Colocación de MALLA ELECTROSOLDADA TIPO D 50. Incluye el suministro y el transporte del material y todos los elementos necesarios para su correcta colocación.</v>
      </c>
      <c r="B207" s="175"/>
      <c r="C207" s="175"/>
      <c r="D207" s="176"/>
      <c r="E207" s="12" t="s">
        <v>137</v>
      </c>
      <c r="F207" s="13" t="s">
        <v>3</v>
      </c>
    </row>
    <row r="208" spans="1:6" x14ac:dyDescent="0.25">
      <c r="A208" s="177"/>
      <c r="B208" s="178"/>
      <c r="C208" s="178"/>
      <c r="D208" s="179"/>
      <c r="E208" s="14" t="s">
        <v>30</v>
      </c>
      <c r="F208" s="15" t="s">
        <v>138</v>
      </c>
    </row>
    <row r="209" spans="1:6" x14ac:dyDescent="0.25">
      <c r="A209" s="16" t="s">
        <v>139</v>
      </c>
      <c r="B209" s="17" t="s">
        <v>172</v>
      </c>
      <c r="C209" s="18" t="s">
        <v>3</v>
      </c>
      <c r="D209" s="18" t="s">
        <v>141</v>
      </c>
      <c r="E209" s="18" t="s">
        <v>142</v>
      </c>
      <c r="F209" s="19" t="s">
        <v>143</v>
      </c>
    </row>
    <row r="210" spans="1:6" x14ac:dyDescent="0.25">
      <c r="A210" s="20" t="s">
        <v>217</v>
      </c>
      <c r="B210" s="21" t="s">
        <v>218</v>
      </c>
      <c r="C210" s="22" t="s">
        <v>138</v>
      </c>
      <c r="D210" s="23">
        <v>1.05</v>
      </c>
      <c r="E210" s="24">
        <f>6186.53928981623*1.052</f>
        <v>6508.2393328866738</v>
      </c>
      <c r="F210" s="25">
        <f>ROUND(D210*E210,0)</f>
        <v>6834</v>
      </c>
    </row>
    <row r="211" spans="1:6" ht="14.25" thickBot="1" x14ac:dyDescent="0.3">
      <c r="A211" s="20" t="s">
        <v>200</v>
      </c>
      <c r="B211" s="21" t="s">
        <v>201</v>
      </c>
      <c r="C211" s="22" t="s">
        <v>202</v>
      </c>
      <c r="D211" s="23">
        <v>0.11</v>
      </c>
      <c r="E211" s="24">
        <f>7500*1.052</f>
        <v>7890</v>
      </c>
      <c r="F211" s="25">
        <f>ROUND(D211*E211,0)</f>
        <v>868</v>
      </c>
    </row>
    <row r="212" spans="1:6" ht="14.25" thickBot="1" x14ac:dyDescent="0.3">
      <c r="A212" s="26" t="s">
        <v>175</v>
      </c>
      <c r="B212" s="27"/>
      <c r="C212" s="28">
        <v>82.004637060816805</v>
      </c>
      <c r="D212" s="27"/>
      <c r="E212" s="29" t="s">
        <v>148</v>
      </c>
      <c r="F212" s="30">
        <f>SUM(F210:F211)</f>
        <v>7702</v>
      </c>
    </row>
    <row r="213" spans="1:6" x14ac:dyDescent="0.25">
      <c r="A213" s="16" t="s">
        <v>139</v>
      </c>
      <c r="B213" s="17" t="s">
        <v>140</v>
      </c>
      <c r="C213" s="18" t="s">
        <v>3</v>
      </c>
      <c r="D213" s="18" t="s">
        <v>141</v>
      </c>
      <c r="E213" s="18" t="s">
        <v>142</v>
      </c>
      <c r="F213" s="19" t="s">
        <v>143</v>
      </c>
    </row>
    <row r="214" spans="1:6" ht="14.25" thickBot="1" x14ac:dyDescent="0.3">
      <c r="A214" s="20" t="s">
        <v>215</v>
      </c>
      <c r="B214" s="21" t="s">
        <v>216</v>
      </c>
      <c r="C214" s="22" t="s">
        <v>146</v>
      </c>
      <c r="D214" s="23">
        <v>3.5000000000000001E-3</v>
      </c>
      <c r="E214" s="24">
        <f>258000*1.1*$J$1</f>
        <v>320693.99999999994</v>
      </c>
      <c r="F214" s="25">
        <f>ROUND(D214*E214,0)</f>
        <v>1122</v>
      </c>
    </row>
    <row r="215" spans="1:6" ht="14.25" thickBot="1" x14ac:dyDescent="0.3">
      <c r="A215" s="26" t="s">
        <v>147</v>
      </c>
      <c r="B215" s="27"/>
      <c r="C215" s="28">
        <v>16.4794007490637</v>
      </c>
      <c r="D215" s="27"/>
      <c r="E215" s="29" t="s">
        <v>148</v>
      </c>
      <c r="F215" s="30">
        <f>SUM(F214)</f>
        <v>1122</v>
      </c>
    </row>
    <row r="216" spans="1:6" x14ac:dyDescent="0.25">
      <c r="A216" s="16" t="s">
        <v>139</v>
      </c>
      <c r="B216" s="17" t="s">
        <v>149</v>
      </c>
      <c r="C216" s="18" t="s">
        <v>3</v>
      </c>
      <c r="D216" s="18" t="s">
        <v>141</v>
      </c>
      <c r="E216" s="18" t="s">
        <v>142</v>
      </c>
      <c r="F216" s="19" t="s">
        <v>143</v>
      </c>
    </row>
    <row r="217" spans="1:6" ht="14.25" thickBot="1" x14ac:dyDescent="0.3">
      <c r="A217" s="20" t="s">
        <v>150</v>
      </c>
      <c r="B217" s="21" t="s">
        <v>151</v>
      </c>
      <c r="C217" s="22" t="s">
        <v>152</v>
      </c>
      <c r="D217" s="23">
        <v>0.05</v>
      </c>
      <c r="E217" s="24">
        <f>F215</f>
        <v>1122</v>
      </c>
      <c r="F217" s="25">
        <f>ROUND(D217*E217,0)</f>
        <v>56</v>
      </c>
    </row>
    <row r="218" spans="1:6" ht="14.25" thickBot="1" x14ac:dyDescent="0.3">
      <c r="A218" s="26" t="s">
        <v>153</v>
      </c>
      <c r="B218" s="27"/>
      <c r="C218" s="28">
        <v>0.82040306759407899</v>
      </c>
      <c r="D218" s="27"/>
      <c r="E218" s="29" t="s">
        <v>148</v>
      </c>
      <c r="F218" s="30">
        <f>SUM(F217)</f>
        <v>56</v>
      </c>
    </row>
    <row r="219" spans="1:6" x14ac:dyDescent="0.25">
      <c r="A219" s="16" t="s">
        <v>139</v>
      </c>
      <c r="B219" s="17" t="s">
        <v>161</v>
      </c>
      <c r="C219" s="18" t="s">
        <v>3</v>
      </c>
      <c r="D219" s="18" t="s">
        <v>141</v>
      </c>
      <c r="E219" s="18" t="s">
        <v>142</v>
      </c>
      <c r="F219" s="19" t="s">
        <v>143</v>
      </c>
    </row>
    <row r="220" spans="1:6" x14ac:dyDescent="0.25">
      <c r="A220" s="20" t="s">
        <v>212</v>
      </c>
      <c r="B220" s="21" t="s">
        <v>213</v>
      </c>
      <c r="C220" s="22" t="s">
        <v>202</v>
      </c>
      <c r="D220" s="23">
        <v>0.81</v>
      </c>
      <c r="E220" s="24">
        <f>99.744*1.052</f>
        <v>104.930688</v>
      </c>
      <c r="F220" s="25">
        <f>ROUND(D220*E220,0)</f>
        <v>85</v>
      </c>
    </row>
    <row r="221" spans="1:6" ht="14.25" thickBot="1" x14ac:dyDescent="0.3">
      <c r="A221" s="34" t="s">
        <v>191</v>
      </c>
      <c r="B221" s="35" t="s">
        <v>192</v>
      </c>
      <c r="C221" s="36" t="s">
        <v>193</v>
      </c>
      <c r="D221" s="37">
        <f>0.02/(2*6)</f>
        <v>1.6666666666666668E-3</v>
      </c>
      <c r="E221" s="38">
        <f>176630*1.052</f>
        <v>185814.76</v>
      </c>
      <c r="F221" s="25">
        <f>ROUND(D221*E221,0)</f>
        <v>310</v>
      </c>
    </row>
    <row r="222" spans="1:6" ht="14.25" thickBot="1" x14ac:dyDescent="0.3">
      <c r="A222" s="26"/>
      <c r="B222" s="27"/>
      <c r="C222" s="28"/>
      <c r="D222" s="27"/>
      <c r="E222" s="29" t="s">
        <v>148</v>
      </c>
      <c r="F222" s="30">
        <f>SUM(F220:F221)</f>
        <v>395</v>
      </c>
    </row>
    <row r="223" spans="1:6" ht="15.75" thickBot="1" x14ac:dyDescent="0.3">
      <c r="A223" s="180" t="s">
        <v>168</v>
      </c>
      <c r="B223" s="181"/>
      <c r="C223" s="181"/>
      <c r="D223" s="181"/>
      <c r="E223" s="182">
        <f>+F212+F215+F218+F222</f>
        <v>9275</v>
      </c>
      <c r="F223" s="183"/>
    </row>
    <row r="224" spans="1:6" x14ac:dyDescent="0.25">
      <c r="A224" s="31"/>
      <c r="F224" s="32"/>
    </row>
    <row r="225" spans="1:6" ht="15.75" x14ac:dyDescent="0.25">
      <c r="A225" s="184" t="s">
        <v>136</v>
      </c>
      <c r="B225" s="185"/>
      <c r="C225" s="185"/>
      <c r="D225" s="185"/>
      <c r="E225" s="185"/>
      <c r="F225" s="186"/>
    </row>
    <row r="226" spans="1:6" x14ac:dyDescent="0.25">
      <c r="A226" s="174" t="str">
        <f>+'RESUMEN APUS'!B23</f>
        <v>Colocación de MALLA ELECTROSOLDADA TIPO D 84. Incluye el suministro y el transporte del material y todos los elementos necesarios para su correcta colocación.</v>
      </c>
      <c r="B226" s="175"/>
      <c r="C226" s="175"/>
      <c r="D226" s="176"/>
      <c r="E226" s="12" t="s">
        <v>137</v>
      </c>
      <c r="F226" s="13" t="s">
        <v>3</v>
      </c>
    </row>
    <row r="227" spans="1:6" x14ac:dyDescent="0.25">
      <c r="A227" s="177"/>
      <c r="B227" s="178"/>
      <c r="C227" s="178"/>
      <c r="D227" s="179"/>
      <c r="E227" s="14" t="s">
        <v>32</v>
      </c>
      <c r="F227" s="15" t="s">
        <v>138</v>
      </c>
    </row>
    <row r="228" spans="1:6" x14ac:dyDescent="0.25">
      <c r="A228" s="16" t="s">
        <v>139</v>
      </c>
      <c r="B228" s="17" t="s">
        <v>172</v>
      </c>
      <c r="C228" s="18" t="s">
        <v>3</v>
      </c>
      <c r="D228" s="18" t="s">
        <v>141</v>
      </c>
      <c r="E228" s="18" t="s">
        <v>142</v>
      </c>
      <c r="F228" s="19" t="s">
        <v>143</v>
      </c>
    </row>
    <row r="229" spans="1:6" x14ac:dyDescent="0.25">
      <c r="A229" s="20" t="s">
        <v>219</v>
      </c>
      <c r="B229" s="21" t="s">
        <v>220</v>
      </c>
      <c r="C229" s="22" t="s">
        <v>138</v>
      </c>
      <c r="D229" s="23">
        <v>1.05</v>
      </c>
      <c r="E229" s="24">
        <f>9386*1.052</f>
        <v>9874.0720000000001</v>
      </c>
      <c r="F229" s="25">
        <f>ROUND(D229*E229,0)</f>
        <v>10368</v>
      </c>
    </row>
    <row r="230" spans="1:6" ht="14.25" thickBot="1" x14ac:dyDescent="0.3">
      <c r="A230" s="20" t="s">
        <v>200</v>
      </c>
      <c r="B230" s="21" t="s">
        <v>201</v>
      </c>
      <c r="C230" s="22" t="s">
        <v>202</v>
      </c>
      <c r="D230" s="23">
        <v>0.11</v>
      </c>
      <c r="E230" s="24">
        <f>7500*1.052</f>
        <v>7890</v>
      </c>
      <c r="F230" s="25">
        <f>ROUND(D230*E230,0)</f>
        <v>868</v>
      </c>
    </row>
    <row r="231" spans="1:6" ht="14.25" thickBot="1" x14ac:dyDescent="0.3">
      <c r="A231" s="26" t="s">
        <v>175</v>
      </c>
      <c r="B231" s="27"/>
      <c r="C231" s="28">
        <v>85.515164250192598</v>
      </c>
      <c r="D231" s="27"/>
      <c r="E231" s="29" t="s">
        <v>148</v>
      </c>
      <c r="F231" s="30">
        <f>SUM(F229:F230)</f>
        <v>11236</v>
      </c>
    </row>
    <row r="232" spans="1:6" x14ac:dyDescent="0.25">
      <c r="A232" s="16" t="s">
        <v>139</v>
      </c>
      <c r="B232" s="17" t="s">
        <v>140</v>
      </c>
      <c r="C232" s="18" t="s">
        <v>3</v>
      </c>
      <c r="D232" s="18" t="s">
        <v>141</v>
      </c>
      <c r="E232" s="18" t="s">
        <v>142</v>
      </c>
      <c r="F232" s="19" t="s">
        <v>143</v>
      </c>
    </row>
    <row r="233" spans="1:6" ht="14.25" thickBot="1" x14ac:dyDescent="0.3">
      <c r="A233" s="20" t="s">
        <v>215</v>
      </c>
      <c r="B233" s="21" t="s">
        <v>216</v>
      </c>
      <c r="C233" s="22" t="s">
        <v>146</v>
      </c>
      <c r="D233" s="23">
        <v>4.1662000000000001E-3</v>
      </c>
      <c r="E233" s="24">
        <f>258000*1.1*$J$1</f>
        <v>320693.99999999994</v>
      </c>
      <c r="F233" s="25">
        <f>ROUND(D233*E233,0)</f>
        <v>1336</v>
      </c>
    </row>
    <row r="234" spans="1:6" ht="14.25" thickBot="1" x14ac:dyDescent="0.3">
      <c r="A234" s="26" t="s">
        <v>147</v>
      </c>
      <c r="B234" s="27"/>
      <c r="C234" s="28">
        <v>12.9438957764236</v>
      </c>
      <c r="D234" s="27"/>
      <c r="E234" s="29" t="s">
        <v>148</v>
      </c>
      <c r="F234" s="30">
        <f>SUM(F233)</f>
        <v>1336</v>
      </c>
    </row>
    <row r="235" spans="1:6" x14ac:dyDescent="0.25">
      <c r="A235" s="16" t="s">
        <v>139</v>
      </c>
      <c r="B235" s="17" t="s">
        <v>149</v>
      </c>
      <c r="C235" s="18" t="s">
        <v>3</v>
      </c>
      <c r="D235" s="18" t="s">
        <v>141</v>
      </c>
      <c r="E235" s="18" t="s">
        <v>142</v>
      </c>
      <c r="F235" s="19" t="s">
        <v>143</v>
      </c>
    </row>
    <row r="236" spans="1:6" ht="14.25" thickBot="1" x14ac:dyDescent="0.3">
      <c r="A236" s="20" t="s">
        <v>150</v>
      </c>
      <c r="B236" s="21" t="s">
        <v>151</v>
      </c>
      <c r="C236" s="22" t="s">
        <v>152</v>
      </c>
      <c r="D236" s="23">
        <v>0.05</v>
      </c>
      <c r="E236" s="24">
        <f>F234</f>
        <v>1336</v>
      </c>
      <c r="F236" s="25">
        <f>ROUND(D236*E236,0)</f>
        <v>67</v>
      </c>
    </row>
    <row r="237" spans="1:6" ht="14.25" thickBot="1" x14ac:dyDescent="0.3">
      <c r="A237" s="26" t="s">
        <v>153</v>
      </c>
      <c r="B237" s="27"/>
      <c r="C237" s="28">
        <v>0.644393079778665</v>
      </c>
      <c r="D237" s="27"/>
      <c r="E237" s="29" t="s">
        <v>148</v>
      </c>
      <c r="F237" s="30">
        <f>SUM(F236)</f>
        <v>67</v>
      </c>
    </row>
    <row r="238" spans="1:6" x14ac:dyDescent="0.25">
      <c r="A238" s="16" t="s">
        <v>139</v>
      </c>
      <c r="B238" s="17" t="s">
        <v>161</v>
      </c>
      <c r="C238" s="18" t="s">
        <v>3</v>
      </c>
      <c r="D238" s="18" t="s">
        <v>141</v>
      </c>
      <c r="E238" s="18" t="s">
        <v>142</v>
      </c>
      <c r="F238" s="19" t="s">
        <v>143</v>
      </c>
    </row>
    <row r="239" spans="1:6" x14ac:dyDescent="0.25">
      <c r="A239" s="20" t="s">
        <v>212</v>
      </c>
      <c r="B239" s="21" t="s">
        <v>213</v>
      </c>
      <c r="C239" s="22" t="s">
        <v>202</v>
      </c>
      <c r="D239" s="23">
        <v>1.33</v>
      </c>
      <c r="E239" s="24">
        <f>99.744*1.052</f>
        <v>104.930688</v>
      </c>
      <c r="F239" s="25">
        <f>ROUND(D239*E239,0)</f>
        <v>140</v>
      </c>
    </row>
    <row r="240" spans="1:6" ht="14.25" thickBot="1" x14ac:dyDescent="0.3">
      <c r="A240" s="34" t="s">
        <v>191</v>
      </c>
      <c r="B240" s="35" t="s">
        <v>192</v>
      </c>
      <c r="C240" s="36" t="s">
        <v>193</v>
      </c>
      <c r="D240" s="37">
        <f>0.014/(2*6)</f>
        <v>1.1666666666666668E-3</v>
      </c>
      <c r="E240" s="38">
        <f>176630*1.052</f>
        <v>185814.76</v>
      </c>
      <c r="F240" s="25">
        <f>ROUND(D240*E240,0)</f>
        <v>217</v>
      </c>
    </row>
    <row r="241" spans="1:6" ht="14.25" thickBot="1" x14ac:dyDescent="0.3">
      <c r="A241" s="26"/>
      <c r="B241" s="27"/>
      <c r="C241" s="28"/>
      <c r="D241" s="27"/>
      <c r="E241" s="29" t="s">
        <v>148</v>
      </c>
      <c r="F241" s="30">
        <f>SUM(F239:F240)</f>
        <v>357</v>
      </c>
    </row>
    <row r="242" spans="1:6" ht="15.75" thickBot="1" x14ac:dyDescent="0.3">
      <c r="A242" s="180" t="s">
        <v>168</v>
      </c>
      <c r="B242" s="181"/>
      <c r="C242" s="181"/>
      <c r="D242" s="181"/>
      <c r="E242" s="182">
        <f>+F231+F234+F237+F241</f>
        <v>12996</v>
      </c>
      <c r="F242" s="183"/>
    </row>
    <row r="243" spans="1:6" x14ac:dyDescent="0.25">
      <c r="A243" s="31"/>
      <c r="F243" s="32"/>
    </row>
    <row r="244" spans="1:6" ht="15.75" x14ac:dyDescent="0.25">
      <c r="A244" s="184" t="s">
        <v>136</v>
      </c>
      <c r="B244" s="185"/>
      <c r="C244" s="185"/>
      <c r="D244" s="185"/>
      <c r="E244" s="185"/>
      <c r="F244" s="186"/>
    </row>
    <row r="245" spans="1:6" x14ac:dyDescent="0.25">
      <c r="A245" s="190" t="str">
        <f>+'RESUMEN APUS'!B24</f>
        <v>Colocación de MALLA ELECTROSOLDADA TIPO D 188. Incluye el suministro y el transporte del material y todos los elementos necesarios para su correcta colocación.</v>
      </c>
      <c r="B245" s="191"/>
      <c r="C245" s="191"/>
      <c r="D245" s="192"/>
      <c r="E245" s="12" t="s">
        <v>137</v>
      </c>
      <c r="F245" s="13" t="s">
        <v>3</v>
      </c>
    </row>
    <row r="246" spans="1:6" x14ac:dyDescent="0.25">
      <c r="A246" s="193"/>
      <c r="B246" s="194"/>
      <c r="C246" s="194"/>
      <c r="D246" s="195"/>
      <c r="E246" s="14" t="s">
        <v>34</v>
      </c>
      <c r="F246" s="15" t="s">
        <v>138</v>
      </c>
    </row>
    <row r="247" spans="1:6" x14ac:dyDescent="0.25">
      <c r="A247" s="16" t="s">
        <v>139</v>
      </c>
      <c r="B247" s="17" t="s">
        <v>172</v>
      </c>
      <c r="C247" s="18" t="s">
        <v>3</v>
      </c>
      <c r="D247" s="18" t="s">
        <v>141</v>
      </c>
      <c r="E247" s="18" t="s">
        <v>142</v>
      </c>
      <c r="F247" s="19" t="s">
        <v>143</v>
      </c>
    </row>
    <row r="248" spans="1:6" x14ac:dyDescent="0.25">
      <c r="A248" s="54" t="s">
        <v>530</v>
      </c>
      <c r="B248" s="21" t="s">
        <v>214</v>
      </c>
      <c r="C248" s="22" t="s">
        <v>202</v>
      </c>
      <c r="D248" s="23">
        <v>1.05</v>
      </c>
      <c r="E248" s="24">
        <f>7780*1.052</f>
        <v>8184.56</v>
      </c>
      <c r="F248" s="25">
        <f>ROUND(D248*E248,0)</f>
        <v>8594</v>
      </c>
    </row>
    <row r="249" spans="1:6" ht="14.25" thickBot="1" x14ac:dyDescent="0.3">
      <c r="A249" s="20" t="s">
        <v>200</v>
      </c>
      <c r="B249" s="21" t="s">
        <v>201</v>
      </c>
      <c r="C249" s="22" t="s">
        <v>202</v>
      </c>
      <c r="D249" s="23">
        <v>0.11</v>
      </c>
      <c r="E249" s="24">
        <f>7500*1.052</f>
        <v>7890</v>
      </c>
      <c r="F249" s="25">
        <f>ROUND(D249*E249,0)</f>
        <v>868</v>
      </c>
    </row>
    <row r="250" spans="1:6" ht="14.25" thickBot="1" x14ac:dyDescent="0.3">
      <c r="A250" s="26" t="s">
        <v>175</v>
      </c>
      <c r="B250" s="27"/>
      <c r="C250" s="28">
        <v>90.049309664694306</v>
      </c>
      <c r="D250" s="27"/>
      <c r="E250" s="29" t="s">
        <v>148</v>
      </c>
      <c r="F250" s="30">
        <f>SUM(F248:F249)</f>
        <v>9462</v>
      </c>
    </row>
    <row r="251" spans="1:6" x14ac:dyDescent="0.25">
      <c r="A251" s="16" t="s">
        <v>139</v>
      </c>
      <c r="B251" s="17" t="s">
        <v>140</v>
      </c>
      <c r="C251" s="18" t="s">
        <v>3</v>
      </c>
      <c r="D251" s="18" t="s">
        <v>141</v>
      </c>
      <c r="E251" s="18" t="s">
        <v>142</v>
      </c>
      <c r="F251" s="19" t="s">
        <v>143</v>
      </c>
    </row>
    <row r="252" spans="1:6" ht="14.25" thickBot="1" x14ac:dyDescent="0.3">
      <c r="A252" s="20" t="s">
        <v>215</v>
      </c>
      <c r="B252" s="21" t="s">
        <v>216</v>
      </c>
      <c r="C252" s="22" t="s">
        <v>146</v>
      </c>
      <c r="D252" s="23">
        <v>3.5000000000000001E-3</v>
      </c>
      <c r="E252" s="24">
        <f>+E369</f>
        <v>320693.99999999994</v>
      </c>
      <c r="F252" s="25">
        <f>ROUND(D252*E252,0)</f>
        <v>1122</v>
      </c>
    </row>
    <row r="253" spans="1:6" ht="14.25" thickBot="1" x14ac:dyDescent="0.3">
      <c r="A253" s="26" t="s">
        <v>147</v>
      </c>
      <c r="B253" s="27"/>
      <c r="C253" s="28">
        <v>9.1124260355029598</v>
      </c>
      <c r="D253" s="27"/>
      <c r="E253" s="29" t="s">
        <v>148</v>
      </c>
      <c r="F253" s="30">
        <f>SUM(F252)</f>
        <v>1122</v>
      </c>
    </row>
    <row r="254" spans="1:6" x14ac:dyDescent="0.25">
      <c r="A254" s="16" t="s">
        <v>139</v>
      </c>
      <c r="B254" s="17" t="s">
        <v>149</v>
      </c>
      <c r="C254" s="18" t="s">
        <v>3</v>
      </c>
      <c r="D254" s="18" t="s">
        <v>141</v>
      </c>
      <c r="E254" s="18" t="s">
        <v>142</v>
      </c>
      <c r="F254" s="19" t="s">
        <v>143</v>
      </c>
    </row>
    <row r="255" spans="1:6" ht="14.25" thickBot="1" x14ac:dyDescent="0.3">
      <c r="A255" s="20" t="s">
        <v>150</v>
      </c>
      <c r="B255" s="21" t="s">
        <v>151</v>
      </c>
      <c r="C255" s="22" t="s">
        <v>152</v>
      </c>
      <c r="D255" s="23">
        <v>0.05</v>
      </c>
      <c r="E255" s="24">
        <f>F253</f>
        <v>1122</v>
      </c>
      <c r="F255" s="25">
        <f>ROUND(D255*E255,0)</f>
        <v>56</v>
      </c>
    </row>
    <row r="256" spans="1:6" ht="14.25" thickBot="1" x14ac:dyDescent="0.3">
      <c r="A256" s="26" t="s">
        <v>153</v>
      </c>
      <c r="B256" s="27"/>
      <c r="C256" s="28">
        <v>0.45364891518737699</v>
      </c>
      <c r="D256" s="27"/>
      <c r="E256" s="29" t="s">
        <v>148</v>
      </c>
      <c r="F256" s="30">
        <f>SUM(F255)</f>
        <v>56</v>
      </c>
    </row>
    <row r="257" spans="1:6" x14ac:dyDescent="0.25">
      <c r="A257" s="16" t="s">
        <v>139</v>
      </c>
      <c r="B257" s="17" t="s">
        <v>161</v>
      </c>
      <c r="C257" s="18" t="s">
        <v>3</v>
      </c>
      <c r="D257" s="18" t="s">
        <v>141</v>
      </c>
      <c r="E257" s="18" t="s">
        <v>142</v>
      </c>
      <c r="F257" s="19" t="s">
        <v>143</v>
      </c>
    </row>
    <row r="258" spans="1:6" x14ac:dyDescent="0.25">
      <c r="A258" s="20" t="s">
        <v>212</v>
      </c>
      <c r="B258" s="21" t="s">
        <v>213</v>
      </c>
      <c r="C258" s="22" t="s">
        <v>202</v>
      </c>
      <c r="D258" s="23">
        <v>0.81</v>
      </c>
      <c r="E258" s="24">
        <f>99.744*1.052</f>
        <v>104.930688</v>
      </c>
      <c r="F258" s="25">
        <f>ROUND(D258*E258,0)</f>
        <v>85</v>
      </c>
    </row>
    <row r="259" spans="1:6" ht="14.25" thickBot="1" x14ac:dyDescent="0.3">
      <c r="A259" s="34" t="s">
        <v>191</v>
      </c>
      <c r="B259" s="35" t="s">
        <v>192</v>
      </c>
      <c r="C259" s="36" t="s">
        <v>193</v>
      </c>
      <c r="D259" s="37">
        <f>0.026/(2*6)</f>
        <v>2.1666666666666666E-3</v>
      </c>
      <c r="E259" s="38">
        <f>176630*1.052</f>
        <v>185814.76</v>
      </c>
      <c r="F259" s="25">
        <f>ROUND(D259*E259,0)</f>
        <v>403</v>
      </c>
    </row>
    <row r="260" spans="1:6" ht="14.25" thickBot="1" x14ac:dyDescent="0.3">
      <c r="A260" s="26" t="s">
        <v>167</v>
      </c>
      <c r="B260" s="27"/>
      <c r="C260" s="28">
        <v>0.38461538461538503</v>
      </c>
      <c r="D260" s="27"/>
      <c r="E260" s="29" t="s">
        <v>148</v>
      </c>
      <c r="F260" s="30">
        <f>SUM(F258:F259)</f>
        <v>488</v>
      </c>
    </row>
    <row r="261" spans="1:6" ht="15.75" thickBot="1" x14ac:dyDescent="0.3">
      <c r="A261" s="180" t="s">
        <v>168</v>
      </c>
      <c r="B261" s="181"/>
      <c r="C261" s="181"/>
      <c r="D261" s="181"/>
      <c r="E261" s="182">
        <f>+F250+F253+F256+F260</f>
        <v>11128</v>
      </c>
      <c r="F261" s="183"/>
    </row>
    <row r="262" spans="1:6" x14ac:dyDescent="0.25">
      <c r="A262" s="31"/>
      <c r="F262" s="32"/>
    </row>
    <row r="263" spans="1:6" ht="15.75" x14ac:dyDescent="0.25">
      <c r="A263" s="184" t="s">
        <v>136</v>
      </c>
      <c r="B263" s="185"/>
      <c r="C263" s="185"/>
      <c r="D263" s="185"/>
      <c r="E263" s="185"/>
      <c r="F263" s="186"/>
    </row>
    <row r="264" spans="1:6" x14ac:dyDescent="0.25">
      <c r="A264" s="174" t="str">
        <f>+'RESUMEN APUS'!B26</f>
        <v xml:space="preserve">Construcción de MAMPOSTERÍA EN LADRILLO PARA REVOCAR O ENCHAPAR una cara o dos caras, DE 10 x 20 x 40 cm. ESPESOR DE 10 cm. Incluye el suministro, el mortero de pega 1:4 espesor max=0.01 m y todos los demás elementos necesarios para su correcta construcción y funcionamiento.  </v>
      </c>
      <c r="B264" s="175"/>
      <c r="C264" s="175"/>
      <c r="D264" s="176"/>
      <c r="E264" s="12" t="s">
        <v>137</v>
      </c>
      <c r="F264" s="13" t="s">
        <v>3</v>
      </c>
    </row>
    <row r="265" spans="1:6" ht="49.5" customHeight="1" x14ac:dyDescent="0.25">
      <c r="A265" s="177"/>
      <c r="B265" s="178"/>
      <c r="C265" s="178"/>
      <c r="D265" s="179"/>
      <c r="E265" s="14" t="s">
        <v>37</v>
      </c>
      <c r="F265" s="15" t="s">
        <v>138</v>
      </c>
    </row>
    <row r="266" spans="1:6" x14ac:dyDescent="0.25">
      <c r="A266" s="16" t="s">
        <v>139</v>
      </c>
      <c r="B266" s="17" t="s">
        <v>172</v>
      </c>
      <c r="C266" s="18" t="s">
        <v>3</v>
      </c>
      <c r="D266" s="18" t="s">
        <v>141</v>
      </c>
      <c r="E266" s="18" t="s">
        <v>142</v>
      </c>
      <c r="F266" s="19" t="s">
        <v>143</v>
      </c>
    </row>
    <row r="267" spans="1:6" x14ac:dyDescent="0.25">
      <c r="A267" s="20" t="s">
        <v>221</v>
      </c>
      <c r="B267" s="21" t="s">
        <v>222</v>
      </c>
      <c r="C267" s="22" t="s">
        <v>171</v>
      </c>
      <c r="D267" s="23">
        <v>13.125</v>
      </c>
      <c r="E267" s="24">
        <f>1771.495*1.052</f>
        <v>1863.61274</v>
      </c>
      <c r="F267" s="25">
        <f>ROUND(D267*E267,0)</f>
        <v>24460</v>
      </c>
    </row>
    <row r="268" spans="1:6" ht="14.25" thickBot="1" x14ac:dyDescent="0.3">
      <c r="A268" s="20" t="s">
        <v>223</v>
      </c>
      <c r="B268" s="21" t="s">
        <v>224</v>
      </c>
      <c r="C268" s="22" t="s">
        <v>164</v>
      </c>
      <c r="D268" s="23">
        <v>1.6930000000000001E-2</v>
      </c>
      <c r="E268" s="24">
        <f>443829.2144*1.052</f>
        <v>466908.33354880003</v>
      </c>
      <c r="F268" s="25">
        <f>ROUND(D268*E268,0)</f>
        <v>7905</v>
      </c>
    </row>
    <row r="269" spans="1:6" ht="14.25" thickBot="1" x14ac:dyDescent="0.3">
      <c r="A269" s="26" t="s">
        <v>175</v>
      </c>
      <c r="B269" s="27"/>
      <c r="C269" s="28">
        <v>47.704018585339298</v>
      </c>
      <c r="D269" s="27"/>
      <c r="E269" s="29" t="s">
        <v>148</v>
      </c>
      <c r="F269" s="30">
        <f>SUM(F267:F268)</f>
        <v>32365</v>
      </c>
    </row>
    <row r="270" spans="1:6" x14ac:dyDescent="0.25">
      <c r="A270" s="16" t="s">
        <v>139</v>
      </c>
      <c r="B270" s="17" t="s">
        <v>140</v>
      </c>
      <c r="C270" s="18" t="s">
        <v>3</v>
      </c>
      <c r="D270" s="18" t="s">
        <v>141</v>
      </c>
      <c r="E270" s="18" t="s">
        <v>142</v>
      </c>
      <c r="F270" s="19" t="s">
        <v>143</v>
      </c>
    </row>
    <row r="271" spans="1:6" ht="14.25" thickBot="1" x14ac:dyDescent="0.3">
      <c r="A271" s="20" t="s">
        <v>225</v>
      </c>
      <c r="B271" s="21" t="s">
        <v>226</v>
      </c>
      <c r="C271" s="22" t="s">
        <v>146</v>
      </c>
      <c r="D271" s="23">
        <v>9.8316463414634167E-2</v>
      </c>
      <c r="E271" s="24">
        <f>312364.759126667*1.1*$J$1</f>
        <v>388269.39559444704</v>
      </c>
      <c r="F271" s="25">
        <f>ROUND(D271*E271,0)</f>
        <v>38173</v>
      </c>
    </row>
    <row r="272" spans="1:6" ht="14.25" thickBot="1" x14ac:dyDescent="0.3">
      <c r="A272" s="26" t="s">
        <v>147</v>
      </c>
      <c r="B272" s="27"/>
      <c r="C272" s="28">
        <v>43.313067404807803</v>
      </c>
      <c r="D272" s="27"/>
      <c r="E272" s="29" t="s">
        <v>148</v>
      </c>
      <c r="F272" s="30">
        <f>SUM(F271)</f>
        <v>38173</v>
      </c>
    </row>
    <row r="273" spans="1:19" x14ac:dyDescent="0.25">
      <c r="A273" s="16" t="s">
        <v>139</v>
      </c>
      <c r="B273" s="17" t="s">
        <v>149</v>
      </c>
      <c r="C273" s="18" t="s">
        <v>3</v>
      </c>
      <c r="D273" s="18" t="s">
        <v>141</v>
      </c>
      <c r="E273" s="18" t="s">
        <v>142</v>
      </c>
      <c r="F273" s="19" t="s">
        <v>143</v>
      </c>
    </row>
    <row r="274" spans="1:19" ht="14.25" thickBot="1" x14ac:dyDescent="0.3">
      <c r="A274" s="20" t="s">
        <v>150</v>
      </c>
      <c r="B274" s="21" t="s">
        <v>151</v>
      </c>
      <c r="C274" s="22" t="s">
        <v>152</v>
      </c>
      <c r="D274" s="23">
        <v>0.05</v>
      </c>
      <c r="E274" s="24">
        <f>F272</f>
        <v>38173</v>
      </c>
      <c r="F274" s="25">
        <f>ROUND(D274*E274,0)</f>
        <v>1909</v>
      </c>
    </row>
    <row r="275" spans="1:19" ht="14.25" thickBot="1" x14ac:dyDescent="0.3">
      <c r="A275" s="26" t="s">
        <v>153</v>
      </c>
      <c r="B275" s="27"/>
      <c r="C275" s="28">
        <v>2.16499431565419</v>
      </c>
      <c r="D275" s="27"/>
      <c r="E275" s="29" t="s">
        <v>148</v>
      </c>
      <c r="F275" s="30">
        <f>SUM(F274)</f>
        <v>1909</v>
      </c>
    </row>
    <row r="276" spans="1:19" x14ac:dyDescent="0.25">
      <c r="A276" s="16" t="s">
        <v>139</v>
      </c>
      <c r="B276" s="17" t="s">
        <v>154</v>
      </c>
      <c r="C276" s="18" t="s">
        <v>3</v>
      </c>
      <c r="D276" s="18" t="s">
        <v>141</v>
      </c>
      <c r="E276" s="18" t="s">
        <v>142</v>
      </c>
      <c r="F276" s="19" t="s">
        <v>143</v>
      </c>
    </row>
    <row r="277" spans="1:19" ht="27" x14ac:dyDescent="0.25">
      <c r="A277" s="20" t="s">
        <v>155</v>
      </c>
      <c r="B277" s="21" t="s">
        <v>156</v>
      </c>
      <c r="C277" s="22" t="s">
        <v>157</v>
      </c>
      <c r="D277" s="23">
        <v>0.112</v>
      </c>
      <c r="E277" s="24">
        <v>5200</v>
      </c>
      <c r="F277" s="25">
        <f>ROUND(D277*E277,0)</f>
        <v>582</v>
      </c>
    </row>
    <row r="278" spans="1:19" ht="27" x14ac:dyDescent="0.25">
      <c r="A278" s="20" t="s">
        <v>158</v>
      </c>
      <c r="B278" s="21" t="s">
        <v>159</v>
      </c>
      <c r="C278" s="22" t="s">
        <v>157</v>
      </c>
      <c r="D278" s="23">
        <v>0.224</v>
      </c>
      <c r="E278" s="24">
        <v>4100</v>
      </c>
      <c r="F278" s="25">
        <f>ROUND(D278*E278,0)</f>
        <v>918</v>
      </c>
    </row>
    <row r="279" spans="1:19" ht="14.25" thickBot="1" x14ac:dyDescent="0.3">
      <c r="A279" s="20" t="s">
        <v>227</v>
      </c>
      <c r="B279" s="21" t="s">
        <v>228</v>
      </c>
      <c r="C279" s="22" t="s">
        <v>157</v>
      </c>
      <c r="D279" s="23">
        <v>0.02</v>
      </c>
      <c r="E279" s="24">
        <f>202529.011234223*1.052</f>
        <v>213060.51981840259</v>
      </c>
      <c r="F279" s="25">
        <f>ROUND(D279*E279,0)</f>
        <v>4261</v>
      </c>
    </row>
    <row r="280" spans="1:19" ht="14.25" thickBot="1" x14ac:dyDescent="0.3">
      <c r="A280" s="26" t="s">
        <v>160</v>
      </c>
      <c r="B280" s="27"/>
      <c r="C280" s="28">
        <v>4.8325177532829198</v>
      </c>
      <c r="D280" s="27"/>
      <c r="E280" s="29" t="s">
        <v>148</v>
      </c>
      <c r="F280" s="30">
        <f>SUM(F277:F279)</f>
        <v>5761</v>
      </c>
    </row>
    <row r="281" spans="1:19" x14ac:dyDescent="0.25">
      <c r="A281" s="16" t="s">
        <v>139</v>
      </c>
      <c r="B281" s="17" t="s">
        <v>161</v>
      </c>
      <c r="C281" s="18" t="s">
        <v>3</v>
      </c>
      <c r="D281" s="18" t="s">
        <v>141</v>
      </c>
      <c r="E281" s="18" t="s">
        <v>142</v>
      </c>
      <c r="F281" s="19" t="s">
        <v>143</v>
      </c>
    </row>
    <row r="282" spans="1:19" x14ac:dyDescent="0.25">
      <c r="A282" s="20" t="s">
        <v>184</v>
      </c>
      <c r="B282" s="21" t="s">
        <v>185</v>
      </c>
      <c r="C282" s="22" t="s">
        <v>171</v>
      </c>
      <c r="D282" s="23">
        <v>0.56299999999999994</v>
      </c>
      <c r="E282" s="24">
        <f>222.346*1.052</f>
        <v>233.90799200000001</v>
      </c>
      <c r="F282" s="25">
        <f>ROUND(D282*E282,0)</f>
        <v>132</v>
      </c>
    </row>
    <row r="283" spans="1:19" ht="14.25" thickBot="1" x14ac:dyDescent="0.3">
      <c r="A283" s="34" t="s">
        <v>191</v>
      </c>
      <c r="B283" s="35" t="s">
        <v>192</v>
      </c>
      <c r="C283" s="36" t="s">
        <v>193</v>
      </c>
      <c r="D283" s="37">
        <f>(D267*0.003)+D268</f>
        <v>5.6305000000000001E-2</v>
      </c>
      <c r="E283" s="38">
        <f>176630*1.052</f>
        <v>185814.76</v>
      </c>
      <c r="F283" s="25">
        <f>ROUND(D283*E283,0)</f>
        <v>10462</v>
      </c>
    </row>
    <row r="284" spans="1:19" ht="14.25" thickBot="1" x14ac:dyDescent="0.3">
      <c r="A284" s="26"/>
      <c r="B284" s="27"/>
      <c r="C284" s="28"/>
      <c r="D284" s="27"/>
      <c r="E284" s="29" t="s">
        <v>148</v>
      </c>
      <c r="F284" s="30">
        <f>SUM(F282:F283)</f>
        <v>10594</v>
      </c>
    </row>
    <row r="285" spans="1:19" ht="15.75" thickBot="1" x14ac:dyDescent="0.3">
      <c r="A285" s="180" t="s">
        <v>168</v>
      </c>
      <c r="B285" s="181"/>
      <c r="C285" s="181"/>
      <c r="D285" s="181"/>
      <c r="E285" s="182">
        <f>+F269+F272+F275+F280+F284</f>
        <v>88802</v>
      </c>
      <c r="F285" s="183"/>
    </row>
    <row r="286" spans="1:19" x14ac:dyDescent="0.25">
      <c r="A286" s="31"/>
      <c r="F286" s="32"/>
    </row>
    <row r="287" spans="1:19" ht="15.75" x14ac:dyDescent="0.25">
      <c r="A287" s="184" t="s">
        <v>136</v>
      </c>
      <c r="B287" s="185"/>
      <c r="C287" s="185"/>
      <c r="D287" s="185"/>
      <c r="E287" s="185"/>
      <c r="F287" s="186"/>
      <c r="L287"/>
      <c r="M287"/>
      <c r="N287"/>
      <c r="O287"/>
      <c r="P287"/>
      <c r="Q287"/>
      <c r="R287"/>
      <c r="S287"/>
    </row>
    <row r="288" spans="1:19" x14ac:dyDescent="0.25">
      <c r="A288" s="190" t="s">
        <v>40</v>
      </c>
      <c r="B288" s="191"/>
      <c r="C288" s="191"/>
      <c r="D288" s="192"/>
      <c r="E288" s="12" t="s">
        <v>137</v>
      </c>
      <c r="F288" s="13" t="s">
        <v>3</v>
      </c>
      <c r="L288"/>
      <c r="M288"/>
      <c r="N288"/>
      <c r="O288"/>
      <c r="P288"/>
      <c r="Q288"/>
      <c r="R288"/>
      <c r="S288"/>
    </row>
    <row r="289" spans="1:19" ht="25.5" customHeight="1" x14ac:dyDescent="0.25">
      <c r="A289" s="193"/>
      <c r="B289" s="194"/>
      <c r="C289" s="194"/>
      <c r="D289" s="195"/>
      <c r="E289" s="14" t="s">
        <v>39</v>
      </c>
      <c r="F289" s="15" t="s">
        <v>138</v>
      </c>
      <c r="L289"/>
      <c r="M289"/>
      <c r="N289"/>
      <c r="O289"/>
      <c r="P289"/>
      <c r="Q289"/>
      <c r="R289"/>
      <c r="S289"/>
    </row>
    <row r="290" spans="1:19" x14ac:dyDescent="0.25">
      <c r="A290" s="16" t="s">
        <v>139</v>
      </c>
      <c r="B290" s="17" t="s">
        <v>172</v>
      </c>
      <c r="C290" s="18" t="s">
        <v>3</v>
      </c>
      <c r="D290" s="18" t="s">
        <v>141</v>
      </c>
      <c r="E290" s="18" t="s">
        <v>142</v>
      </c>
      <c r="F290" s="19" t="s">
        <v>143</v>
      </c>
      <c r="K290"/>
      <c r="L290"/>
      <c r="M290"/>
      <c r="N290"/>
      <c r="O290"/>
      <c r="P290"/>
      <c r="Q290"/>
      <c r="R290"/>
      <c r="S290"/>
    </row>
    <row r="291" spans="1:19" x14ac:dyDescent="0.25">
      <c r="A291" s="20" t="s">
        <v>223</v>
      </c>
      <c r="B291" s="21" t="s">
        <v>224</v>
      </c>
      <c r="C291" s="22" t="s">
        <v>164</v>
      </c>
      <c r="D291" s="23">
        <v>8.8999999999999999E-3</v>
      </c>
      <c r="E291" s="24">
        <f>443829.2144*1.052</f>
        <v>466908.33354880003</v>
      </c>
      <c r="F291" s="25">
        <f>ROUND(D291*E291,0)</f>
        <v>4155</v>
      </c>
      <c r="K291"/>
      <c r="L291"/>
      <c r="M291"/>
      <c r="N291"/>
      <c r="O291"/>
      <c r="P291"/>
      <c r="Q291"/>
      <c r="R291"/>
      <c r="S291"/>
    </row>
    <row r="292" spans="1:19" ht="14.25" thickBot="1" x14ac:dyDescent="0.3">
      <c r="A292" s="20" t="s">
        <v>229</v>
      </c>
      <c r="B292" s="21" t="s">
        <v>230</v>
      </c>
      <c r="C292" s="22" t="s">
        <v>171</v>
      </c>
      <c r="D292" s="23">
        <v>25.5</v>
      </c>
      <c r="E292" s="24">
        <f>3546.71905693742*1.052</f>
        <v>3731.1484478981661</v>
      </c>
      <c r="F292" s="25">
        <f>ROUND(D292*E292,0)</f>
        <v>95144</v>
      </c>
      <c r="K292"/>
      <c r="L292"/>
      <c r="M292"/>
      <c r="N292"/>
      <c r="O292"/>
      <c r="P292"/>
      <c r="Q292"/>
      <c r="R292"/>
      <c r="S292"/>
    </row>
    <row r="293" spans="1:19" ht="14.25" thickBot="1" x14ac:dyDescent="0.3">
      <c r="A293" s="26" t="s">
        <v>175</v>
      </c>
      <c r="B293" s="27"/>
      <c r="C293" s="28">
        <v>81.843663301204103</v>
      </c>
      <c r="D293" s="27"/>
      <c r="E293" s="29" t="s">
        <v>148</v>
      </c>
      <c r="F293" s="30">
        <f>SUM(F291:F292)</f>
        <v>99299</v>
      </c>
      <c r="K293"/>
      <c r="L293"/>
      <c r="M293"/>
      <c r="N293"/>
      <c r="O293"/>
      <c r="P293"/>
      <c r="Q293"/>
      <c r="R293"/>
      <c r="S293"/>
    </row>
    <row r="294" spans="1:19" x14ac:dyDescent="0.25">
      <c r="A294" s="16" t="s">
        <v>139</v>
      </c>
      <c r="B294" s="17" t="s">
        <v>140</v>
      </c>
      <c r="C294" s="18" t="s">
        <v>3</v>
      </c>
      <c r="D294" s="18" t="s">
        <v>141</v>
      </c>
      <c r="E294" s="18" t="s">
        <v>142</v>
      </c>
      <c r="F294" s="19" t="s">
        <v>143</v>
      </c>
      <c r="K294"/>
      <c r="L294"/>
      <c r="M294"/>
      <c r="N294"/>
      <c r="O294"/>
      <c r="P294"/>
      <c r="Q294"/>
      <c r="R294"/>
      <c r="S294"/>
    </row>
    <row r="295" spans="1:19" ht="14.25" thickBot="1" x14ac:dyDescent="0.3">
      <c r="A295" s="20" t="s">
        <v>225</v>
      </c>
      <c r="B295" s="21" t="s">
        <v>226</v>
      </c>
      <c r="C295" s="22" t="s">
        <v>146</v>
      </c>
      <c r="D295" s="23">
        <v>8.5000000000000006E-2</v>
      </c>
      <c r="E295" s="24">
        <f>312364.759126667*1.1*$J$1</f>
        <v>388269.39559444704</v>
      </c>
      <c r="F295" s="25">
        <f>ROUND(D295*E295,0)</f>
        <v>33003</v>
      </c>
      <c r="K295"/>
      <c r="L295"/>
      <c r="M295"/>
      <c r="N295"/>
      <c r="O295"/>
      <c r="P295"/>
      <c r="Q295"/>
      <c r="R295"/>
      <c r="S295"/>
    </row>
    <row r="296" spans="1:19" ht="14.25" thickBot="1" x14ac:dyDescent="0.3">
      <c r="A296" s="26" t="s">
        <v>147</v>
      </c>
      <c r="B296" s="27"/>
      <c r="C296" s="28">
        <v>15.0376111889712</v>
      </c>
      <c r="D296" s="27"/>
      <c r="E296" s="29" t="s">
        <v>148</v>
      </c>
      <c r="F296" s="30">
        <f>SUM(F295)</f>
        <v>33003</v>
      </c>
      <c r="K296"/>
      <c r="L296"/>
      <c r="M296"/>
      <c r="N296"/>
      <c r="O296"/>
      <c r="P296"/>
      <c r="Q296"/>
      <c r="R296"/>
      <c r="S296"/>
    </row>
    <row r="297" spans="1:19" x14ac:dyDescent="0.25">
      <c r="A297" s="16" t="s">
        <v>139</v>
      </c>
      <c r="B297" s="17" t="s">
        <v>149</v>
      </c>
      <c r="C297" s="18" t="s">
        <v>3</v>
      </c>
      <c r="D297" s="18" t="s">
        <v>141</v>
      </c>
      <c r="E297" s="18" t="s">
        <v>142</v>
      </c>
      <c r="F297" s="19" t="s">
        <v>143</v>
      </c>
      <c r="K297"/>
      <c r="L297"/>
      <c r="M297"/>
      <c r="N297"/>
      <c r="O297"/>
      <c r="P297"/>
      <c r="Q297"/>
      <c r="R297"/>
      <c r="S297"/>
    </row>
    <row r="298" spans="1:19" ht="14.25" thickBot="1" x14ac:dyDescent="0.3">
      <c r="A298" s="20" t="s">
        <v>150</v>
      </c>
      <c r="B298" s="21" t="s">
        <v>151</v>
      </c>
      <c r="C298" s="22" t="s">
        <v>152</v>
      </c>
      <c r="D298" s="23">
        <v>0.05</v>
      </c>
      <c r="E298" s="24">
        <f>F296</f>
        <v>33003</v>
      </c>
      <c r="F298" s="25">
        <f>ROUND(D298*E298,0)</f>
        <v>1650</v>
      </c>
      <c r="K298"/>
      <c r="L298"/>
      <c r="M298"/>
      <c r="N298"/>
      <c r="O298"/>
      <c r="P298"/>
      <c r="Q298"/>
      <c r="R298"/>
      <c r="S298"/>
    </row>
    <row r="299" spans="1:19" ht="14.25" thickBot="1" x14ac:dyDescent="0.3">
      <c r="A299" s="26" t="s">
        <v>153</v>
      </c>
      <c r="B299" s="27"/>
      <c r="C299" s="28">
        <v>0.751651746131625</v>
      </c>
      <c r="D299" s="27"/>
      <c r="E299" s="29" t="s">
        <v>148</v>
      </c>
      <c r="F299" s="30">
        <f>SUM(F298)</f>
        <v>1650</v>
      </c>
      <c r="K299"/>
      <c r="L299"/>
      <c r="M299"/>
      <c r="N299"/>
      <c r="O299"/>
      <c r="P299"/>
      <c r="Q299"/>
      <c r="R299"/>
      <c r="S299"/>
    </row>
    <row r="300" spans="1:19" x14ac:dyDescent="0.25">
      <c r="A300" s="16" t="s">
        <v>139</v>
      </c>
      <c r="B300" s="17" t="s">
        <v>154</v>
      </c>
      <c r="C300" s="18" t="s">
        <v>3</v>
      </c>
      <c r="D300" s="18" t="s">
        <v>141</v>
      </c>
      <c r="E300" s="18" t="s">
        <v>142</v>
      </c>
      <c r="F300" s="19" t="s">
        <v>143</v>
      </c>
      <c r="K300"/>
      <c r="L300"/>
      <c r="M300"/>
      <c r="N300"/>
      <c r="O300"/>
      <c r="P300"/>
      <c r="Q300"/>
      <c r="R300"/>
      <c r="S300"/>
    </row>
    <row r="301" spans="1:19" ht="27" x14ac:dyDescent="0.25">
      <c r="A301" s="20" t="s">
        <v>155</v>
      </c>
      <c r="B301" s="21" t="s">
        <v>156</v>
      </c>
      <c r="C301" s="22" t="s">
        <v>157</v>
      </c>
      <c r="D301" s="23">
        <v>0.112</v>
      </c>
      <c r="E301" s="24">
        <v>5200</v>
      </c>
      <c r="F301" s="25">
        <f>ROUND(D301*E301,0)</f>
        <v>582</v>
      </c>
      <c r="K301"/>
      <c r="L301"/>
      <c r="M301"/>
      <c r="N301"/>
      <c r="O301"/>
      <c r="P301"/>
      <c r="Q301"/>
      <c r="R301"/>
      <c r="S301"/>
    </row>
    <row r="302" spans="1:19" ht="27" x14ac:dyDescent="0.25">
      <c r="A302" s="20" t="s">
        <v>158</v>
      </c>
      <c r="B302" s="21" t="s">
        <v>159</v>
      </c>
      <c r="C302" s="22" t="s">
        <v>157</v>
      </c>
      <c r="D302" s="23">
        <v>0.224</v>
      </c>
      <c r="E302" s="24">
        <v>4100</v>
      </c>
      <c r="F302" s="25">
        <f>ROUND(D302*E302,0)</f>
        <v>918</v>
      </c>
      <c r="K302"/>
      <c r="L302"/>
      <c r="M302"/>
      <c r="N302"/>
      <c r="O302"/>
      <c r="P302"/>
      <c r="Q302"/>
      <c r="R302"/>
      <c r="S302"/>
    </row>
    <row r="303" spans="1:19" ht="14.25" thickBot="1" x14ac:dyDescent="0.3">
      <c r="A303" s="20" t="s">
        <v>227</v>
      </c>
      <c r="B303" s="21" t="s">
        <v>228</v>
      </c>
      <c r="C303" s="22" t="s">
        <v>157</v>
      </c>
      <c r="D303" s="23">
        <v>1.4500000000000001E-2</v>
      </c>
      <c r="E303" s="24">
        <f>202529.011234223*1.052</f>
        <v>213060.51981840259</v>
      </c>
      <c r="F303" s="25">
        <f>ROUND(D303*E303,0)</f>
        <v>3089</v>
      </c>
      <c r="K303"/>
      <c r="L303"/>
      <c r="M303"/>
      <c r="N303"/>
      <c r="O303"/>
      <c r="P303"/>
      <c r="Q303"/>
      <c r="R303"/>
      <c r="S303"/>
    </row>
    <row r="304" spans="1:19" ht="14.25" thickBot="1" x14ac:dyDescent="0.3">
      <c r="A304" s="26" t="s">
        <v>160</v>
      </c>
      <c r="B304" s="27"/>
      <c r="C304" s="28">
        <v>1.6777736464262201</v>
      </c>
      <c r="D304" s="27"/>
      <c r="E304" s="29" t="s">
        <v>148</v>
      </c>
      <c r="F304" s="30">
        <f>SUM(F301:F303)</f>
        <v>4589</v>
      </c>
      <c r="K304"/>
      <c r="L304"/>
      <c r="M304"/>
      <c r="N304"/>
      <c r="O304"/>
      <c r="P304"/>
      <c r="Q304"/>
      <c r="R304"/>
      <c r="S304"/>
    </row>
    <row r="305" spans="1:19" x14ac:dyDescent="0.25">
      <c r="A305" s="16" t="s">
        <v>139</v>
      </c>
      <c r="B305" s="17" t="s">
        <v>161</v>
      </c>
      <c r="C305" s="18" t="s">
        <v>3</v>
      </c>
      <c r="D305" s="18" t="s">
        <v>141</v>
      </c>
      <c r="E305" s="18" t="s">
        <v>142</v>
      </c>
      <c r="F305" s="19" t="s">
        <v>143</v>
      </c>
      <c r="K305"/>
      <c r="L305"/>
      <c r="M305"/>
      <c r="N305"/>
      <c r="O305"/>
      <c r="P305"/>
      <c r="Q305"/>
      <c r="R305"/>
      <c r="S305"/>
    </row>
    <row r="306" spans="1:19" x14ac:dyDescent="0.25">
      <c r="A306" s="20" t="s">
        <v>184</v>
      </c>
      <c r="B306" s="21" t="s">
        <v>185</v>
      </c>
      <c r="C306" s="22" t="s">
        <v>171</v>
      </c>
      <c r="D306" s="23">
        <v>0.56299999999999994</v>
      </c>
      <c r="E306" s="24">
        <f>2223.46*1.052</f>
        <v>2339.0799200000001</v>
      </c>
      <c r="F306" s="25">
        <f>ROUND(D306*E306,0)</f>
        <v>1317</v>
      </c>
      <c r="K306"/>
      <c r="L306"/>
      <c r="M306"/>
      <c r="N306"/>
      <c r="O306"/>
      <c r="P306"/>
      <c r="Q306"/>
      <c r="R306"/>
      <c r="S306"/>
    </row>
    <row r="307" spans="1:19" ht="14.25" thickBot="1" x14ac:dyDescent="0.3">
      <c r="A307" s="34" t="s">
        <v>191</v>
      </c>
      <c r="B307" s="35" t="s">
        <v>192</v>
      </c>
      <c r="C307" s="36" t="s">
        <v>193</v>
      </c>
      <c r="D307" s="37">
        <f>(D292*0.002)+D291</f>
        <v>5.9900000000000002E-2</v>
      </c>
      <c r="E307" s="38">
        <f>176630*1.052</f>
        <v>185814.76</v>
      </c>
      <c r="F307" s="25">
        <f>ROUND(D307*E307,0)</f>
        <v>11130</v>
      </c>
      <c r="K307"/>
      <c r="L307"/>
      <c r="M307"/>
      <c r="N307"/>
      <c r="O307"/>
      <c r="P307"/>
      <c r="Q307"/>
      <c r="R307"/>
      <c r="S307"/>
    </row>
    <row r="308" spans="1:19" ht="14.25" thickBot="1" x14ac:dyDescent="0.3">
      <c r="A308" s="26" t="s">
        <v>167</v>
      </c>
      <c r="B308" s="27"/>
      <c r="C308" s="28">
        <v>0.68930011726682505</v>
      </c>
      <c r="D308" s="27"/>
      <c r="E308" s="29" t="s">
        <v>148</v>
      </c>
      <c r="F308" s="30">
        <f>SUM(F306:F307)</f>
        <v>12447</v>
      </c>
      <c r="K308"/>
      <c r="L308"/>
      <c r="M308"/>
      <c r="N308"/>
      <c r="O308"/>
      <c r="P308"/>
      <c r="Q308"/>
      <c r="R308"/>
      <c r="S308"/>
    </row>
    <row r="309" spans="1:19" ht="15.75" thickBot="1" x14ac:dyDescent="0.3">
      <c r="A309" s="180" t="s">
        <v>168</v>
      </c>
      <c r="B309" s="181"/>
      <c r="C309" s="181"/>
      <c r="D309" s="181"/>
      <c r="E309" s="182">
        <f>+F293+F296+F299+F304+F308</f>
        <v>150988</v>
      </c>
      <c r="F309" s="183"/>
      <c r="K309"/>
      <c r="L309"/>
      <c r="M309"/>
      <c r="N309"/>
      <c r="O309"/>
      <c r="P309"/>
      <c r="Q309"/>
      <c r="R309"/>
      <c r="S309"/>
    </row>
    <row r="310" spans="1:19" x14ac:dyDescent="0.25">
      <c r="A310" s="31"/>
      <c r="F310" s="32"/>
    </row>
    <row r="311" spans="1:19" x14ac:dyDescent="0.25">
      <c r="A311" s="31"/>
      <c r="F311" s="32"/>
    </row>
    <row r="312" spans="1:19" ht="15.75" x14ac:dyDescent="0.25">
      <c r="A312" s="184" t="s">
        <v>136</v>
      </c>
      <c r="B312" s="185"/>
      <c r="C312" s="185"/>
      <c r="D312" s="185"/>
      <c r="E312" s="185"/>
      <c r="F312" s="186"/>
    </row>
    <row r="313" spans="1:19" x14ac:dyDescent="0.25">
      <c r="A313" s="174" t="str">
        <f>+'RESUMEN APUS'!B28</f>
        <v>Construcción de MAMPOSTERÍA EN BLOQUE DE CONCRETO DE 10x20x30 cm. ESPESOR DE 10.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v>
      </c>
      <c r="B313" s="175"/>
      <c r="C313" s="175"/>
      <c r="D313" s="176"/>
      <c r="E313" s="12" t="s">
        <v>137</v>
      </c>
      <c r="F313" s="13" t="s">
        <v>3</v>
      </c>
    </row>
    <row r="314" spans="1:19" ht="81.75" customHeight="1" x14ac:dyDescent="0.25">
      <c r="A314" s="177"/>
      <c r="B314" s="178"/>
      <c r="C314" s="178"/>
      <c r="D314" s="179"/>
      <c r="E314" s="14" t="s">
        <v>41</v>
      </c>
      <c r="F314" s="15" t="s">
        <v>138</v>
      </c>
    </row>
    <row r="315" spans="1:19" x14ac:dyDescent="0.25">
      <c r="A315" s="16" t="s">
        <v>139</v>
      </c>
      <c r="B315" s="17" t="s">
        <v>172</v>
      </c>
      <c r="C315" s="18" t="s">
        <v>3</v>
      </c>
      <c r="D315" s="18" t="s">
        <v>141</v>
      </c>
      <c r="E315" s="18" t="s">
        <v>142</v>
      </c>
      <c r="F315" s="19" t="s">
        <v>143</v>
      </c>
    </row>
    <row r="316" spans="1:19" ht="27" x14ac:dyDescent="0.25">
      <c r="A316" s="20" t="s">
        <v>231</v>
      </c>
      <c r="B316" s="21" t="s">
        <v>232</v>
      </c>
      <c r="C316" s="22" t="s">
        <v>171</v>
      </c>
      <c r="D316" s="23">
        <v>12.195119999999999</v>
      </c>
      <c r="E316" s="24">
        <f>4000*1.052</f>
        <v>4208</v>
      </c>
      <c r="F316" s="25">
        <f>ROUND(D316*E316,0)</f>
        <v>51317</v>
      </c>
    </row>
    <row r="317" spans="1:19" x14ac:dyDescent="0.25">
      <c r="A317" s="20" t="s">
        <v>233</v>
      </c>
      <c r="B317" s="21" t="s">
        <v>234</v>
      </c>
      <c r="C317" s="22" t="s">
        <v>164</v>
      </c>
      <c r="D317" s="23">
        <v>2.3199999999999998E-2</v>
      </c>
      <c r="E317" s="24">
        <f>381850.7*1.052</f>
        <v>401706.93640000001</v>
      </c>
      <c r="F317" s="25">
        <f>ROUND(D317*E317,0)</f>
        <v>9320</v>
      </c>
    </row>
    <row r="318" spans="1:19" ht="14.25" thickBot="1" x14ac:dyDescent="0.3">
      <c r="A318" s="20" t="s">
        <v>235</v>
      </c>
      <c r="B318" s="21" t="s">
        <v>236</v>
      </c>
      <c r="C318" s="22" t="s">
        <v>237</v>
      </c>
      <c r="D318" s="23">
        <v>3.074E-2</v>
      </c>
      <c r="E318" s="24">
        <f>11000*1.052</f>
        <v>11572</v>
      </c>
      <c r="F318" s="25">
        <f>ROUND(D318*E318,0)</f>
        <v>356</v>
      </c>
    </row>
    <row r="319" spans="1:19" ht="14.25" thickBot="1" x14ac:dyDescent="0.3">
      <c r="A319" s="26" t="s">
        <v>175</v>
      </c>
      <c r="B319" s="27"/>
      <c r="C319" s="28">
        <v>52.884198223882798</v>
      </c>
      <c r="D319" s="27"/>
      <c r="E319" s="29" t="s">
        <v>148</v>
      </c>
      <c r="F319" s="30">
        <f>SUM(F316:F318)</f>
        <v>60993</v>
      </c>
    </row>
    <row r="320" spans="1:19" x14ac:dyDescent="0.25">
      <c r="A320" s="16" t="s">
        <v>139</v>
      </c>
      <c r="B320" s="17" t="s">
        <v>140</v>
      </c>
      <c r="C320" s="18" t="s">
        <v>3</v>
      </c>
      <c r="D320" s="18" t="s">
        <v>141</v>
      </c>
      <c r="E320" s="18" t="s">
        <v>142</v>
      </c>
      <c r="F320" s="19" t="s">
        <v>143</v>
      </c>
    </row>
    <row r="321" spans="1:6" ht="14.25" thickBot="1" x14ac:dyDescent="0.3">
      <c r="A321" s="20" t="s">
        <v>225</v>
      </c>
      <c r="B321" s="21" t="s">
        <v>226</v>
      </c>
      <c r="C321" s="22" t="s">
        <v>146</v>
      </c>
      <c r="D321" s="23">
        <v>7.9435576814538889E-2</v>
      </c>
      <c r="E321" s="24">
        <f>312364.759126667*1.1*$J$1</f>
        <v>388269.39559444704</v>
      </c>
      <c r="F321" s="25">
        <f>ROUND(D321*E321,0)</f>
        <v>30842</v>
      </c>
    </row>
    <row r="322" spans="1:6" ht="14.25" thickBot="1" x14ac:dyDescent="0.3">
      <c r="A322" s="26" t="s">
        <v>147</v>
      </c>
      <c r="B322" s="27"/>
      <c r="C322" s="28">
        <v>41.073815995679197</v>
      </c>
      <c r="D322" s="27"/>
      <c r="E322" s="29" t="s">
        <v>148</v>
      </c>
      <c r="F322" s="30">
        <f>SUM(F321)</f>
        <v>30842</v>
      </c>
    </row>
    <row r="323" spans="1:6" x14ac:dyDescent="0.25">
      <c r="A323" s="16" t="s">
        <v>139</v>
      </c>
      <c r="B323" s="17" t="s">
        <v>149</v>
      </c>
      <c r="C323" s="18" t="s">
        <v>3</v>
      </c>
      <c r="D323" s="18" t="s">
        <v>141</v>
      </c>
      <c r="E323" s="18" t="s">
        <v>142</v>
      </c>
      <c r="F323" s="19" t="s">
        <v>143</v>
      </c>
    </row>
    <row r="324" spans="1:6" ht="14.25" thickBot="1" x14ac:dyDescent="0.3">
      <c r="A324" s="20" t="s">
        <v>150</v>
      </c>
      <c r="B324" s="21" t="s">
        <v>151</v>
      </c>
      <c r="C324" s="22" t="s">
        <v>152</v>
      </c>
      <c r="D324" s="23">
        <v>0.05</v>
      </c>
      <c r="E324" s="24">
        <f>F322</f>
        <v>30842</v>
      </c>
      <c r="F324" s="25">
        <f>ROUND(D324*E324,0)</f>
        <v>1542</v>
      </c>
    </row>
    <row r="325" spans="1:6" ht="14.25" thickBot="1" x14ac:dyDescent="0.3">
      <c r="A325" s="26" t="s">
        <v>153</v>
      </c>
      <c r="B325" s="27"/>
      <c r="C325" s="28">
        <v>2.0541335009695199</v>
      </c>
      <c r="D325" s="27"/>
      <c r="E325" s="29" t="s">
        <v>148</v>
      </c>
      <c r="F325" s="30">
        <f>SUM(F324)</f>
        <v>1542</v>
      </c>
    </row>
    <row r="326" spans="1:6" x14ac:dyDescent="0.25">
      <c r="A326" s="16" t="s">
        <v>139</v>
      </c>
      <c r="B326" s="17" t="s">
        <v>154</v>
      </c>
      <c r="C326" s="18" t="s">
        <v>3</v>
      </c>
      <c r="D326" s="18" t="s">
        <v>141</v>
      </c>
      <c r="E326" s="18" t="s">
        <v>142</v>
      </c>
      <c r="F326" s="19" t="s">
        <v>143</v>
      </c>
    </row>
    <row r="327" spans="1:6" x14ac:dyDescent="0.25">
      <c r="A327" s="20" t="s">
        <v>238</v>
      </c>
      <c r="B327" s="21" t="s">
        <v>239</v>
      </c>
      <c r="C327" s="22" t="s">
        <v>157</v>
      </c>
      <c r="D327" s="23">
        <v>0.04</v>
      </c>
      <c r="E327" s="24">
        <f>16000*1.052</f>
        <v>16832</v>
      </c>
      <c r="F327" s="25">
        <f>ROUND(D327*E327,0)</f>
        <v>673</v>
      </c>
    </row>
    <row r="328" spans="1:6" ht="27" x14ac:dyDescent="0.25">
      <c r="A328" s="20" t="s">
        <v>155</v>
      </c>
      <c r="B328" s="21" t="s">
        <v>156</v>
      </c>
      <c r="C328" s="22" t="s">
        <v>157</v>
      </c>
      <c r="D328" s="23">
        <v>0.60499999999999998</v>
      </c>
      <c r="E328" s="24">
        <v>5200</v>
      </c>
      <c r="F328" s="25">
        <f>ROUND(D328*E328,0)</f>
        <v>3146</v>
      </c>
    </row>
    <row r="329" spans="1:6" ht="27" x14ac:dyDescent="0.25">
      <c r="A329" s="20" t="s">
        <v>158</v>
      </c>
      <c r="B329" s="21" t="s">
        <v>159</v>
      </c>
      <c r="C329" s="22" t="s">
        <v>157</v>
      </c>
      <c r="D329" s="23">
        <v>0.54054000000000002</v>
      </c>
      <c r="E329" s="24">
        <v>4100</v>
      </c>
      <c r="F329" s="25">
        <f>ROUND(D329*E329,0)</f>
        <v>2216</v>
      </c>
    </row>
    <row r="330" spans="1:6" ht="14.25" thickBot="1" x14ac:dyDescent="0.3">
      <c r="A330" s="20" t="s">
        <v>240</v>
      </c>
      <c r="B330" s="21" t="s">
        <v>241</v>
      </c>
      <c r="C330" s="22" t="s">
        <v>157</v>
      </c>
      <c r="D330" s="23">
        <v>3.5699999999999998E-3</v>
      </c>
      <c r="E330" s="24">
        <f>23712*1.052</f>
        <v>24945.024000000001</v>
      </c>
      <c r="F330" s="25">
        <f>ROUND(D330*E330,0)</f>
        <v>89</v>
      </c>
    </row>
    <row r="331" spans="1:6" ht="14.25" thickBot="1" x14ac:dyDescent="0.3">
      <c r="A331" s="26" t="s">
        <v>160</v>
      </c>
      <c r="B331" s="27"/>
      <c r="C331" s="28">
        <v>2.94573368867482</v>
      </c>
      <c r="D331" s="27"/>
      <c r="E331" s="29" t="s">
        <v>148</v>
      </c>
      <c r="F331" s="30">
        <f>SUM(F327:F330)</f>
        <v>6124</v>
      </c>
    </row>
    <row r="332" spans="1:6" x14ac:dyDescent="0.25">
      <c r="A332" s="16" t="s">
        <v>139</v>
      </c>
      <c r="B332" s="17" t="s">
        <v>161</v>
      </c>
      <c r="C332" s="18" t="s">
        <v>3</v>
      </c>
      <c r="D332" s="18" t="s">
        <v>141</v>
      </c>
      <c r="E332" s="18" t="s">
        <v>142</v>
      </c>
      <c r="F332" s="19" t="s">
        <v>143</v>
      </c>
    </row>
    <row r="333" spans="1:6" x14ac:dyDescent="0.25">
      <c r="A333" s="20" t="s">
        <v>184</v>
      </c>
      <c r="B333" s="21" t="s">
        <v>185</v>
      </c>
      <c r="C333" s="22" t="s">
        <v>171</v>
      </c>
      <c r="D333" s="23">
        <v>0.55000000000000004</v>
      </c>
      <c r="E333" s="24">
        <f>2223.46*1.052</f>
        <v>2339.0799200000001</v>
      </c>
      <c r="F333" s="25">
        <f>ROUND(D333*E333,0)</f>
        <v>1286</v>
      </c>
    </row>
    <row r="334" spans="1:6" ht="14.25" thickBot="1" x14ac:dyDescent="0.3">
      <c r="A334" s="34" t="s">
        <v>191</v>
      </c>
      <c r="B334" s="35" t="s">
        <v>192</v>
      </c>
      <c r="C334" s="36" t="s">
        <v>193</v>
      </c>
      <c r="D334" s="37">
        <f>(D316*0.007)</f>
        <v>8.5365839999999998E-2</v>
      </c>
      <c r="E334" s="38">
        <v>176630</v>
      </c>
      <c r="F334" s="25">
        <f>ROUND(D334*E334,0)</f>
        <v>15078</v>
      </c>
    </row>
    <row r="335" spans="1:6" ht="14.25" thickBot="1" x14ac:dyDescent="0.3">
      <c r="A335" s="26"/>
      <c r="B335" s="27"/>
      <c r="C335" s="28"/>
      <c r="D335" s="27"/>
      <c r="E335" s="29" t="s">
        <v>148</v>
      </c>
      <c r="F335" s="30">
        <f>SUM(F333:F334)</f>
        <v>16364</v>
      </c>
    </row>
    <row r="336" spans="1:6" ht="15.75" thickBot="1" x14ac:dyDescent="0.3">
      <c r="A336" s="180" t="s">
        <v>168</v>
      </c>
      <c r="B336" s="181"/>
      <c r="C336" s="181"/>
      <c r="D336" s="181"/>
      <c r="E336" s="182">
        <f>+F319+F322+F325+F331+F335</f>
        <v>115865</v>
      </c>
      <c r="F336" s="183"/>
    </row>
    <row r="337" spans="1:6" x14ac:dyDescent="0.25">
      <c r="A337" s="31"/>
      <c r="F337" s="32"/>
    </row>
    <row r="338" spans="1:6" ht="15.75" x14ac:dyDescent="0.25">
      <c r="A338" s="184" t="s">
        <v>136</v>
      </c>
      <c r="B338" s="185"/>
      <c r="C338" s="185"/>
      <c r="D338" s="185"/>
      <c r="E338" s="185"/>
      <c r="F338" s="186"/>
    </row>
    <row r="339" spans="1:6" x14ac:dyDescent="0.25">
      <c r="A339" s="174" t="str">
        <f>+'RESUMEN APUS'!B29</f>
        <v xml:space="preserve">Construcción de caja de registro en mampostería de bloque de concreto con revoque interno, dimensiones de 0,5 m x 0,5 m, con altura de 0,5 m-espesor de paredes 0,1 m. Incluye tapa. </v>
      </c>
      <c r="B339" s="175"/>
      <c r="C339" s="175"/>
      <c r="D339" s="176"/>
      <c r="E339" s="12" t="s">
        <v>137</v>
      </c>
      <c r="F339" s="13" t="s">
        <v>3</v>
      </c>
    </row>
    <row r="340" spans="1:6" x14ac:dyDescent="0.25">
      <c r="A340" s="177"/>
      <c r="B340" s="178"/>
      <c r="C340" s="178"/>
      <c r="D340" s="179"/>
      <c r="E340" s="14" t="s">
        <v>43</v>
      </c>
      <c r="F340" s="15" t="s">
        <v>171</v>
      </c>
    </row>
    <row r="341" spans="1:6" x14ac:dyDescent="0.25">
      <c r="A341" s="16" t="s">
        <v>139</v>
      </c>
      <c r="B341" s="17" t="s">
        <v>172</v>
      </c>
      <c r="C341" s="18" t="s">
        <v>3</v>
      </c>
      <c r="D341" s="18" t="s">
        <v>141</v>
      </c>
      <c r="E341" s="18" t="s">
        <v>142</v>
      </c>
      <c r="F341" s="19" t="s">
        <v>143</v>
      </c>
    </row>
    <row r="342" spans="1:6" x14ac:dyDescent="0.25">
      <c r="A342" s="20" t="s">
        <v>242</v>
      </c>
      <c r="B342" s="21" t="s">
        <v>243</v>
      </c>
      <c r="C342" s="22" t="s">
        <v>171</v>
      </c>
      <c r="D342" s="23">
        <v>1</v>
      </c>
      <c r="E342" s="24">
        <f>105000*1.052</f>
        <v>110460</v>
      </c>
      <c r="F342" s="25">
        <f>ROUND(D342*E342,0)</f>
        <v>110460</v>
      </c>
    </row>
    <row r="343" spans="1:6" ht="27" x14ac:dyDescent="0.25">
      <c r="A343" s="20" t="s">
        <v>231</v>
      </c>
      <c r="B343" s="21" t="s">
        <v>232</v>
      </c>
      <c r="C343" s="22" t="s">
        <v>171</v>
      </c>
      <c r="D343" s="23">
        <v>12.6</v>
      </c>
      <c r="E343" s="24">
        <f>+E316</f>
        <v>4208</v>
      </c>
      <c r="F343" s="25">
        <f>ROUND(D343*E343,0)</f>
        <v>53021</v>
      </c>
    </row>
    <row r="344" spans="1:6" x14ac:dyDescent="0.25">
      <c r="A344" s="20" t="s">
        <v>244</v>
      </c>
      <c r="B344" s="21" t="s">
        <v>245</v>
      </c>
      <c r="C344" s="22" t="s">
        <v>164</v>
      </c>
      <c r="D344" s="23">
        <v>0.11311379364456652</v>
      </c>
      <c r="E344" s="24">
        <f>113789*1.052</f>
        <v>119706.02800000001</v>
      </c>
      <c r="F344" s="25">
        <f>ROUND(D344*E344,0)</f>
        <v>13540</v>
      </c>
    </row>
    <row r="345" spans="1:6" ht="14.25" thickBot="1" x14ac:dyDescent="0.3">
      <c r="A345" s="20" t="s">
        <v>223</v>
      </c>
      <c r="B345" s="21" t="s">
        <v>224</v>
      </c>
      <c r="C345" s="22" t="s">
        <v>164</v>
      </c>
      <c r="D345" s="23">
        <v>0.06</v>
      </c>
      <c r="E345" s="24">
        <f>427169.6*1.052</f>
        <v>449382.4192</v>
      </c>
      <c r="F345" s="25">
        <f>ROUND(D345*E345,0)</f>
        <v>26963</v>
      </c>
    </row>
    <row r="346" spans="1:6" ht="14.25" thickBot="1" x14ac:dyDescent="0.3">
      <c r="A346" s="26" t="s">
        <v>175</v>
      </c>
      <c r="B346" s="27"/>
      <c r="C346" s="28">
        <v>76.575676688050294</v>
      </c>
      <c r="D346" s="27"/>
      <c r="E346" s="29" t="s">
        <v>148</v>
      </c>
      <c r="F346" s="30">
        <f>SUM(F342:F345)</f>
        <v>203984</v>
      </c>
    </row>
    <row r="347" spans="1:6" x14ac:dyDescent="0.25">
      <c r="A347" s="16" t="s">
        <v>139</v>
      </c>
      <c r="B347" s="17" t="s">
        <v>140</v>
      </c>
      <c r="C347" s="18" t="s">
        <v>3</v>
      </c>
      <c r="D347" s="18" t="s">
        <v>141</v>
      </c>
      <c r="E347" s="18" t="s">
        <v>142</v>
      </c>
      <c r="F347" s="19" t="s">
        <v>143</v>
      </c>
    </row>
    <row r="348" spans="1:6" ht="14.25" thickBot="1" x14ac:dyDescent="0.3">
      <c r="A348" s="20" t="s">
        <v>189</v>
      </c>
      <c r="B348" s="21" t="s">
        <v>190</v>
      </c>
      <c r="C348" s="22" t="s">
        <v>146</v>
      </c>
      <c r="D348" s="23">
        <v>0.2</v>
      </c>
      <c r="E348" s="24">
        <f>258000*1.1*$J$1</f>
        <v>320693.99999999994</v>
      </c>
      <c r="F348" s="25">
        <f>ROUND(D348*E348,0)</f>
        <v>64139</v>
      </c>
    </row>
    <row r="349" spans="1:6" ht="14.25" thickBot="1" x14ac:dyDescent="0.3">
      <c r="A349" s="26" t="s">
        <v>147</v>
      </c>
      <c r="B349" s="27"/>
      <c r="C349" s="28">
        <v>21.663466438095</v>
      </c>
      <c r="D349" s="27"/>
      <c r="E349" s="29" t="s">
        <v>148</v>
      </c>
      <c r="F349" s="30">
        <f>SUM(F348)</f>
        <v>64139</v>
      </c>
    </row>
    <row r="350" spans="1:6" x14ac:dyDescent="0.25">
      <c r="A350" s="16" t="s">
        <v>139</v>
      </c>
      <c r="B350" s="17" t="s">
        <v>149</v>
      </c>
      <c r="C350" s="18" t="s">
        <v>3</v>
      </c>
      <c r="D350" s="18" t="s">
        <v>141</v>
      </c>
      <c r="E350" s="18" t="s">
        <v>142</v>
      </c>
      <c r="F350" s="19" t="s">
        <v>143</v>
      </c>
    </row>
    <row r="351" spans="1:6" ht="14.25" thickBot="1" x14ac:dyDescent="0.3">
      <c r="A351" s="20" t="s">
        <v>150</v>
      </c>
      <c r="B351" s="21" t="s">
        <v>151</v>
      </c>
      <c r="C351" s="22" t="s">
        <v>152</v>
      </c>
      <c r="D351" s="23">
        <v>0.05</v>
      </c>
      <c r="E351" s="24">
        <f>F349</f>
        <v>64139</v>
      </c>
      <c r="F351" s="25">
        <f>ROUND(D351*E351,0)</f>
        <v>3207</v>
      </c>
    </row>
    <row r="352" spans="1:6" ht="14.25" thickBot="1" x14ac:dyDescent="0.3">
      <c r="A352" s="26" t="s">
        <v>153</v>
      </c>
      <c r="B352" s="27"/>
      <c r="C352" s="28">
        <v>1.08324081354422</v>
      </c>
      <c r="D352" s="27"/>
      <c r="E352" s="29" t="s">
        <v>148</v>
      </c>
      <c r="F352" s="30">
        <f>SUM(F351)</f>
        <v>3207</v>
      </c>
    </row>
    <row r="353" spans="1:11" x14ac:dyDescent="0.25">
      <c r="A353" s="16" t="s">
        <v>139</v>
      </c>
      <c r="B353" s="17" t="s">
        <v>154</v>
      </c>
      <c r="C353" s="18" t="s">
        <v>3</v>
      </c>
      <c r="D353" s="18" t="s">
        <v>141</v>
      </c>
      <c r="E353" s="18" t="s">
        <v>142</v>
      </c>
      <c r="F353" s="19" t="s">
        <v>143</v>
      </c>
    </row>
    <row r="354" spans="1:11" x14ac:dyDescent="0.25">
      <c r="A354" s="20" t="s">
        <v>238</v>
      </c>
      <c r="B354" s="21" t="s">
        <v>239</v>
      </c>
      <c r="C354" s="22" t="s">
        <v>157</v>
      </c>
      <c r="D354" s="23">
        <v>5.2630000000000003E-2</v>
      </c>
      <c r="E354" s="24">
        <f>+E327</f>
        <v>16832</v>
      </c>
      <c r="F354" s="25">
        <f>ROUND(D354*E354,0)</f>
        <v>886</v>
      </c>
    </row>
    <row r="355" spans="1:11" ht="14.25" thickBot="1" x14ac:dyDescent="0.3">
      <c r="A355" s="20" t="s">
        <v>240</v>
      </c>
      <c r="B355" s="21" t="s">
        <v>241</v>
      </c>
      <c r="C355" s="22" t="s">
        <v>157</v>
      </c>
      <c r="D355" s="23">
        <v>5.2630000000000003E-2</v>
      </c>
      <c r="E355" s="24">
        <f>+E330</f>
        <v>24945.024000000001</v>
      </c>
      <c r="F355" s="25">
        <f>ROUND(D355*E355,0)</f>
        <v>1313</v>
      </c>
    </row>
    <row r="356" spans="1:11" ht="14.25" thickBot="1" x14ac:dyDescent="0.3">
      <c r="A356" s="26" t="s">
        <v>160</v>
      </c>
      <c r="B356" s="27"/>
      <c r="C356" s="28">
        <v>0.64150803319238803</v>
      </c>
      <c r="D356" s="27"/>
      <c r="E356" s="29" t="s">
        <v>148</v>
      </c>
      <c r="F356" s="30">
        <f>SUM(F354:F355)</f>
        <v>2199</v>
      </c>
    </row>
    <row r="357" spans="1:11" x14ac:dyDescent="0.25">
      <c r="A357" s="16" t="s">
        <v>139</v>
      </c>
      <c r="B357" s="17" t="s">
        <v>161</v>
      </c>
      <c r="C357" s="18" t="s">
        <v>3</v>
      </c>
      <c r="D357" s="18" t="s">
        <v>141</v>
      </c>
      <c r="E357" s="18" t="s">
        <v>142</v>
      </c>
      <c r="F357" s="19" t="s">
        <v>143</v>
      </c>
    </row>
    <row r="358" spans="1:11" ht="14.25" thickBot="1" x14ac:dyDescent="0.3">
      <c r="A358" s="34" t="s">
        <v>191</v>
      </c>
      <c r="B358" s="35" t="s">
        <v>192</v>
      </c>
      <c r="C358" s="36" t="s">
        <v>193</v>
      </c>
      <c r="D358" s="37">
        <v>0.3</v>
      </c>
      <c r="E358" s="38">
        <v>176630</v>
      </c>
      <c r="F358" s="25">
        <f>ROUND(D358*E358,0)</f>
        <v>52989</v>
      </c>
    </row>
    <row r="359" spans="1:11" ht="14.25" thickBot="1" x14ac:dyDescent="0.3">
      <c r="A359" s="26"/>
      <c r="B359" s="27"/>
      <c r="C359" s="28"/>
      <c r="D359" s="27"/>
      <c r="E359" s="29" t="s">
        <v>148</v>
      </c>
      <c r="F359" s="30">
        <f>SUM(F358:F358)</f>
        <v>52989</v>
      </c>
    </row>
    <row r="360" spans="1:11" ht="15.75" thickBot="1" x14ac:dyDescent="0.3">
      <c r="A360" s="180" t="s">
        <v>168</v>
      </c>
      <c r="B360" s="181"/>
      <c r="C360" s="181"/>
      <c r="D360" s="181"/>
      <c r="E360" s="182">
        <f>F346+F349+F352+F356+F359</f>
        <v>326518</v>
      </c>
      <c r="F360" s="183"/>
      <c r="G360"/>
      <c r="H360"/>
      <c r="I360"/>
      <c r="K360"/>
    </row>
    <row r="361" spans="1:11" x14ac:dyDescent="0.25">
      <c r="A361" s="31"/>
      <c r="F361" s="32"/>
      <c r="G361"/>
      <c r="H361"/>
      <c r="I361"/>
      <c r="K361"/>
    </row>
    <row r="362" spans="1:11" ht="15.75" x14ac:dyDescent="0.25">
      <c r="A362" s="184" t="s">
        <v>136</v>
      </c>
      <c r="B362" s="185"/>
      <c r="C362" s="185"/>
      <c r="D362" s="185"/>
      <c r="E362" s="185"/>
      <c r="F362" s="186"/>
      <c r="G362"/>
      <c r="H362"/>
      <c r="I362"/>
      <c r="K362"/>
    </row>
    <row r="363" spans="1:11" x14ac:dyDescent="0.25">
      <c r="A363" s="190" t="str">
        <f>+'RESUMEN APUS'!B30</f>
        <v>Colocación de REVOQUE con mortero 1:4 EN MUROS INTERNOS. Incluye suministro y transporte de los materiales, ranuras, filetes y todos los demás elementos necesarios para su correcta construcción.</v>
      </c>
      <c r="B363" s="191"/>
      <c r="C363" s="191"/>
      <c r="D363" s="192"/>
      <c r="E363" s="12" t="s">
        <v>137</v>
      </c>
      <c r="F363" s="13" t="s">
        <v>3</v>
      </c>
      <c r="G363"/>
      <c r="H363"/>
      <c r="I363"/>
      <c r="K363"/>
    </row>
    <row r="364" spans="1:11" x14ac:dyDescent="0.25">
      <c r="A364" s="193"/>
      <c r="B364" s="194"/>
      <c r="C364" s="194"/>
      <c r="D364" s="195"/>
      <c r="E364" s="14" t="s">
        <v>45</v>
      </c>
      <c r="F364" s="15" t="s">
        <v>138</v>
      </c>
      <c r="G364"/>
      <c r="H364"/>
      <c r="I364"/>
      <c r="K364"/>
    </row>
    <row r="365" spans="1:11" x14ac:dyDescent="0.25">
      <c r="A365" s="16" t="s">
        <v>139</v>
      </c>
      <c r="B365" s="17" t="s">
        <v>172</v>
      </c>
      <c r="C365" s="18" t="s">
        <v>3</v>
      </c>
      <c r="D365" s="18" t="s">
        <v>141</v>
      </c>
      <c r="E365" s="18" t="s">
        <v>142</v>
      </c>
      <c r="F365" s="19" t="s">
        <v>143</v>
      </c>
      <c r="G365"/>
      <c r="H365"/>
      <c r="I365"/>
      <c r="K365"/>
    </row>
    <row r="366" spans="1:11" ht="14.25" thickBot="1" x14ac:dyDescent="0.3">
      <c r="A366" s="20" t="s">
        <v>246</v>
      </c>
      <c r="B366" s="21" t="s">
        <v>247</v>
      </c>
      <c r="C366" s="22" t="s">
        <v>164</v>
      </c>
      <c r="D366" s="23">
        <v>0.02</v>
      </c>
      <c r="E366" s="24">
        <f>475000*1.052</f>
        <v>499700</v>
      </c>
      <c r="F366" s="25">
        <f>ROUND(D366*E366,0)</f>
        <v>9994</v>
      </c>
      <c r="G366"/>
      <c r="H366"/>
      <c r="I366"/>
      <c r="K366"/>
    </row>
    <row r="367" spans="1:11" ht="14.25" thickBot="1" x14ac:dyDescent="0.3">
      <c r="A367" s="26" t="s">
        <v>175</v>
      </c>
      <c r="B367" s="27"/>
      <c r="C367" s="28">
        <v>51.117923428076402</v>
      </c>
      <c r="D367" s="27"/>
      <c r="E367" s="29" t="s">
        <v>148</v>
      </c>
      <c r="F367" s="30">
        <f>SUM(F366)</f>
        <v>9994</v>
      </c>
      <c r="G367"/>
      <c r="H367"/>
      <c r="I367"/>
      <c r="K367"/>
    </row>
    <row r="368" spans="1:11" x14ac:dyDescent="0.25">
      <c r="A368" s="16" t="s">
        <v>139</v>
      </c>
      <c r="B368" s="17" t="s">
        <v>140</v>
      </c>
      <c r="C368" s="18" t="s">
        <v>3</v>
      </c>
      <c r="D368" s="18" t="s">
        <v>141</v>
      </c>
      <c r="E368" s="18" t="s">
        <v>142</v>
      </c>
      <c r="F368" s="19" t="s">
        <v>143</v>
      </c>
    </row>
    <row r="369" spans="1:6" ht="14.25" thickBot="1" x14ac:dyDescent="0.3">
      <c r="A369" s="20" t="s">
        <v>189</v>
      </c>
      <c r="B369" s="21" t="s">
        <v>190</v>
      </c>
      <c r="C369" s="22" t="s">
        <v>146</v>
      </c>
      <c r="D369" s="23">
        <v>5.581800509271314E-2</v>
      </c>
      <c r="E369" s="24">
        <f>258000*1.1*$J$1</f>
        <v>320693.99999999994</v>
      </c>
      <c r="F369" s="25">
        <f>ROUND(D369*E369,0)</f>
        <v>17900</v>
      </c>
    </row>
    <row r="370" spans="1:6" ht="14.25" thickBot="1" x14ac:dyDescent="0.3">
      <c r="A370" s="26" t="s">
        <v>147</v>
      </c>
      <c r="B370" s="27"/>
      <c r="C370" s="28">
        <v>44.5636599913365</v>
      </c>
      <c r="D370" s="27"/>
      <c r="E370" s="29" t="s">
        <v>148</v>
      </c>
      <c r="F370" s="30">
        <f>SUM(F369)</f>
        <v>17900</v>
      </c>
    </row>
    <row r="371" spans="1:6" x14ac:dyDescent="0.25">
      <c r="A371" s="16" t="s">
        <v>139</v>
      </c>
      <c r="B371" s="17" t="s">
        <v>149</v>
      </c>
      <c r="C371" s="18" t="s">
        <v>3</v>
      </c>
      <c r="D371" s="18" t="s">
        <v>141</v>
      </c>
      <c r="E371" s="18" t="s">
        <v>142</v>
      </c>
      <c r="F371" s="19" t="s">
        <v>143</v>
      </c>
    </row>
    <row r="372" spans="1:6" ht="14.25" thickBot="1" x14ac:dyDescent="0.3">
      <c r="A372" s="20" t="s">
        <v>150</v>
      </c>
      <c r="B372" s="21" t="s">
        <v>151</v>
      </c>
      <c r="C372" s="22" t="s">
        <v>152</v>
      </c>
      <c r="D372" s="23">
        <v>0.05</v>
      </c>
      <c r="E372" s="24">
        <f>F370</f>
        <v>17900</v>
      </c>
      <c r="F372" s="25">
        <f>ROUND(D372*E372,0)</f>
        <v>895</v>
      </c>
    </row>
    <row r="373" spans="1:6" ht="14.25" thickBot="1" x14ac:dyDescent="0.3">
      <c r="A373" s="26" t="s">
        <v>153</v>
      </c>
      <c r="B373" s="27"/>
      <c r="C373" s="28">
        <v>2.2291826330345499</v>
      </c>
      <c r="D373" s="27"/>
      <c r="E373" s="29" t="s">
        <v>148</v>
      </c>
      <c r="F373" s="30">
        <f>SUM(F372)</f>
        <v>895</v>
      </c>
    </row>
    <row r="374" spans="1:6" x14ac:dyDescent="0.25">
      <c r="A374" s="16" t="s">
        <v>139</v>
      </c>
      <c r="B374" s="17" t="s">
        <v>154</v>
      </c>
      <c r="C374" s="18" t="s">
        <v>3</v>
      </c>
      <c r="D374" s="18" t="s">
        <v>141</v>
      </c>
      <c r="E374" s="18" t="s">
        <v>142</v>
      </c>
      <c r="F374" s="19" t="s">
        <v>143</v>
      </c>
    </row>
    <row r="375" spans="1:6" ht="27" x14ac:dyDescent="0.25">
      <c r="A375" s="20" t="s">
        <v>155</v>
      </c>
      <c r="B375" s="21" t="s">
        <v>156</v>
      </c>
      <c r="C375" s="22" t="s">
        <v>157</v>
      </c>
      <c r="D375" s="23">
        <v>6.25E-2</v>
      </c>
      <c r="E375" s="24">
        <v>5200</v>
      </c>
      <c r="F375" s="25">
        <f>ROUND(D375*E375,0)</f>
        <v>325</v>
      </c>
    </row>
    <row r="376" spans="1:6" ht="27.75" thickBot="1" x14ac:dyDescent="0.3">
      <c r="A376" s="20" t="s">
        <v>158</v>
      </c>
      <c r="B376" s="21" t="s">
        <v>159</v>
      </c>
      <c r="C376" s="22" t="s">
        <v>157</v>
      </c>
      <c r="D376" s="23">
        <v>0.1875</v>
      </c>
      <c r="E376" s="24">
        <v>4100</v>
      </c>
      <c r="F376" s="25">
        <f>ROUND(D376*E376,0)</f>
        <v>769</v>
      </c>
    </row>
    <row r="377" spans="1:6" ht="14.25" thickBot="1" x14ac:dyDescent="0.3">
      <c r="A377" s="26" t="s">
        <v>160</v>
      </c>
      <c r="B377" s="27"/>
      <c r="C377" s="28">
        <v>0.88300956316017498</v>
      </c>
      <c r="D377" s="27"/>
      <c r="E377" s="29" t="s">
        <v>148</v>
      </c>
      <c r="F377" s="30">
        <f>SUM(F375:F376)</f>
        <v>1094</v>
      </c>
    </row>
    <row r="378" spans="1:6" x14ac:dyDescent="0.25">
      <c r="A378" s="16" t="s">
        <v>139</v>
      </c>
      <c r="B378" s="17" t="s">
        <v>161</v>
      </c>
      <c r="C378" s="18" t="s">
        <v>3</v>
      </c>
      <c r="D378" s="18" t="s">
        <v>141</v>
      </c>
      <c r="E378" s="18" t="s">
        <v>142</v>
      </c>
      <c r="F378" s="19" t="s">
        <v>143</v>
      </c>
    </row>
    <row r="379" spans="1:6" x14ac:dyDescent="0.25">
      <c r="A379" s="20" t="s">
        <v>165</v>
      </c>
      <c r="B379" s="21" t="s">
        <v>166</v>
      </c>
      <c r="C379" s="22" t="s">
        <v>164</v>
      </c>
      <c r="D379" s="23">
        <v>0.02</v>
      </c>
      <c r="E379" s="24">
        <v>17078.042999999998</v>
      </c>
      <c r="F379" s="25">
        <f>ROUND(D379*E379,0)</f>
        <v>342</v>
      </c>
    </row>
    <row r="380" spans="1:6" ht="14.25" thickBot="1" x14ac:dyDescent="0.3">
      <c r="A380" s="34" t="s">
        <v>191</v>
      </c>
      <c r="B380" s="35" t="s">
        <v>192</v>
      </c>
      <c r="C380" s="36" t="s">
        <v>193</v>
      </c>
      <c r="D380" s="37">
        <f>(D366*1.06)</f>
        <v>2.12E-2</v>
      </c>
      <c r="E380" s="38">
        <v>176630</v>
      </c>
      <c r="F380" s="25">
        <f>ROUND(D380*E380,0)</f>
        <v>3745</v>
      </c>
    </row>
    <row r="381" spans="1:6" ht="14.25" thickBot="1" x14ac:dyDescent="0.3">
      <c r="A381" s="26"/>
      <c r="B381" s="27"/>
      <c r="C381" s="28"/>
      <c r="D381" s="27"/>
      <c r="E381" s="29" t="s">
        <v>148</v>
      </c>
      <c r="F381" s="30">
        <f>SUM(F379:F380)</f>
        <v>4087</v>
      </c>
    </row>
    <row r="382" spans="1:6" ht="15.75" thickBot="1" x14ac:dyDescent="0.3">
      <c r="A382" s="180" t="s">
        <v>168</v>
      </c>
      <c r="B382" s="181"/>
      <c r="C382" s="181"/>
      <c r="D382" s="181"/>
      <c r="E382" s="182">
        <f>+F367+F370+F373+F377+F381</f>
        <v>33970</v>
      </c>
      <c r="F382" s="183"/>
    </row>
    <row r="383" spans="1:6" x14ac:dyDescent="0.25">
      <c r="A383" s="31"/>
      <c r="F383" s="32"/>
    </row>
    <row r="384" spans="1:6" ht="15.75" x14ac:dyDescent="0.25">
      <c r="A384" s="184" t="s">
        <v>136</v>
      </c>
      <c r="B384" s="185"/>
      <c r="C384" s="185"/>
      <c r="D384" s="185"/>
      <c r="E384" s="185"/>
      <c r="F384" s="186"/>
    </row>
    <row r="385" spans="1:6" x14ac:dyDescent="0.25">
      <c r="A385" s="174" t="str">
        <f>+'RESUMEN APUS'!B31</f>
        <v>Colocación de REVOQUE con mortero 1:4 IMPERMEABILIZADO con Sika 1 o equivalente, EN MUROS DE BAÑOS. Incluye suministro y transporte de los materiales, ranuras, filetes, y todos los demás elementos necesarios para su correcta construcción.</v>
      </c>
      <c r="B385" s="175"/>
      <c r="C385" s="175"/>
      <c r="D385" s="176"/>
      <c r="E385" s="12" t="s">
        <v>137</v>
      </c>
      <c r="F385" s="13" t="s">
        <v>3</v>
      </c>
    </row>
    <row r="386" spans="1:6" ht="23.25" customHeight="1" x14ac:dyDescent="0.25">
      <c r="A386" s="177"/>
      <c r="B386" s="178"/>
      <c r="C386" s="178"/>
      <c r="D386" s="179"/>
      <c r="E386" s="14" t="s">
        <v>46</v>
      </c>
      <c r="F386" s="15" t="s">
        <v>138</v>
      </c>
    </row>
    <row r="387" spans="1:6" x14ac:dyDescent="0.25">
      <c r="A387" s="16" t="s">
        <v>139</v>
      </c>
      <c r="B387" s="17" t="s">
        <v>172</v>
      </c>
      <c r="C387" s="18" t="s">
        <v>3</v>
      </c>
      <c r="D387" s="18" t="s">
        <v>141</v>
      </c>
      <c r="E387" s="18" t="s">
        <v>142</v>
      </c>
      <c r="F387" s="19" t="s">
        <v>143</v>
      </c>
    </row>
    <row r="388" spans="1:6" x14ac:dyDescent="0.25">
      <c r="A388" s="20" t="s">
        <v>246</v>
      </c>
      <c r="B388" s="21" t="s">
        <v>247</v>
      </c>
      <c r="C388" s="22" t="s">
        <v>164</v>
      </c>
      <c r="D388" s="23">
        <v>0.02</v>
      </c>
      <c r="E388" s="24">
        <f>+E366</f>
        <v>499700</v>
      </c>
      <c r="F388" s="25">
        <f>ROUND(D388*E388,0)</f>
        <v>9994</v>
      </c>
    </row>
    <row r="389" spans="1:6" ht="41.25" thickBot="1" x14ac:dyDescent="0.3">
      <c r="A389" s="54" t="s">
        <v>531</v>
      </c>
      <c r="B389" s="21" t="s">
        <v>248</v>
      </c>
      <c r="C389" s="22" t="s">
        <v>202</v>
      </c>
      <c r="D389" s="23">
        <v>0.5</v>
      </c>
      <c r="E389" s="24">
        <f>21000*1.052</f>
        <v>22092</v>
      </c>
      <c r="F389" s="25">
        <f>ROUND(D389*E389,0)</f>
        <v>11046</v>
      </c>
    </row>
    <row r="390" spans="1:6" ht="14.25" thickBot="1" x14ac:dyDescent="0.3">
      <c r="A390" s="26" t="s">
        <v>175</v>
      </c>
      <c r="B390" s="27"/>
      <c r="C390" s="28">
        <v>51.117923428076402</v>
      </c>
      <c r="D390" s="27"/>
      <c r="E390" s="29" t="s">
        <v>148</v>
      </c>
      <c r="F390" s="30">
        <f>SUM(F388:F389)</f>
        <v>21040</v>
      </c>
    </row>
    <row r="391" spans="1:6" x14ac:dyDescent="0.25">
      <c r="A391" s="16" t="s">
        <v>139</v>
      </c>
      <c r="B391" s="17" t="s">
        <v>140</v>
      </c>
      <c r="C391" s="18" t="s">
        <v>3</v>
      </c>
      <c r="D391" s="18" t="s">
        <v>141</v>
      </c>
      <c r="E391" s="18" t="s">
        <v>142</v>
      </c>
      <c r="F391" s="19" t="s">
        <v>143</v>
      </c>
    </row>
    <row r="392" spans="1:6" ht="14.25" thickBot="1" x14ac:dyDescent="0.3">
      <c r="A392" s="20" t="s">
        <v>189</v>
      </c>
      <c r="B392" s="21" t="s">
        <v>190</v>
      </c>
      <c r="C392" s="22" t="s">
        <v>146</v>
      </c>
      <c r="D392" s="23">
        <v>6.1994243421052628E-2</v>
      </c>
      <c r="E392" s="24">
        <f>258000*1.1*$J$1</f>
        <v>320693.99999999994</v>
      </c>
      <c r="F392" s="25">
        <f>ROUND(D392*E392,0)</f>
        <v>19881</v>
      </c>
    </row>
    <row r="393" spans="1:6" ht="14.25" thickBot="1" x14ac:dyDescent="0.3">
      <c r="A393" s="26" t="s">
        <v>147</v>
      </c>
      <c r="B393" s="27"/>
      <c r="C393" s="28">
        <v>44.5636599913365</v>
      </c>
      <c r="D393" s="27"/>
      <c r="E393" s="29" t="s">
        <v>148</v>
      </c>
      <c r="F393" s="30">
        <f>SUM(F392)</f>
        <v>19881</v>
      </c>
    </row>
    <row r="394" spans="1:6" x14ac:dyDescent="0.25">
      <c r="A394" s="16" t="s">
        <v>139</v>
      </c>
      <c r="B394" s="17" t="s">
        <v>149</v>
      </c>
      <c r="C394" s="18" t="s">
        <v>3</v>
      </c>
      <c r="D394" s="18" t="s">
        <v>141</v>
      </c>
      <c r="E394" s="18" t="s">
        <v>142</v>
      </c>
      <c r="F394" s="19" t="s">
        <v>143</v>
      </c>
    </row>
    <row r="395" spans="1:6" ht="14.25" thickBot="1" x14ac:dyDescent="0.3">
      <c r="A395" s="20" t="s">
        <v>150</v>
      </c>
      <c r="B395" s="21" t="s">
        <v>151</v>
      </c>
      <c r="C395" s="22" t="s">
        <v>152</v>
      </c>
      <c r="D395" s="23">
        <v>0.05</v>
      </c>
      <c r="E395" s="24">
        <f>F393</f>
        <v>19881</v>
      </c>
      <c r="F395" s="25">
        <f>ROUND(D395*E395,0)</f>
        <v>994</v>
      </c>
    </row>
    <row r="396" spans="1:6" ht="14.25" thickBot="1" x14ac:dyDescent="0.3">
      <c r="A396" s="26" t="s">
        <v>153</v>
      </c>
      <c r="B396" s="27"/>
      <c r="C396" s="28">
        <v>2.2291826330345499</v>
      </c>
      <c r="D396" s="27"/>
      <c r="E396" s="29" t="s">
        <v>148</v>
      </c>
      <c r="F396" s="30">
        <f>SUM(F395)</f>
        <v>994</v>
      </c>
    </row>
    <row r="397" spans="1:6" x14ac:dyDescent="0.25">
      <c r="A397" s="16" t="s">
        <v>139</v>
      </c>
      <c r="B397" s="17" t="s">
        <v>154</v>
      </c>
      <c r="C397" s="18" t="s">
        <v>3</v>
      </c>
      <c r="D397" s="18" t="s">
        <v>141</v>
      </c>
      <c r="E397" s="18" t="s">
        <v>142</v>
      </c>
      <c r="F397" s="19" t="s">
        <v>143</v>
      </c>
    </row>
    <row r="398" spans="1:6" ht="27" x14ac:dyDescent="0.25">
      <c r="A398" s="20" t="s">
        <v>155</v>
      </c>
      <c r="B398" s="21" t="s">
        <v>156</v>
      </c>
      <c r="C398" s="22" t="s">
        <v>157</v>
      </c>
      <c r="D398" s="23">
        <v>6.25E-2</v>
      </c>
      <c r="E398" s="24">
        <f>+E375</f>
        <v>5200</v>
      </c>
      <c r="F398" s="25">
        <f>ROUND(D398*E398,0)</f>
        <v>325</v>
      </c>
    </row>
    <row r="399" spans="1:6" ht="27.75" thickBot="1" x14ac:dyDescent="0.3">
      <c r="A399" s="20" t="s">
        <v>158</v>
      </c>
      <c r="B399" s="21" t="s">
        <v>159</v>
      </c>
      <c r="C399" s="22" t="s">
        <v>157</v>
      </c>
      <c r="D399" s="23">
        <v>0.1875</v>
      </c>
      <c r="E399" s="24">
        <f>+E376</f>
        <v>4100</v>
      </c>
      <c r="F399" s="25">
        <f>ROUND(D399*E399,0)</f>
        <v>769</v>
      </c>
    </row>
    <row r="400" spans="1:6" ht="14.25" thickBot="1" x14ac:dyDescent="0.3">
      <c r="A400" s="26" t="s">
        <v>160</v>
      </c>
      <c r="B400" s="27"/>
      <c r="C400" s="28">
        <v>0.88300956316017498</v>
      </c>
      <c r="D400" s="27"/>
      <c r="E400" s="29" t="s">
        <v>148</v>
      </c>
      <c r="F400" s="30">
        <f>SUM(F398:F399)</f>
        <v>1094</v>
      </c>
    </row>
    <row r="401" spans="1:11" x14ac:dyDescent="0.25">
      <c r="A401" s="16" t="s">
        <v>139</v>
      </c>
      <c r="B401" s="17" t="s">
        <v>161</v>
      </c>
      <c r="C401" s="18" t="s">
        <v>3</v>
      </c>
      <c r="D401" s="18" t="s">
        <v>141</v>
      </c>
      <c r="E401" s="18" t="s">
        <v>142</v>
      </c>
      <c r="F401" s="19" t="s">
        <v>143</v>
      </c>
    </row>
    <row r="402" spans="1:11" x14ac:dyDescent="0.25">
      <c r="A402" s="20" t="s">
        <v>165</v>
      </c>
      <c r="B402" s="21" t="s">
        <v>166</v>
      </c>
      <c r="C402" s="22" t="s">
        <v>164</v>
      </c>
      <c r="D402" s="23">
        <v>2.1999999999999999E-2</v>
      </c>
      <c r="E402" s="24">
        <v>17078.042999999998</v>
      </c>
      <c r="F402" s="25">
        <f>ROUND(D402*E402,0)</f>
        <v>376</v>
      </c>
    </row>
    <row r="403" spans="1:11" ht="14.25" thickBot="1" x14ac:dyDescent="0.3">
      <c r="A403" s="34" t="s">
        <v>191</v>
      </c>
      <c r="B403" s="35" t="s">
        <v>192</v>
      </c>
      <c r="C403" s="36" t="s">
        <v>193</v>
      </c>
      <c r="D403" s="37">
        <f>(D388*2)</f>
        <v>0.04</v>
      </c>
      <c r="E403" s="38">
        <v>176630</v>
      </c>
      <c r="F403" s="25">
        <f>ROUND(D403*E403,0)</f>
        <v>7065</v>
      </c>
    </row>
    <row r="404" spans="1:11" ht="14.25" thickBot="1" x14ac:dyDescent="0.3">
      <c r="A404" s="26"/>
      <c r="B404" s="27"/>
      <c r="C404" s="28"/>
      <c r="D404" s="27"/>
      <c r="E404" s="29" t="s">
        <v>148</v>
      </c>
      <c r="F404" s="30">
        <f>SUM(F402:F403)</f>
        <v>7441</v>
      </c>
    </row>
    <row r="405" spans="1:11" ht="15.75" thickBot="1" x14ac:dyDescent="0.3">
      <c r="A405" s="180" t="s">
        <v>168</v>
      </c>
      <c r="B405" s="181"/>
      <c r="C405" s="181"/>
      <c r="D405" s="181"/>
      <c r="E405" s="182">
        <f>+F390+F393+F396+F400+F404</f>
        <v>50450</v>
      </c>
      <c r="F405" s="183"/>
    </row>
    <row r="406" spans="1:11" ht="15" x14ac:dyDescent="0.25">
      <c r="A406" s="116"/>
      <c r="B406" s="117"/>
      <c r="C406" s="117"/>
      <c r="D406" s="117"/>
      <c r="E406" s="118"/>
      <c r="F406" s="119"/>
    </row>
    <row r="407" spans="1:11" ht="15.75" x14ac:dyDescent="0.25">
      <c r="A407" s="184" t="s">
        <v>136</v>
      </c>
      <c r="B407" s="185"/>
      <c r="C407" s="185"/>
      <c r="D407" s="185"/>
      <c r="E407" s="185"/>
      <c r="F407" s="186"/>
      <c r="G407"/>
      <c r="H407"/>
      <c r="I407"/>
      <c r="K407"/>
    </row>
    <row r="408" spans="1:11" x14ac:dyDescent="0.25">
      <c r="A408" s="190" t="str">
        <f>+'RESUMEN APUS'!B32</f>
        <v>PREPARACIÓN DE SUPERFICIE DE MURO.  Incluye el retiro de pintura, cal y/o superficies contaminadas garantizando adherencia, durabilidad y uniformidad superficial.</v>
      </c>
      <c r="B408" s="191"/>
      <c r="C408" s="191"/>
      <c r="D408" s="192"/>
      <c r="E408" s="12" t="s">
        <v>137</v>
      </c>
      <c r="F408" s="13" t="s">
        <v>3</v>
      </c>
      <c r="G408"/>
      <c r="H408"/>
      <c r="I408"/>
      <c r="K408"/>
    </row>
    <row r="409" spans="1:11" x14ac:dyDescent="0.25">
      <c r="A409" s="193"/>
      <c r="B409" s="194"/>
      <c r="C409" s="194"/>
      <c r="D409" s="195"/>
      <c r="E409" s="14" t="s">
        <v>618</v>
      </c>
      <c r="F409" s="15" t="s">
        <v>138</v>
      </c>
      <c r="G409"/>
      <c r="H409"/>
      <c r="I409"/>
      <c r="K409"/>
    </row>
    <row r="410" spans="1:11" x14ac:dyDescent="0.25">
      <c r="A410" s="16" t="s">
        <v>139</v>
      </c>
      <c r="B410" s="17" t="s">
        <v>172</v>
      </c>
      <c r="C410" s="18" t="s">
        <v>3</v>
      </c>
      <c r="D410" s="18" t="s">
        <v>141</v>
      </c>
      <c r="E410" s="18" t="s">
        <v>142</v>
      </c>
      <c r="F410" s="19" t="s">
        <v>143</v>
      </c>
      <c r="G410"/>
      <c r="H410"/>
      <c r="I410"/>
      <c r="K410"/>
    </row>
    <row r="411" spans="1:11" x14ac:dyDescent="0.25">
      <c r="A411" s="20" t="s">
        <v>180</v>
      </c>
      <c r="B411" s="21" t="s">
        <v>181</v>
      </c>
      <c r="C411" s="22" t="s">
        <v>171</v>
      </c>
      <c r="D411" s="23">
        <v>0.5</v>
      </c>
      <c r="E411" s="24">
        <f>1350.7*1.052</f>
        <v>1420.9364</v>
      </c>
      <c r="F411" s="25">
        <f>ROUND(D411*E411,0)</f>
        <v>710</v>
      </c>
      <c r="G411"/>
      <c r="H411"/>
      <c r="I411"/>
      <c r="K411"/>
    </row>
    <row r="412" spans="1:11" x14ac:dyDescent="0.25">
      <c r="A412" s="20" t="s">
        <v>526</v>
      </c>
      <c r="B412" s="21" t="s">
        <v>186</v>
      </c>
      <c r="C412" s="22" t="s">
        <v>528</v>
      </c>
      <c r="D412" s="23">
        <v>0.05</v>
      </c>
      <c r="E412" s="24">
        <f>12500*1.052</f>
        <v>13150</v>
      </c>
      <c r="F412" s="25">
        <f>ROUND(D412*E412,0)</f>
        <v>658</v>
      </c>
      <c r="G412"/>
      <c r="H412"/>
      <c r="I412"/>
      <c r="K412"/>
    </row>
    <row r="413" spans="1:11" ht="14.25" thickBot="1" x14ac:dyDescent="0.3">
      <c r="A413" s="20" t="s">
        <v>187</v>
      </c>
      <c r="B413" s="41" t="s">
        <v>188</v>
      </c>
      <c r="C413" s="42" t="s">
        <v>527</v>
      </c>
      <c r="D413" s="43">
        <v>0.12</v>
      </c>
      <c r="E413" s="24">
        <f>6500*1.052</f>
        <v>6838</v>
      </c>
      <c r="F413" s="25">
        <f>ROUND(D413*E413,0)</f>
        <v>821</v>
      </c>
      <c r="G413"/>
      <c r="H413"/>
      <c r="I413"/>
      <c r="K413"/>
    </row>
    <row r="414" spans="1:11" ht="14.25" thickBot="1" x14ac:dyDescent="0.3">
      <c r="A414" s="26" t="s">
        <v>175</v>
      </c>
      <c r="B414" s="27"/>
      <c r="C414" s="28"/>
      <c r="D414" s="27"/>
      <c r="E414" s="29" t="s">
        <v>148</v>
      </c>
      <c r="F414" s="30">
        <f>SUM(F411)</f>
        <v>710</v>
      </c>
      <c r="G414"/>
      <c r="H414"/>
      <c r="I414"/>
      <c r="K414"/>
    </row>
    <row r="415" spans="1:11" x14ac:dyDescent="0.25">
      <c r="A415" s="16" t="s">
        <v>139</v>
      </c>
      <c r="B415" s="17" t="s">
        <v>140</v>
      </c>
      <c r="C415" s="18" t="s">
        <v>3</v>
      </c>
      <c r="D415" s="18" t="s">
        <v>141</v>
      </c>
      <c r="E415" s="18" t="s">
        <v>142</v>
      </c>
      <c r="F415" s="19" t="s">
        <v>143</v>
      </c>
      <c r="G415"/>
      <c r="H415"/>
      <c r="I415"/>
      <c r="K415"/>
    </row>
    <row r="416" spans="1:11" ht="14.25" thickBot="1" x14ac:dyDescent="0.3">
      <c r="A416" s="20" t="s">
        <v>176</v>
      </c>
      <c r="B416" s="21" t="s">
        <v>177</v>
      </c>
      <c r="C416" s="22" t="s">
        <v>146</v>
      </c>
      <c r="D416" s="23">
        <v>2.9894569252077563E-2</v>
      </c>
      <c r="E416" s="24">
        <f>80365.8349622223*1.1*$J$1</f>
        <v>99894.732858042335</v>
      </c>
      <c r="F416" s="25">
        <f>ROUND(D416*E416,0)</f>
        <v>2986</v>
      </c>
      <c r="G416"/>
      <c r="H416"/>
      <c r="I416"/>
      <c r="K416"/>
    </row>
    <row r="417" spans="1:11" ht="14.25" thickBot="1" x14ac:dyDescent="0.3">
      <c r="A417" s="26" t="s">
        <v>153</v>
      </c>
      <c r="B417" s="27"/>
      <c r="C417" s="28">
        <v>2.2291826330345499</v>
      </c>
      <c r="D417" s="27"/>
      <c r="E417" s="29" t="s">
        <v>148</v>
      </c>
      <c r="F417" s="30">
        <f>SUM(F416)</f>
        <v>2986</v>
      </c>
      <c r="G417"/>
      <c r="H417"/>
      <c r="I417"/>
      <c r="K417"/>
    </row>
    <row r="418" spans="1:11" x14ac:dyDescent="0.25">
      <c r="A418" s="16" t="s">
        <v>139</v>
      </c>
      <c r="B418" s="17" t="s">
        <v>154</v>
      </c>
      <c r="C418" s="18" t="s">
        <v>3</v>
      </c>
      <c r="D418" s="18" t="s">
        <v>141</v>
      </c>
      <c r="E418" s="18" t="s">
        <v>142</v>
      </c>
      <c r="F418" s="19" t="s">
        <v>143</v>
      </c>
      <c r="G418"/>
      <c r="H418"/>
      <c r="I418"/>
      <c r="K418"/>
    </row>
    <row r="419" spans="1:11" ht="27" x14ac:dyDescent="0.25">
      <c r="A419" s="20" t="s">
        <v>155</v>
      </c>
      <c r="B419" s="21" t="s">
        <v>156</v>
      </c>
      <c r="C419" s="22" t="s">
        <v>157</v>
      </c>
      <c r="D419" s="53">
        <v>0.33329999999999999</v>
      </c>
      <c r="E419" s="24">
        <f>+E375</f>
        <v>5200</v>
      </c>
      <c r="F419" s="40">
        <f>ROUND(D419*E419,0)</f>
        <v>1733</v>
      </c>
      <c r="G419"/>
      <c r="H419"/>
      <c r="I419"/>
      <c r="K419"/>
    </row>
    <row r="420" spans="1:11" ht="27" x14ac:dyDescent="0.25">
      <c r="A420" s="20" t="s">
        <v>158</v>
      </c>
      <c r="B420" s="21" t="s">
        <v>159</v>
      </c>
      <c r="C420" s="22" t="s">
        <v>157</v>
      </c>
      <c r="D420" s="53">
        <v>0.1111</v>
      </c>
      <c r="E420" s="24">
        <f>+E376</f>
        <v>4100</v>
      </c>
      <c r="F420" s="40">
        <f>ROUND(D420*E420,0)</f>
        <v>456</v>
      </c>
      <c r="G420"/>
      <c r="H420"/>
      <c r="I420"/>
      <c r="K420"/>
    </row>
    <row r="421" spans="1:11" x14ac:dyDescent="0.25">
      <c r="A421" s="16" t="s">
        <v>139</v>
      </c>
      <c r="B421" s="17" t="s">
        <v>149</v>
      </c>
      <c r="C421" s="48" t="s">
        <v>3</v>
      </c>
      <c r="D421" s="48" t="s">
        <v>141</v>
      </c>
      <c r="E421" s="48" t="s">
        <v>142</v>
      </c>
      <c r="F421" s="49" t="s">
        <v>143</v>
      </c>
      <c r="G421"/>
      <c r="H421"/>
      <c r="I421"/>
      <c r="K421"/>
    </row>
    <row r="422" spans="1:11" ht="14.25" thickBot="1" x14ac:dyDescent="0.3">
      <c r="A422" s="20" t="s">
        <v>150</v>
      </c>
      <c r="B422" s="21" t="s">
        <v>151</v>
      </c>
      <c r="C422" s="22" t="s">
        <v>152</v>
      </c>
      <c r="D422" s="23">
        <v>0.05</v>
      </c>
      <c r="E422" s="24">
        <f>F420</f>
        <v>456</v>
      </c>
      <c r="F422" s="25">
        <f>ROUND(D422*E422,0)</f>
        <v>23</v>
      </c>
      <c r="G422"/>
      <c r="H422"/>
      <c r="I422"/>
      <c r="K422"/>
    </row>
    <row r="423" spans="1:11" ht="14.25" thickBot="1" x14ac:dyDescent="0.3">
      <c r="A423" s="26" t="s">
        <v>160</v>
      </c>
      <c r="B423" s="27"/>
      <c r="C423" s="39">
        <v>0.88300956316017498</v>
      </c>
      <c r="D423" s="27"/>
      <c r="E423" s="29" t="s">
        <v>148</v>
      </c>
      <c r="F423" s="30">
        <f>SUM(F419:F420)</f>
        <v>2189</v>
      </c>
      <c r="G423"/>
      <c r="H423"/>
      <c r="I423"/>
      <c r="K423"/>
    </row>
    <row r="424" spans="1:11" x14ac:dyDescent="0.25">
      <c r="A424" s="16" t="s">
        <v>139</v>
      </c>
      <c r="B424" s="17" t="s">
        <v>161</v>
      </c>
      <c r="C424" s="48" t="s">
        <v>3</v>
      </c>
      <c r="D424" s="48" t="s">
        <v>141</v>
      </c>
      <c r="E424" s="48" t="s">
        <v>142</v>
      </c>
      <c r="F424" s="49" t="s">
        <v>143</v>
      </c>
      <c r="G424"/>
      <c r="H424"/>
      <c r="I424"/>
      <c r="K424"/>
    </row>
    <row r="425" spans="1:11" ht="27" x14ac:dyDescent="0.25">
      <c r="A425" s="20" t="s">
        <v>165</v>
      </c>
      <c r="B425" s="21" t="s">
        <v>163</v>
      </c>
      <c r="C425" s="22" t="s">
        <v>164</v>
      </c>
      <c r="D425" s="37"/>
      <c r="E425" s="24">
        <v>57458.777999999998</v>
      </c>
      <c r="F425" s="25">
        <f>ROUND(D425*E425,0)</f>
        <v>0</v>
      </c>
      <c r="G425"/>
      <c r="H425"/>
      <c r="I425"/>
      <c r="K425"/>
    </row>
    <row r="426" spans="1:11" ht="22.35" customHeight="1" thickBot="1" x14ac:dyDescent="0.3">
      <c r="A426" s="34" t="s">
        <v>191</v>
      </c>
      <c r="B426" s="35" t="s">
        <v>192</v>
      </c>
      <c r="C426" s="36" t="s">
        <v>138</v>
      </c>
      <c r="D426" s="50">
        <v>1</v>
      </c>
      <c r="E426" s="51">
        <f>2140*1.039</f>
        <v>2223.46</v>
      </c>
      <c r="F426" s="52">
        <f>ROUND(D426*E426,0)</f>
        <v>2223</v>
      </c>
      <c r="G426"/>
      <c r="H426"/>
      <c r="I426"/>
      <c r="K426"/>
    </row>
    <row r="427" spans="1:11" ht="18.600000000000001" customHeight="1" thickBot="1" x14ac:dyDescent="0.3">
      <c r="A427" s="26"/>
      <c r="B427" s="27"/>
      <c r="C427" s="39"/>
      <c r="D427" s="27"/>
      <c r="E427" s="29" t="s">
        <v>148</v>
      </c>
      <c r="F427" s="30">
        <f>SUM(F425:F426)</f>
        <v>2223</v>
      </c>
      <c r="G427"/>
      <c r="H427"/>
      <c r="I427"/>
      <c r="K427"/>
    </row>
    <row r="428" spans="1:11" ht="15.75" thickBot="1" x14ac:dyDescent="0.3">
      <c r="A428" s="180" t="s">
        <v>168</v>
      </c>
      <c r="B428" s="181"/>
      <c r="C428" s="181"/>
      <c r="D428" s="181"/>
      <c r="E428" s="182">
        <f>+F411+F414+F427+F423+F417</f>
        <v>8818</v>
      </c>
      <c r="F428" s="183"/>
      <c r="G428"/>
      <c r="H428"/>
      <c r="I428"/>
      <c r="K428"/>
    </row>
    <row r="429" spans="1:11" ht="15" x14ac:dyDescent="0.25">
      <c r="A429" s="196"/>
      <c r="B429" s="196"/>
      <c r="C429" s="196"/>
      <c r="D429" s="196"/>
      <c r="E429" s="197"/>
      <c r="F429" s="197"/>
      <c r="G429"/>
      <c r="H429"/>
      <c r="I429"/>
      <c r="K429"/>
    </row>
    <row r="430" spans="1:11" x14ac:dyDescent="0.25">
      <c r="A430" s="31"/>
      <c r="F430" s="32"/>
    </row>
    <row r="431" spans="1:11" ht="15.75" x14ac:dyDescent="0.25">
      <c r="A431" s="184" t="s">
        <v>136</v>
      </c>
      <c r="B431" s="185"/>
      <c r="C431" s="185"/>
      <c r="D431" s="185"/>
      <c r="E431" s="185"/>
      <c r="F431" s="186"/>
    </row>
    <row r="432" spans="1:11" x14ac:dyDescent="0.25">
      <c r="A432" s="174" t="str">
        <f>+'RESUMEN APUS'!B34</f>
        <v>ACOMODAMIENTO Y NIVELACIÓN DE PIEDRA DE ENTRESUELO, espesor de 0.15 m, entresuelo en piedra (e=0,10 m.), arenilla compactada (e=0,05 m.) Incluye suministro y transporte de materiales, compactación mecánica, polietileno de baja densidad y todo lo necesario para su correcta colocación. La piedra seleccionada debe ser aprobada por la interventoría.</v>
      </c>
      <c r="B432" s="175"/>
      <c r="C432" s="175"/>
      <c r="D432" s="176"/>
      <c r="E432" s="12" t="s">
        <v>137</v>
      </c>
      <c r="F432" s="13" t="s">
        <v>3</v>
      </c>
    </row>
    <row r="433" spans="1:6" ht="34.5" customHeight="1" x14ac:dyDescent="0.25">
      <c r="A433" s="177"/>
      <c r="B433" s="178"/>
      <c r="C433" s="178"/>
      <c r="D433" s="179"/>
      <c r="E433" s="14" t="s">
        <v>49</v>
      </c>
      <c r="F433" s="15" t="s">
        <v>138</v>
      </c>
    </row>
    <row r="434" spans="1:6" x14ac:dyDescent="0.25">
      <c r="A434" s="16" t="s">
        <v>139</v>
      </c>
      <c r="B434" s="17" t="s">
        <v>172</v>
      </c>
      <c r="C434" s="18" t="s">
        <v>3</v>
      </c>
      <c r="D434" s="18" t="s">
        <v>141</v>
      </c>
      <c r="E434" s="18" t="s">
        <v>142</v>
      </c>
      <c r="F434" s="19" t="s">
        <v>143</v>
      </c>
    </row>
    <row r="435" spans="1:6" x14ac:dyDescent="0.25">
      <c r="A435" s="20" t="s">
        <v>249</v>
      </c>
      <c r="B435" s="21" t="s">
        <v>250</v>
      </c>
      <c r="C435" s="22" t="s">
        <v>164</v>
      </c>
      <c r="D435" s="23">
        <v>0.1575</v>
      </c>
      <c r="E435" s="24">
        <f>78337*1.052</f>
        <v>82410.524000000005</v>
      </c>
      <c r="F435" s="25">
        <f>ROUND(D435*E435,0)</f>
        <v>12980</v>
      </c>
    </row>
    <row r="436" spans="1:6" ht="14.25" thickBot="1" x14ac:dyDescent="0.3">
      <c r="A436" s="20" t="s">
        <v>251</v>
      </c>
      <c r="B436" s="21" t="s">
        <v>252</v>
      </c>
      <c r="C436" s="22" t="s">
        <v>164</v>
      </c>
      <c r="D436" s="23">
        <v>6.8000000000000005E-2</v>
      </c>
      <c r="E436" s="24">
        <f>38324*1.052</f>
        <v>40316.847999999998</v>
      </c>
      <c r="F436" s="25">
        <f>ROUND(D436*E436,0)</f>
        <v>2742</v>
      </c>
    </row>
    <row r="437" spans="1:6" ht="14.25" thickBot="1" x14ac:dyDescent="0.3">
      <c r="A437" s="26" t="s">
        <v>175</v>
      </c>
      <c r="B437" s="27"/>
      <c r="C437" s="28">
        <v>42.747681139938202</v>
      </c>
      <c r="D437" s="27"/>
      <c r="E437" s="29" t="s">
        <v>148</v>
      </c>
      <c r="F437" s="30">
        <f>SUM(F435:F436)</f>
        <v>15722</v>
      </c>
    </row>
    <row r="438" spans="1:6" x14ac:dyDescent="0.25">
      <c r="A438" s="16" t="s">
        <v>139</v>
      </c>
      <c r="B438" s="17" t="s">
        <v>140</v>
      </c>
      <c r="C438" s="18" t="s">
        <v>3</v>
      </c>
      <c r="D438" s="18" t="s">
        <v>141</v>
      </c>
      <c r="E438" s="18" t="s">
        <v>142</v>
      </c>
      <c r="F438" s="19" t="s">
        <v>143</v>
      </c>
    </row>
    <row r="439" spans="1:6" ht="14.25" thickBot="1" x14ac:dyDescent="0.3">
      <c r="A439" s="20" t="s">
        <v>189</v>
      </c>
      <c r="B439" s="21" t="s">
        <v>190</v>
      </c>
      <c r="C439" s="22" t="s">
        <v>146</v>
      </c>
      <c r="D439" s="23">
        <v>4.8820000000000002E-2</v>
      </c>
      <c r="E439" s="24">
        <f>258000*1.1*$J$1</f>
        <v>320693.99999999994</v>
      </c>
      <c r="F439" s="25">
        <f>ROUND(D439*E439,0)</f>
        <v>15656</v>
      </c>
    </row>
    <row r="440" spans="1:6" ht="14.25" thickBot="1" x14ac:dyDescent="0.3">
      <c r="A440" s="26" t="s">
        <v>147</v>
      </c>
      <c r="B440" s="27"/>
      <c r="C440" s="28">
        <v>33.840569969081898</v>
      </c>
      <c r="D440" s="27"/>
      <c r="E440" s="29" t="s">
        <v>148</v>
      </c>
      <c r="F440" s="30">
        <f>SUM(F439)</f>
        <v>15656</v>
      </c>
    </row>
    <row r="441" spans="1:6" x14ac:dyDescent="0.25">
      <c r="A441" s="16" t="s">
        <v>139</v>
      </c>
      <c r="B441" s="17" t="s">
        <v>149</v>
      </c>
      <c r="C441" s="18" t="s">
        <v>3</v>
      </c>
      <c r="D441" s="18" t="s">
        <v>141</v>
      </c>
      <c r="E441" s="18" t="s">
        <v>142</v>
      </c>
      <c r="F441" s="19" t="s">
        <v>143</v>
      </c>
    </row>
    <row r="442" spans="1:6" ht="14.25" thickBot="1" x14ac:dyDescent="0.3">
      <c r="A442" s="20" t="s">
        <v>150</v>
      </c>
      <c r="B442" s="21" t="s">
        <v>151</v>
      </c>
      <c r="C442" s="22" t="s">
        <v>152</v>
      </c>
      <c r="D442" s="23">
        <v>0.05</v>
      </c>
      <c r="E442" s="24">
        <f>F440</f>
        <v>15656</v>
      </c>
      <c r="F442" s="25">
        <f>ROUND(D442*E442,0)</f>
        <v>783</v>
      </c>
    </row>
    <row r="443" spans="1:6" ht="14.25" thickBot="1" x14ac:dyDescent="0.3">
      <c r="A443" s="26" t="s">
        <v>153</v>
      </c>
      <c r="B443" s="27"/>
      <c r="C443" s="28">
        <v>1.6910875117623301</v>
      </c>
      <c r="D443" s="27"/>
      <c r="E443" s="29" t="s">
        <v>148</v>
      </c>
      <c r="F443" s="30">
        <f>SUM(F442)</f>
        <v>783</v>
      </c>
    </row>
    <row r="444" spans="1:6" x14ac:dyDescent="0.25">
      <c r="A444" s="16" t="s">
        <v>139</v>
      </c>
      <c r="B444" s="17" t="s">
        <v>154</v>
      </c>
      <c r="C444" s="18" t="s">
        <v>3</v>
      </c>
      <c r="D444" s="18" t="s">
        <v>141</v>
      </c>
      <c r="E444" s="18" t="s">
        <v>142</v>
      </c>
      <c r="F444" s="19" t="s">
        <v>143</v>
      </c>
    </row>
    <row r="445" spans="1:6" ht="14.25" thickBot="1" x14ac:dyDescent="0.3">
      <c r="A445" s="20" t="s">
        <v>253</v>
      </c>
      <c r="B445" s="21" t="s">
        <v>254</v>
      </c>
      <c r="C445" s="22" t="s">
        <v>157</v>
      </c>
      <c r="D445" s="23">
        <v>2.2550000000000001E-2</v>
      </c>
      <c r="E445" s="24">
        <v>136612</v>
      </c>
      <c r="F445" s="25">
        <f>ROUND(D445*E445,0)</f>
        <v>3081</v>
      </c>
    </row>
    <row r="446" spans="1:6" ht="14.25" thickBot="1" x14ac:dyDescent="0.3">
      <c r="A446" s="26" t="s">
        <v>160</v>
      </c>
      <c r="B446" s="27"/>
      <c r="C446" s="28">
        <v>11.754268046780499</v>
      </c>
      <c r="D446" s="27"/>
      <c r="E446" s="29" t="s">
        <v>148</v>
      </c>
      <c r="F446" s="30">
        <f>SUM(F445)</f>
        <v>3081</v>
      </c>
    </row>
    <row r="447" spans="1:6" x14ac:dyDescent="0.25">
      <c r="A447" s="16" t="s">
        <v>139</v>
      </c>
      <c r="B447" s="17" t="s">
        <v>161</v>
      </c>
      <c r="C447" s="18" t="s">
        <v>3</v>
      </c>
      <c r="D447" s="18" t="s">
        <v>141</v>
      </c>
      <c r="E447" s="18" t="s">
        <v>142</v>
      </c>
      <c r="F447" s="19" t="s">
        <v>143</v>
      </c>
    </row>
    <row r="448" spans="1:6" ht="14.25" thickBot="1" x14ac:dyDescent="0.3">
      <c r="A448" s="34" t="s">
        <v>191</v>
      </c>
      <c r="B448" s="35" t="s">
        <v>192</v>
      </c>
      <c r="C448" s="36" t="s">
        <v>193</v>
      </c>
      <c r="D448" s="37">
        <v>0.12472176927391974</v>
      </c>
      <c r="E448" s="38">
        <v>176630</v>
      </c>
      <c r="F448" s="25">
        <f>ROUND(D448*E448,0)</f>
        <v>22030</v>
      </c>
    </row>
    <row r="449" spans="1:6" ht="14.25" thickBot="1" x14ac:dyDescent="0.3">
      <c r="A449" s="26"/>
      <c r="B449" s="27"/>
      <c r="C449" s="28"/>
      <c r="D449" s="27"/>
      <c r="E449" s="29" t="s">
        <v>148</v>
      </c>
      <c r="F449" s="30">
        <f>SUM(F448:F448)</f>
        <v>22030</v>
      </c>
    </row>
    <row r="450" spans="1:6" ht="15.75" thickBot="1" x14ac:dyDescent="0.3">
      <c r="A450" s="180" t="s">
        <v>168</v>
      </c>
      <c r="B450" s="181"/>
      <c r="C450" s="181"/>
      <c r="D450" s="181"/>
      <c r="E450" s="182">
        <f>+F437+F440+F443+F446+F449</f>
        <v>57272</v>
      </c>
      <c r="F450" s="183"/>
    </row>
    <row r="451" spans="1:6" x14ac:dyDescent="0.25">
      <c r="A451" s="31"/>
      <c r="F451" s="32"/>
    </row>
    <row r="452" spans="1:6" ht="15.75" x14ac:dyDescent="0.25">
      <c r="A452" s="184" t="s">
        <v>136</v>
      </c>
      <c r="B452" s="185"/>
      <c r="C452" s="185"/>
      <c r="D452" s="185"/>
      <c r="E452" s="185"/>
      <c r="F452" s="186"/>
    </row>
    <row r="453" spans="1:6" x14ac:dyDescent="0.25">
      <c r="A453" s="174" t="str">
        <f>+'RESUMEN APUS'!B35</f>
        <v>Instalación de suelo-cemento 1:12 elaborado en obra, con material proveniente de la excavación. Compactación manual con pisón en capas de 15 cm de espesor.</v>
      </c>
      <c r="B453" s="175"/>
      <c r="C453" s="175"/>
      <c r="D453" s="176"/>
      <c r="E453" s="12" t="s">
        <v>137</v>
      </c>
      <c r="F453" s="13" t="s">
        <v>3</v>
      </c>
    </row>
    <row r="454" spans="1:6" x14ac:dyDescent="0.25">
      <c r="A454" s="177"/>
      <c r="B454" s="178"/>
      <c r="C454" s="178"/>
      <c r="D454" s="179"/>
      <c r="E454" s="14" t="s">
        <v>50</v>
      </c>
      <c r="F454" s="15" t="s">
        <v>164</v>
      </c>
    </row>
    <row r="455" spans="1:6" x14ac:dyDescent="0.25">
      <c r="A455" s="16" t="s">
        <v>139</v>
      </c>
      <c r="B455" s="17" t="s">
        <v>172</v>
      </c>
      <c r="C455" s="18" t="s">
        <v>3</v>
      </c>
      <c r="D455" s="18" t="s">
        <v>141</v>
      </c>
      <c r="E455" s="18" t="s">
        <v>142</v>
      </c>
      <c r="F455" s="19" t="s">
        <v>143</v>
      </c>
    </row>
    <row r="456" spans="1:6" ht="14.25" thickBot="1" x14ac:dyDescent="0.3">
      <c r="A456" s="20" t="s">
        <v>255</v>
      </c>
      <c r="B456" s="21" t="s">
        <v>256</v>
      </c>
      <c r="C456" s="22" t="s">
        <v>237</v>
      </c>
      <c r="D456" s="23">
        <v>2.402558315661921</v>
      </c>
      <c r="E456" s="24">
        <f>35180*1.052</f>
        <v>37009.360000000001</v>
      </c>
      <c r="F456" s="25">
        <f>ROUND(D456*E456,0)</f>
        <v>88917</v>
      </c>
    </row>
    <row r="457" spans="1:6" ht="14.25" thickBot="1" x14ac:dyDescent="0.3">
      <c r="A457" s="26" t="s">
        <v>175</v>
      </c>
      <c r="B457" s="27"/>
      <c r="C457" s="28">
        <v>51.345671084126302</v>
      </c>
      <c r="D457" s="27"/>
      <c r="E457" s="29" t="s">
        <v>148</v>
      </c>
      <c r="F457" s="30">
        <f>SUM(F456)</f>
        <v>88917</v>
      </c>
    </row>
    <row r="458" spans="1:6" x14ac:dyDescent="0.25">
      <c r="A458" s="16" t="s">
        <v>139</v>
      </c>
      <c r="B458" s="17" t="s">
        <v>140</v>
      </c>
      <c r="C458" s="18" t="s">
        <v>3</v>
      </c>
      <c r="D458" s="18" t="s">
        <v>141</v>
      </c>
      <c r="E458" s="18" t="s">
        <v>142</v>
      </c>
      <c r="F458" s="19" t="s">
        <v>143</v>
      </c>
    </row>
    <row r="459" spans="1:6" ht="14.25" thickBot="1" x14ac:dyDescent="0.3">
      <c r="A459" s="20" t="s">
        <v>189</v>
      </c>
      <c r="B459" s="21" t="s">
        <v>190</v>
      </c>
      <c r="C459" s="22" t="s">
        <v>146</v>
      </c>
      <c r="D459" s="23">
        <v>0.35</v>
      </c>
      <c r="E459" s="24">
        <f>258000*1.1*$J$1</f>
        <v>320693.99999999994</v>
      </c>
      <c r="F459" s="25">
        <f>ROUND(D459*E459,0)</f>
        <v>112243</v>
      </c>
    </row>
    <row r="460" spans="1:6" ht="14.25" thickBot="1" x14ac:dyDescent="0.3">
      <c r="A460" s="26" t="s">
        <v>147</v>
      </c>
      <c r="B460" s="27"/>
      <c r="C460" s="28">
        <v>36.436744701967399</v>
      </c>
      <c r="D460" s="27"/>
      <c r="E460" s="29" t="s">
        <v>148</v>
      </c>
      <c r="F460" s="30">
        <f>SUM(F459)</f>
        <v>112243</v>
      </c>
    </row>
    <row r="461" spans="1:6" x14ac:dyDescent="0.25">
      <c r="A461" s="16" t="s">
        <v>139</v>
      </c>
      <c r="B461" s="17" t="s">
        <v>149</v>
      </c>
      <c r="C461" s="18" t="s">
        <v>3</v>
      </c>
      <c r="D461" s="18" t="s">
        <v>141</v>
      </c>
      <c r="E461" s="18" t="s">
        <v>142</v>
      </c>
      <c r="F461" s="19" t="s">
        <v>143</v>
      </c>
    </row>
    <row r="462" spans="1:6" ht="14.25" thickBot="1" x14ac:dyDescent="0.3">
      <c r="A462" s="20" t="s">
        <v>150</v>
      </c>
      <c r="B462" s="21" t="s">
        <v>151</v>
      </c>
      <c r="C462" s="22" t="s">
        <v>152</v>
      </c>
      <c r="D462" s="23">
        <v>0.05</v>
      </c>
      <c r="E462" s="24">
        <f>F460</f>
        <v>112243</v>
      </c>
      <c r="F462" s="25">
        <f>ROUND(D462*E462,0)</f>
        <v>5612</v>
      </c>
    </row>
    <row r="463" spans="1:6" ht="14.25" thickBot="1" x14ac:dyDescent="0.3">
      <c r="A463" s="26" t="s">
        <v>153</v>
      </c>
      <c r="B463" s="27"/>
      <c r="C463" s="28">
        <v>1.8219588611905699</v>
      </c>
      <c r="D463" s="27"/>
      <c r="E463" s="29" t="s">
        <v>148</v>
      </c>
      <c r="F463" s="30">
        <f>SUM(F462)</f>
        <v>5612</v>
      </c>
    </row>
    <row r="464" spans="1:6" x14ac:dyDescent="0.25">
      <c r="A464" s="16" t="s">
        <v>139</v>
      </c>
      <c r="B464" s="17" t="s">
        <v>161</v>
      </c>
      <c r="C464" s="18" t="s">
        <v>3</v>
      </c>
      <c r="D464" s="18" t="s">
        <v>141</v>
      </c>
      <c r="E464" s="18" t="s">
        <v>142</v>
      </c>
      <c r="F464" s="19" t="s">
        <v>143</v>
      </c>
    </row>
    <row r="465" spans="1:6" x14ac:dyDescent="0.25">
      <c r="A465" s="20" t="s">
        <v>165</v>
      </c>
      <c r="B465" s="21" t="s">
        <v>166</v>
      </c>
      <c r="C465" s="22" t="s">
        <v>164</v>
      </c>
      <c r="D465" s="23">
        <v>1.3</v>
      </c>
      <c r="E465" s="24">
        <v>17078.042999999998</v>
      </c>
      <c r="F465" s="25">
        <f>ROUND(D465*E465,0)</f>
        <v>22201</v>
      </c>
    </row>
    <row r="466" spans="1:6" ht="14.25" thickBot="1" x14ac:dyDescent="0.3">
      <c r="A466" s="34" t="s">
        <v>191</v>
      </c>
      <c r="B466" s="35" t="s">
        <v>192</v>
      </c>
      <c r="C466" s="36" t="s">
        <v>193</v>
      </c>
      <c r="D466" s="37">
        <f>(D456*0.05)</f>
        <v>0.12012791578309606</v>
      </c>
      <c r="E466" s="38">
        <v>176630</v>
      </c>
      <c r="F466" s="25">
        <f>ROUND(D466*E466,0)</f>
        <v>21218</v>
      </c>
    </row>
    <row r="467" spans="1:6" ht="14.25" thickBot="1" x14ac:dyDescent="0.3">
      <c r="A467" s="26"/>
      <c r="B467" s="27"/>
      <c r="C467" s="28"/>
      <c r="D467" s="27"/>
      <c r="E467" s="29" t="s">
        <v>148</v>
      </c>
      <c r="F467" s="30">
        <f>SUM(F465:F466)</f>
        <v>43419</v>
      </c>
    </row>
    <row r="468" spans="1:6" ht="15.75" thickBot="1" x14ac:dyDescent="0.3">
      <c r="A468" s="180" t="s">
        <v>168</v>
      </c>
      <c r="B468" s="181"/>
      <c r="C468" s="181"/>
      <c r="D468" s="181"/>
      <c r="E468" s="182">
        <f>F457+F460+F463+F467</f>
        <v>250191</v>
      </c>
      <c r="F468" s="183"/>
    </row>
    <row r="469" spans="1:6" x14ac:dyDescent="0.25">
      <c r="A469" s="31"/>
      <c r="F469" s="32"/>
    </row>
    <row r="470" spans="1:6" ht="15.75" x14ac:dyDescent="0.25">
      <c r="A470" s="184" t="s">
        <v>136</v>
      </c>
      <c r="B470" s="185"/>
      <c r="C470" s="185"/>
      <c r="D470" s="185"/>
      <c r="E470" s="185"/>
      <c r="F470" s="186"/>
    </row>
    <row r="471" spans="1:6" x14ac:dyDescent="0.25">
      <c r="A471" s="174" t="str">
        <f>+'RESUMEN APUS'!B36</f>
        <v xml:space="preserve">Construcción de PISO O PLACA en concreto de 21 Mpa, espesor de 0,08 m. sobre el terreno y/o entresuelo. Incluye  nivelación del terreno y adecuación de la superficie, mano de obra y todos los demás elementos necesarios para su correcta construcción. No incluye entresuelo. </v>
      </c>
      <c r="B471" s="175"/>
      <c r="C471" s="175"/>
      <c r="D471" s="176"/>
      <c r="E471" s="12" t="s">
        <v>137</v>
      </c>
      <c r="F471" s="13" t="s">
        <v>3</v>
      </c>
    </row>
    <row r="472" spans="1:6" ht="46.5" customHeight="1" x14ac:dyDescent="0.25">
      <c r="A472" s="177"/>
      <c r="B472" s="178"/>
      <c r="C472" s="178"/>
      <c r="D472" s="179"/>
      <c r="E472" s="14" t="s">
        <v>52</v>
      </c>
      <c r="F472" s="15" t="s">
        <v>164</v>
      </c>
    </row>
    <row r="473" spans="1:6" x14ac:dyDescent="0.25">
      <c r="A473" s="16" t="s">
        <v>139</v>
      </c>
      <c r="B473" s="17" t="s">
        <v>172</v>
      </c>
      <c r="C473" s="18" t="s">
        <v>3</v>
      </c>
      <c r="D473" s="18" t="s">
        <v>141</v>
      </c>
      <c r="E473" s="18" t="s">
        <v>142</v>
      </c>
      <c r="F473" s="19" t="s">
        <v>143</v>
      </c>
    </row>
    <row r="474" spans="1:6" x14ac:dyDescent="0.25">
      <c r="A474" s="20" t="s">
        <v>198</v>
      </c>
      <c r="B474" s="21" t="s">
        <v>199</v>
      </c>
      <c r="C474" s="22" t="s">
        <v>164</v>
      </c>
      <c r="D474" s="23">
        <v>1.05</v>
      </c>
      <c r="E474" s="24">
        <f>500520.9*1.052</f>
        <v>526547.98680000007</v>
      </c>
      <c r="F474" s="25">
        <f>ROUND(D474*E474,0)</f>
        <v>552875</v>
      </c>
    </row>
    <row r="475" spans="1:6" x14ac:dyDescent="0.25">
      <c r="A475" s="20" t="s">
        <v>203</v>
      </c>
      <c r="B475" s="21" t="s">
        <v>204</v>
      </c>
      <c r="C475" s="22" t="s">
        <v>171</v>
      </c>
      <c r="D475" s="23">
        <v>1.25</v>
      </c>
      <c r="E475" s="24">
        <f>9247.1*1.052</f>
        <v>9727.9492000000009</v>
      </c>
      <c r="F475" s="25">
        <f>ROUND(D475*E475,0)</f>
        <v>12160</v>
      </c>
    </row>
    <row r="476" spans="1:6" ht="14.25" thickBot="1" x14ac:dyDescent="0.3">
      <c r="A476" s="20" t="s">
        <v>257</v>
      </c>
      <c r="B476" s="21" t="s">
        <v>258</v>
      </c>
      <c r="C476" s="22" t="s">
        <v>205</v>
      </c>
      <c r="D476" s="23">
        <v>0.83330000000000004</v>
      </c>
      <c r="E476" s="24">
        <f>5000*1.052</f>
        <v>5260</v>
      </c>
      <c r="F476" s="25">
        <f>ROUND(D476*E476,0)</f>
        <v>4383</v>
      </c>
    </row>
    <row r="477" spans="1:6" ht="14.25" thickBot="1" x14ac:dyDescent="0.3">
      <c r="A477" s="26" t="s">
        <v>175</v>
      </c>
      <c r="B477" s="27"/>
      <c r="C477" s="28">
        <v>74.218135239233504</v>
      </c>
      <c r="D477" s="27"/>
      <c r="E477" s="29" t="s">
        <v>148</v>
      </c>
      <c r="F477" s="30">
        <f>SUM(F474:F476)</f>
        <v>569418</v>
      </c>
    </row>
    <row r="478" spans="1:6" x14ac:dyDescent="0.25">
      <c r="A478" s="16" t="s">
        <v>139</v>
      </c>
      <c r="B478" s="17" t="s">
        <v>140</v>
      </c>
      <c r="C478" s="18" t="s">
        <v>3</v>
      </c>
      <c r="D478" s="18" t="s">
        <v>141</v>
      </c>
      <c r="E478" s="18" t="s">
        <v>142</v>
      </c>
      <c r="F478" s="19" t="s">
        <v>143</v>
      </c>
    </row>
    <row r="479" spans="1:6" ht="14.25" thickBot="1" x14ac:dyDescent="0.3">
      <c r="A479" s="20" t="s">
        <v>189</v>
      </c>
      <c r="B479" s="21" t="s">
        <v>190</v>
      </c>
      <c r="C479" s="22" t="s">
        <v>146</v>
      </c>
      <c r="D479" s="23">
        <v>0.33300000000000002</v>
      </c>
      <c r="E479" s="24">
        <f>258000*1.1*$J$1</f>
        <v>320693.99999999994</v>
      </c>
      <c r="F479" s="25">
        <f>ROUND(D479*E479,0)</f>
        <v>106791</v>
      </c>
    </row>
    <row r="480" spans="1:6" ht="14.25" thickBot="1" x14ac:dyDescent="0.3">
      <c r="A480" s="26" t="s">
        <v>147</v>
      </c>
      <c r="B480" s="27"/>
      <c r="C480" s="28">
        <v>21.979333684378702</v>
      </c>
      <c r="D480" s="27"/>
      <c r="E480" s="29" t="s">
        <v>148</v>
      </c>
      <c r="F480" s="30">
        <f>SUM(F479)</f>
        <v>106791</v>
      </c>
    </row>
    <row r="481" spans="1:6" x14ac:dyDescent="0.25">
      <c r="A481" s="16" t="s">
        <v>139</v>
      </c>
      <c r="B481" s="17" t="s">
        <v>149</v>
      </c>
      <c r="C481" s="18" t="s">
        <v>3</v>
      </c>
      <c r="D481" s="18" t="s">
        <v>141</v>
      </c>
      <c r="E481" s="18" t="s">
        <v>142</v>
      </c>
      <c r="F481" s="19" t="s">
        <v>143</v>
      </c>
    </row>
    <row r="482" spans="1:6" ht="14.25" thickBot="1" x14ac:dyDescent="0.3">
      <c r="A482" s="20" t="s">
        <v>150</v>
      </c>
      <c r="B482" s="21" t="s">
        <v>151</v>
      </c>
      <c r="C482" s="22" t="s">
        <v>152</v>
      </c>
      <c r="D482" s="23">
        <v>0.05</v>
      </c>
      <c r="E482" s="24">
        <f>F480</f>
        <v>106791</v>
      </c>
      <c r="F482" s="25">
        <f>ROUND(D482*E482,0)</f>
        <v>5340</v>
      </c>
    </row>
    <row r="483" spans="1:6" ht="14.25" thickBot="1" x14ac:dyDescent="0.3">
      <c r="A483" s="26" t="s">
        <v>153</v>
      </c>
      <c r="B483" s="27"/>
      <c r="C483" s="28">
        <v>1.0989888710736699</v>
      </c>
      <c r="D483" s="27"/>
      <c r="E483" s="29" t="s">
        <v>148</v>
      </c>
      <c r="F483" s="30">
        <f>SUM(F482)</f>
        <v>5340</v>
      </c>
    </row>
    <row r="484" spans="1:6" x14ac:dyDescent="0.25">
      <c r="A484" s="16" t="s">
        <v>139</v>
      </c>
      <c r="B484" s="17" t="s">
        <v>154</v>
      </c>
      <c r="C484" s="18" t="s">
        <v>3</v>
      </c>
      <c r="D484" s="18" t="s">
        <v>141</v>
      </c>
      <c r="E484" s="18" t="s">
        <v>142</v>
      </c>
      <c r="F484" s="19" t="s">
        <v>143</v>
      </c>
    </row>
    <row r="485" spans="1:6" x14ac:dyDescent="0.25">
      <c r="A485" s="20" t="s">
        <v>206</v>
      </c>
      <c r="B485" s="21" t="s">
        <v>207</v>
      </c>
      <c r="C485" s="22" t="s">
        <v>157</v>
      </c>
      <c r="D485" s="23">
        <v>0.01</v>
      </c>
      <c r="E485" s="24">
        <f>29000*1.052</f>
        <v>30508</v>
      </c>
      <c r="F485" s="25">
        <f>ROUND(D485*E485,0)</f>
        <v>305</v>
      </c>
    </row>
    <row r="486" spans="1:6" ht="14.25" thickBot="1" x14ac:dyDescent="0.3">
      <c r="A486" s="20" t="s">
        <v>259</v>
      </c>
      <c r="B486" s="21" t="s">
        <v>260</v>
      </c>
      <c r="C486" s="22" t="s">
        <v>157</v>
      </c>
      <c r="D486" s="23">
        <v>2.5000000000000001E-2</v>
      </c>
      <c r="E486" s="24">
        <f>30000*1.052</f>
        <v>31560</v>
      </c>
      <c r="F486" s="25">
        <f>ROUND(D486*E486,0)</f>
        <v>789</v>
      </c>
    </row>
    <row r="487" spans="1:6" ht="14.25" thickBot="1" x14ac:dyDescent="0.3">
      <c r="A487" s="26" t="s">
        <v>160</v>
      </c>
      <c r="B487" s="27"/>
      <c r="C487" s="28">
        <v>0.15072269981481401</v>
      </c>
      <c r="D487" s="27"/>
      <c r="E487" s="29" t="s">
        <v>148</v>
      </c>
      <c r="F487" s="30">
        <f>SUM(F485:F486)</f>
        <v>1094</v>
      </c>
    </row>
    <row r="488" spans="1:6" x14ac:dyDescent="0.25">
      <c r="A488" s="16" t="s">
        <v>139</v>
      </c>
      <c r="B488" s="17" t="s">
        <v>161</v>
      </c>
      <c r="C488" s="18" t="s">
        <v>3</v>
      </c>
      <c r="D488" s="18" t="s">
        <v>141</v>
      </c>
      <c r="E488" s="18" t="s">
        <v>142</v>
      </c>
      <c r="F488" s="19" t="s">
        <v>143</v>
      </c>
    </row>
    <row r="489" spans="1:6" x14ac:dyDescent="0.25">
      <c r="A489" s="20" t="s">
        <v>165</v>
      </c>
      <c r="B489" s="21" t="s">
        <v>166</v>
      </c>
      <c r="C489" s="22" t="s">
        <v>164</v>
      </c>
      <c r="D489" s="23">
        <v>1.05</v>
      </c>
      <c r="E489" s="24">
        <f>17078.043</f>
        <v>17078.043000000001</v>
      </c>
      <c r="F489" s="25">
        <f>ROUND(D489*E489,0)</f>
        <v>17932</v>
      </c>
    </row>
    <row r="490" spans="1:6" ht="14.25" thickBot="1" x14ac:dyDescent="0.3">
      <c r="A490" s="34" t="s">
        <v>191</v>
      </c>
      <c r="B490" s="35" t="s">
        <v>192</v>
      </c>
      <c r="C490" s="36" t="s">
        <v>193</v>
      </c>
      <c r="D490" s="37">
        <v>1.2674930645983131</v>
      </c>
      <c r="E490" s="38">
        <f>176630</f>
        <v>176630</v>
      </c>
      <c r="F490" s="25">
        <f>ROUND(D490*E490,0)</f>
        <v>223877</v>
      </c>
    </row>
    <row r="491" spans="1:6" ht="14.25" thickBot="1" x14ac:dyDescent="0.3">
      <c r="A491" s="26"/>
      <c r="B491" s="27"/>
      <c r="C491" s="28"/>
      <c r="D491" s="27"/>
      <c r="E491" s="29" t="s">
        <v>148</v>
      </c>
      <c r="F491" s="30">
        <f>SUM(F489:F490)</f>
        <v>241809</v>
      </c>
    </row>
    <row r="492" spans="1:6" ht="15.75" thickBot="1" x14ac:dyDescent="0.3">
      <c r="A492" s="180" t="s">
        <v>168</v>
      </c>
      <c r="B492" s="181"/>
      <c r="C492" s="181"/>
      <c r="D492" s="181"/>
      <c r="E492" s="182">
        <f>+F477+F480+F483+F487+F491</f>
        <v>924452</v>
      </c>
      <c r="F492" s="183"/>
    </row>
    <row r="493" spans="1:6" x14ac:dyDescent="0.25">
      <c r="A493" s="31"/>
      <c r="F493" s="32"/>
    </row>
    <row r="494" spans="1:6" ht="15.75" x14ac:dyDescent="0.25">
      <c r="A494" s="184" t="s">
        <v>136</v>
      </c>
      <c r="B494" s="185"/>
      <c r="C494" s="185"/>
      <c r="D494" s="185"/>
      <c r="E494" s="185"/>
      <c r="F494" s="186"/>
    </row>
    <row r="495" spans="1:6" x14ac:dyDescent="0.25">
      <c r="A495" s="174" t="str">
        <f>+'RESUMEN APUS'!B37</f>
        <v>Preparación de superficie de losa existente para adherencia de enchape. Incluye escarificación superficial de losa existente.</v>
      </c>
      <c r="B495" s="175"/>
      <c r="C495" s="175"/>
      <c r="D495" s="176"/>
      <c r="E495" s="12" t="s">
        <v>137</v>
      </c>
      <c r="F495" s="13" t="s">
        <v>3</v>
      </c>
    </row>
    <row r="496" spans="1:6" x14ac:dyDescent="0.25">
      <c r="A496" s="177"/>
      <c r="B496" s="178"/>
      <c r="C496" s="178"/>
      <c r="D496" s="179"/>
      <c r="E496" s="14" t="s">
        <v>53</v>
      </c>
      <c r="F496" s="15" t="s">
        <v>138</v>
      </c>
    </row>
    <row r="497" spans="1:6" x14ac:dyDescent="0.25">
      <c r="A497" s="16" t="s">
        <v>139</v>
      </c>
      <c r="B497" s="17" t="s">
        <v>172</v>
      </c>
      <c r="C497" s="18" t="s">
        <v>3</v>
      </c>
      <c r="D497" s="18" t="s">
        <v>141</v>
      </c>
      <c r="E497" s="18" t="s">
        <v>142</v>
      </c>
      <c r="F497" s="19" t="s">
        <v>143</v>
      </c>
    </row>
    <row r="498" spans="1:6" ht="14.25" thickBot="1" x14ac:dyDescent="0.3">
      <c r="A498" s="20" t="s">
        <v>187</v>
      </c>
      <c r="B498" s="21" t="s">
        <v>261</v>
      </c>
      <c r="C498" s="22" t="s">
        <v>262</v>
      </c>
      <c r="D498" s="23">
        <v>0.2</v>
      </c>
      <c r="E498" s="24">
        <f>6500*1.052</f>
        <v>6838</v>
      </c>
      <c r="F498" s="25">
        <f>ROUND(D498*E498,0)</f>
        <v>1368</v>
      </c>
    </row>
    <row r="499" spans="1:6" ht="14.25" thickBot="1" x14ac:dyDescent="0.3">
      <c r="A499" s="26" t="s">
        <v>175</v>
      </c>
      <c r="B499" s="27"/>
      <c r="C499" s="28">
        <v>14.740900328835499</v>
      </c>
      <c r="D499" s="27"/>
      <c r="E499" s="29" t="s">
        <v>148</v>
      </c>
      <c r="F499" s="30">
        <f>SUM(F498)</f>
        <v>1368</v>
      </c>
    </row>
    <row r="500" spans="1:6" x14ac:dyDescent="0.25">
      <c r="A500" s="16" t="s">
        <v>139</v>
      </c>
      <c r="B500" s="17" t="s">
        <v>140</v>
      </c>
      <c r="C500" s="18" t="s">
        <v>3</v>
      </c>
      <c r="D500" s="18" t="s">
        <v>141</v>
      </c>
      <c r="E500" s="18" t="s">
        <v>142</v>
      </c>
      <c r="F500" s="19" t="s">
        <v>143</v>
      </c>
    </row>
    <row r="501" spans="1:6" ht="14.25" thickBot="1" x14ac:dyDescent="0.3">
      <c r="A501" s="20" t="s">
        <v>176</v>
      </c>
      <c r="B501" s="21" t="s">
        <v>177</v>
      </c>
      <c r="C501" s="22" t="s">
        <v>146</v>
      </c>
      <c r="D501" s="23">
        <v>4.5646290801186935E-2</v>
      </c>
      <c r="E501" s="24">
        <f>80365.8349622223*1.1*$J$1</f>
        <v>99894.732858042335</v>
      </c>
      <c r="F501" s="25">
        <f>ROUND(D501*E501,0)</f>
        <v>4560</v>
      </c>
    </row>
    <row r="502" spans="1:6" ht="14.25" thickBot="1" x14ac:dyDescent="0.3">
      <c r="A502" s="26" t="s">
        <v>147</v>
      </c>
      <c r="B502" s="27"/>
      <c r="C502" s="28">
        <v>45.265903163624003</v>
      </c>
      <c r="D502" s="27"/>
      <c r="E502" s="29" t="s">
        <v>148</v>
      </c>
      <c r="F502" s="30">
        <f>SUM(F501)</f>
        <v>4560</v>
      </c>
    </row>
    <row r="503" spans="1:6" x14ac:dyDescent="0.25">
      <c r="A503" s="16" t="s">
        <v>139</v>
      </c>
      <c r="B503" s="17" t="s">
        <v>149</v>
      </c>
      <c r="C503" s="18" t="s">
        <v>3</v>
      </c>
      <c r="D503" s="18" t="s">
        <v>141</v>
      </c>
      <c r="E503" s="18" t="s">
        <v>142</v>
      </c>
      <c r="F503" s="19" t="s">
        <v>143</v>
      </c>
    </row>
    <row r="504" spans="1:6" ht="14.25" thickBot="1" x14ac:dyDescent="0.3">
      <c r="A504" s="20" t="s">
        <v>150</v>
      </c>
      <c r="B504" s="21" t="s">
        <v>151</v>
      </c>
      <c r="C504" s="22" t="s">
        <v>152</v>
      </c>
      <c r="D504" s="23">
        <v>0.05</v>
      </c>
      <c r="E504" s="24">
        <f>F502</f>
        <v>4560</v>
      </c>
      <c r="F504" s="25">
        <f>ROUND(D504*E504,0)</f>
        <v>228</v>
      </c>
    </row>
    <row r="505" spans="1:6" ht="14.25" thickBot="1" x14ac:dyDescent="0.3">
      <c r="A505" s="26" t="s">
        <v>153</v>
      </c>
      <c r="B505" s="27"/>
      <c r="C505" s="28">
        <v>2.2678308198208401</v>
      </c>
      <c r="D505" s="27"/>
      <c r="E505" s="29" t="s">
        <v>148</v>
      </c>
      <c r="F505" s="30">
        <f>SUM(F504)</f>
        <v>228</v>
      </c>
    </row>
    <row r="506" spans="1:6" x14ac:dyDescent="0.25">
      <c r="A506" s="16" t="s">
        <v>139</v>
      </c>
      <c r="B506" s="17" t="s">
        <v>154</v>
      </c>
      <c r="C506" s="18" t="s">
        <v>3</v>
      </c>
      <c r="D506" s="18" t="s">
        <v>141</v>
      </c>
      <c r="E506" s="18" t="s">
        <v>142</v>
      </c>
      <c r="F506" s="19" t="s">
        <v>143</v>
      </c>
    </row>
    <row r="507" spans="1:6" ht="14.25" thickBot="1" x14ac:dyDescent="0.3">
      <c r="A507" s="20" t="s">
        <v>182</v>
      </c>
      <c r="B507" s="21" t="s">
        <v>183</v>
      </c>
      <c r="C507" s="22" t="s">
        <v>157</v>
      </c>
      <c r="D507" s="23">
        <v>0.09</v>
      </c>
      <c r="E507" s="24">
        <f>30495*1.052</f>
        <v>32080.74</v>
      </c>
      <c r="F507" s="25">
        <f>ROUND(D507*E507,0)</f>
        <v>2887</v>
      </c>
    </row>
    <row r="508" spans="1:6" ht="14.25" thickBot="1" x14ac:dyDescent="0.3">
      <c r="A508" s="26" t="s">
        <v>160</v>
      </c>
      <c r="B508" s="27"/>
      <c r="C508" s="28">
        <v>34.584420002267798</v>
      </c>
      <c r="D508" s="27"/>
      <c r="E508" s="29" t="s">
        <v>148</v>
      </c>
      <c r="F508" s="30">
        <f>SUM(F507)</f>
        <v>2887</v>
      </c>
    </row>
    <row r="509" spans="1:6" x14ac:dyDescent="0.25">
      <c r="A509" s="16" t="s">
        <v>139</v>
      </c>
      <c r="B509" s="17" t="s">
        <v>161</v>
      </c>
      <c r="C509" s="18" t="s">
        <v>3</v>
      </c>
      <c r="D509" s="18" t="s">
        <v>141</v>
      </c>
      <c r="E509" s="18" t="s">
        <v>142</v>
      </c>
      <c r="F509" s="19" t="s">
        <v>143</v>
      </c>
    </row>
    <row r="510" spans="1:6" ht="27.75" thickBot="1" x14ac:dyDescent="0.3">
      <c r="A510" s="20" t="s">
        <v>162</v>
      </c>
      <c r="B510" s="21" t="s">
        <v>163</v>
      </c>
      <c r="C510" s="22" t="s">
        <v>164</v>
      </c>
      <c r="D510" s="23">
        <v>5.0000000000000001E-3</v>
      </c>
      <c r="E510" s="24">
        <v>57458.777999999998</v>
      </c>
      <c r="F510" s="25">
        <f>ROUND(D510*E510,0)</f>
        <v>287</v>
      </c>
    </row>
    <row r="511" spans="1:6" ht="14.25" thickBot="1" x14ac:dyDescent="0.3">
      <c r="A511" s="26"/>
      <c r="B511" s="27"/>
      <c r="C511" s="28"/>
      <c r="D511" s="27"/>
      <c r="E511" s="29" t="s">
        <v>148</v>
      </c>
      <c r="F511" s="30">
        <f>SUM(F510)</f>
        <v>287</v>
      </c>
    </row>
    <row r="512" spans="1:6" ht="15.75" thickBot="1" x14ac:dyDescent="0.3">
      <c r="A512" s="180" t="s">
        <v>168</v>
      </c>
      <c r="B512" s="181"/>
      <c r="C512" s="181"/>
      <c r="D512" s="181"/>
      <c r="E512" s="182">
        <f>F499+F502+F505+F508+F511</f>
        <v>9330</v>
      </c>
      <c r="F512" s="183"/>
    </row>
    <row r="513" spans="1:6" x14ac:dyDescent="0.25">
      <c r="A513" s="31"/>
      <c r="F513" s="32"/>
    </row>
    <row r="514" spans="1:6" ht="15.75" x14ac:dyDescent="0.25">
      <c r="A514" s="184" t="s">
        <v>136</v>
      </c>
      <c r="B514" s="185"/>
      <c r="C514" s="185"/>
      <c r="D514" s="185"/>
      <c r="E514" s="185"/>
      <c r="F514" s="186"/>
    </row>
    <row r="515" spans="1:6" x14ac:dyDescent="0.25">
      <c r="A515" s="174" t="str">
        <f>+'RESUMEN APUS'!B38</f>
        <v>Adherente para junta en frío (concreto existente con mortero)</v>
      </c>
      <c r="B515" s="175"/>
      <c r="C515" s="175"/>
      <c r="D515" s="176"/>
      <c r="E515" s="12" t="s">
        <v>137</v>
      </c>
      <c r="F515" s="13" t="s">
        <v>3</v>
      </c>
    </row>
    <row r="516" spans="1:6" x14ac:dyDescent="0.25">
      <c r="A516" s="177"/>
      <c r="B516" s="178"/>
      <c r="C516" s="178"/>
      <c r="D516" s="179"/>
      <c r="E516" s="14" t="s">
        <v>55</v>
      </c>
      <c r="F516" s="15" t="s">
        <v>138</v>
      </c>
    </row>
    <row r="517" spans="1:6" x14ac:dyDescent="0.25">
      <c r="A517" s="16" t="s">
        <v>139</v>
      </c>
      <c r="B517" s="17" t="s">
        <v>172</v>
      </c>
      <c r="C517" s="18" t="s">
        <v>3</v>
      </c>
      <c r="D517" s="18" t="s">
        <v>141</v>
      </c>
      <c r="E517" s="18" t="s">
        <v>142</v>
      </c>
      <c r="F517" s="19" t="s">
        <v>143</v>
      </c>
    </row>
    <row r="518" spans="1:6" ht="14.25" thickBot="1" x14ac:dyDescent="0.3">
      <c r="A518" s="20" t="s">
        <v>263</v>
      </c>
      <c r="B518" s="21" t="s">
        <v>578</v>
      </c>
      <c r="C518" s="22" t="s">
        <v>202</v>
      </c>
      <c r="D518" s="23">
        <v>0.3</v>
      </c>
      <c r="E518" s="24">
        <f>14955*1.052</f>
        <v>15732.66</v>
      </c>
      <c r="F518" s="25">
        <f>ROUND(D518*E518,0)</f>
        <v>4720</v>
      </c>
    </row>
    <row r="519" spans="1:6" ht="14.25" thickBot="1" x14ac:dyDescent="0.3">
      <c r="A519" s="26" t="s">
        <v>175</v>
      </c>
      <c r="B519" s="27"/>
      <c r="C519" s="28">
        <v>61.626150254085999</v>
      </c>
      <c r="D519" s="27"/>
      <c r="E519" s="29" t="s">
        <v>148</v>
      </c>
      <c r="F519" s="30">
        <f>SUM(F518)</f>
        <v>4720</v>
      </c>
    </row>
    <row r="520" spans="1:6" x14ac:dyDescent="0.25">
      <c r="A520" s="16" t="s">
        <v>139</v>
      </c>
      <c r="B520" s="17" t="s">
        <v>140</v>
      </c>
      <c r="C520" s="18" t="s">
        <v>3</v>
      </c>
      <c r="D520" s="18" t="s">
        <v>141</v>
      </c>
      <c r="E520" s="18" t="s">
        <v>142</v>
      </c>
      <c r="F520" s="19" t="s">
        <v>143</v>
      </c>
    </row>
    <row r="521" spans="1:6" ht="14.25" thickBot="1" x14ac:dyDescent="0.3">
      <c r="A521" s="20" t="s">
        <v>176</v>
      </c>
      <c r="B521" s="21" t="s">
        <v>177</v>
      </c>
      <c r="C521" s="22" t="s">
        <v>146</v>
      </c>
      <c r="D521" s="23">
        <v>3.5383583036068172E-2</v>
      </c>
      <c r="E521" s="24">
        <f>80365.8349622223*1.1*$J$1</f>
        <v>99894.732858042335</v>
      </c>
      <c r="F521" s="25">
        <f>ROUND(D521*E521,0)</f>
        <v>3535</v>
      </c>
    </row>
    <row r="522" spans="1:6" ht="14.25" thickBot="1" x14ac:dyDescent="0.3">
      <c r="A522" s="26" t="s">
        <v>147</v>
      </c>
      <c r="B522" s="27"/>
      <c r="C522" s="28">
        <v>36.547177585496499</v>
      </c>
      <c r="D522" s="27"/>
      <c r="E522" s="29" t="s">
        <v>148</v>
      </c>
      <c r="F522" s="30">
        <f>SUM(F521)</f>
        <v>3535</v>
      </c>
    </row>
    <row r="523" spans="1:6" x14ac:dyDescent="0.25">
      <c r="A523" s="16" t="s">
        <v>139</v>
      </c>
      <c r="B523" s="17" t="s">
        <v>149</v>
      </c>
      <c r="C523" s="18" t="s">
        <v>3</v>
      </c>
      <c r="D523" s="18" t="s">
        <v>141</v>
      </c>
      <c r="E523" s="18" t="s">
        <v>142</v>
      </c>
      <c r="F523" s="19" t="s">
        <v>143</v>
      </c>
    </row>
    <row r="524" spans="1:6" x14ac:dyDescent="0.25">
      <c r="A524" s="20" t="s">
        <v>150</v>
      </c>
      <c r="B524" s="21" t="s">
        <v>151</v>
      </c>
      <c r="C524" s="22" t="s">
        <v>152</v>
      </c>
      <c r="D524" s="23">
        <v>0.05</v>
      </c>
      <c r="E524" s="24">
        <f>F522</f>
        <v>3535</v>
      </c>
      <c r="F524" s="25">
        <f>ROUND(D524*E524,0)</f>
        <v>177</v>
      </c>
    </row>
    <row r="525" spans="1:6" ht="14.25" thickBot="1" x14ac:dyDescent="0.3">
      <c r="A525" s="34" t="s">
        <v>191</v>
      </c>
      <c r="B525" s="35" t="s">
        <v>192</v>
      </c>
      <c r="C525" s="36" t="s">
        <v>193</v>
      </c>
      <c r="D525" s="37">
        <f>0.3/1000</f>
        <v>2.9999999999999997E-4</v>
      </c>
      <c r="E525" s="38">
        <v>176630</v>
      </c>
      <c r="F525" s="25">
        <f>ROUND(D525*E525,0)</f>
        <v>53</v>
      </c>
    </row>
    <row r="526" spans="1:6" ht="14.25" thickBot="1" x14ac:dyDescent="0.3">
      <c r="A526" s="26"/>
      <c r="B526" s="27"/>
      <c r="C526" s="28"/>
      <c r="D526" s="27"/>
      <c r="E526" s="29" t="s">
        <v>148</v>
      </c>
      <c r="F526" s="30">
        <f>SUM(F524:F525)</f>
        <v>230</v>
      </c>
    </row>
    <row r="527" spans="1:6" ht="15.75" thickBot="1" x14ac:dyDescent="0.3">
      <c r="A527" s="180" t="s">
        <v>168</v>
      </c>
      <c r="B527" s="181"/>
      <c r="C527" s="181"/>
      <c r="D527" s="181"/>
      <c r="E527" s="182">
        <f>F519+F522+F526</f>
        <v>8485</v>
      </c>
      <c r="F527" s="183"/>
    </row>
    <row r="528" spans="1:6" x14ac:dyDescent="0.25">
      <c r="A528" s="31"/>
      <c r="F528" s="32"/>
    </row>
    <row r="529" spans="1:6" ht="15.75" x14ac:dyDescent="0.25">
      <c r="A529" s="184" t="s">
        <v>136</v>
      </c>
      <c r="B529" s="185"/>
      <c r="C529" s="185"/>
      <c r="D529" s="185"/>
      <c r="E529" s="185"/>
      <c r="F529" s="186"/>
    </row>
    <row r="530" spans="1:6" x14ac:dyDescent="0.25">
      <c r="A530" s="174" t="str">
        <f>+'RESUMEN APUS'!B39</f>
        <v>Construcción de PISO EN MORTERO 1:5 de NIVELACIÓN, espesor de 0.05m. Incluye suministro y transporte de los materiales y todo lo necesario para su correcta construcción y funcionamiento.</v>
      </c>
      <c r="B530" s="175"/>
      <c r="C530" s="175"/>
      <c r="D530" s="176"/>
      <c r="E530" s="12" t="s">
        <v>137</v>
      </c>
      <c r="F530" s="13" t="s">
        <v>3</v>
      </c>
    </row>
    <row r="531" spans="1:6" x14ac:dyDescent="0.25">
      <c r="A531" s="177"/>
      <c r="B531" s="178"/>
      <c r="C531" s="178"/>
      <c r="D531" s="179"/>
      <c r="E531" s="14" t="s">
        <v>56</v>
      </c>
      <c r="F531" s="15" t="s">
        <v>164</v>
      </c>
    </row>
    <row r="532" spans="1:6" x14ac:dyDescent="0.25">
      <c r="A532" s="16" t="s">
        <v>139</v>
      </c>
      <c r="B532" s="17" t="s">
        <v>172</v>
      </c>
      <c r="C532" s="18" t="s">
        <v>3</v>
      </c>
      <c r="D532" s="18" t="s">
        <v>141</v>
      </c>
      <c r="E532" s="18" t="s">
        <v>142</v>
      </c>
      <c r="F532" s="19" t="s">
        <v>143</v>
      </c>
    </row>
    <row r="533" spans="1:6" ht="14.25" thickBot="1" x14ac:dyDescent="0.3">
      <c r="A533" s="20" t="s">
        <v>233</v>
      </c>
      <c r="B533" s="21" t="s">
        <v>234</v>
      </c>
      <c r="C533" s="22" t="s">
        <v>164</v>
      </c>
      <c r="D533" s="23">
        <v>1.05</v>
      </c>
      <c r="E533" s="24">
        <f>381850.7*1.052</f>
        <v>401706.93640000001</v>
      </c>
      <c r="F533" s="25">
        <f>ROUND(D533*E533,0)</f>
        <v>421792</v>
      </c>
    </row>
    <row r="534" spans="1:6" ht="14.25" thickBot="1" x14ac:dyDescent="0.3">
      <c r="A534" s="26" t="s">
        <v>175</v>
      </c>
      <c r="B534" s="27"/>
      <c r="C534" s="28">
        <v>48.852974920386401</v>
      </c>
      <c r="D534" s="27"/>
      <c r="E534" s="29" t="s">
        <v>148</v>
      </c>
      <c r="F534" s="30">
        <f>SUM(F533)</f>
        <v>421792</v>
      </c>
    </row>
    <row r="535" spans="1:6" x14ac:dyDescent="0.25">
      <c r="A535" s="16" t="s">
        <v>139</v>
      </c>
      <c r="B535" s="17" t="s">
        <v>140</v>
      </c>
      <c r="C535" s="18" t="s">
        <v>3</v>
      </c>
      <c r="D535" s="18" t="s">
        <v>141</v>
      </c>
      <c r="E535" s="18" t="s">
        <v>142</v>
      </c>
      <c r="F535" s="19" t="s">
        <v>143</v>
      </c>
    </row>
    <row r="536" spans="1:6" ht="14.25" thickBot="1" x14ac:dyDescent="0.3">
      <c r="A536" s="20" t="s">
        <v>189</v>
      </c>
      <c r="B536" s="21" t="s">
        <v>190</v>
      </c>
      <c r="C536" s="22" t="s">
        <v>146</v>
      </c>
      <c r="D536" s="23">
        <v>0.73213875205254519</v>
      </c>
      <c r="E536" s="24">
        <f>283800*$J$1</f>
        <v>320693.99999999994</v>
      </c>
      <c r="F536" s="25">
        <f>ROUND(D536*E536,0)</f>
        <v>234793</v>
      </c>
    </row>
    <row r="537" spans="1:6" ht="14.25" thickBot="1" x14ac:dyDescent="0.3">
      <c r="A537" s="26" t="s">
        <v>147</v>
      </c>
      <c r="B537" s="27"/>
      <c r="C537" s="28">
        <v>46.508395612407902</v>
      </c>
      <c r="D537" s="27"/>
      <c r="E537" s="29" t="s">
        <v>148</v>
      </c>
      <c r="F537" s="30">
        <f>SUM(F536)</f>
        <v>234793</v>
      </c>
    </row>
    <row r="538" spans="1:6" x14ac:dyDescent="0.25">
      <c r="A538" s="16" t="s">
        <v>139</v>
      </c>
      <c r="B538" s="17" t="s">
        <v>149</v>
      </c>
      <c r="C538" s="18" t="s">
        <v>3</v>
      </c>
      <c r="D538" s="18" t="s">
        <v>141</v>
      </c>
      <c r="E538" s="18" t="s">
        <v>142</v>
      </c>
      <c r="F538" s="19" t="s">
        <v>143</v>
      </c>
    </row>
    <row r="539" spans="1:6" ht="14.25" thickBot="1" x14ac:dyDescent="0.3">
      <c r="A539" s="20" t="s">
        <v>150</v>
      </c>
      <c r="B539" s="21" t="s">
        <v>151</v>
      </c>
      <c r="C539" s="22" t="s">
        <v>152</v>
      </c>
      <c r="D539" s="23">
        <v>0.05</v>
      </c>
      <c r="E539" s="24">
        <f>F537</f>
        <v>234793</v>
      </c>
      <c r="F539" s="25">
        <f>ROUND(D539*E539,0)</f>
        <v>11740</v>
      </c>
    </row>
    <row r="540" spans="1:6" ht="14.25" thickBot="1" x14ac:dyDescent="0.3">
      <c r="A540" s="26" t="s">
        <v>153</v>
      </c>
      <c r="B540" s="27"/>
      <c r="C540" s="28">
        <v>2.32541307914178</v>
      </c>
      <c r="D540" s="27"/>
      <c r="E540" s="29" t="s">
        <v>148</v>
      </c>
      <c r="F540" s="30">
        <f>SUM(F539)</f>
        <v>11740</v>
      </c>
    </row>
    <row r="541" spans="1:6" x14ac:dyDescent="0.25">
      <c r="A541" s="16" t="s">
        <v>139</v>
      </c>
      <c r="B541" s="17" t="s">
        <v>161</v>
      </c>
      <c r="C541" s="18" t="s">
        <v>3</v>
      </c>
      <c r="D541" s="18" t="s">
        <v>141</v>
      </c>
      <c r="E541" s="18" t="s">
        <v>142</v>
      </c>
      <c r="F541" s="19" t="s">
        <v>143</v>
      </c>
    </row>
    <row r="542" spans="1:6" x14ac:dyDescent="0.25">
      <c r="A542" s="20" t="s">
        <v>165</v>
      </c>
      <c r="B542" s="21" t="s">
        <v>166</v>
      </c>
      <c r="C542" s="22" t="s">
        <v>164</v>
      </c>
      <c r="D542" s="23">
        <v>1.05</v>
      </c>
      <c r="E542" s="24">
        <v>17078.042999999998</v>
      </c>
      <c r="F542" s="25">
        <f>ROUND(D542*E542,0)</f>
        <v>17932</v>
      </c>
    </row>
    <row r="543" spans="1:6" ht="14.25" thickBot="1" x14ac:dyDescent="0.3">
      <c r="A543" s="34" t="s">
        <v>191</v>
      </c>
      <c r="B543" s="35" t="s">
        <v>192</v>
      </c>
      <c r="C543" s="36" t="s">
        <v>193</v>
      </c>
      <c r="D543" s="37">
        <v>1.4</v>
      </c>
      <c r="E543" s="38">
        <v>170630</v>
      </c>
      <c r="F543" s="25">
        <f>ROUND(D543*E543,0)</f>
        <v>238882</v>
      </c>
    </row>
    <row r="544" spans="1:6" ht="14.25" thickBot="1" x14ac:dyDescent="0.3">
      <c r="A544" s="26"/>
      <c r="B544" s="27"/>
      <c r="C544" s="28"/>
      <c r="D544" s="27"/>
      <c r="E544" s="29" t="s">
        <v>148</v>
      </c>
      <c r="F544" s="30">
        <f>SUM(F542:F543)</f>
        <v>256814</v>
      </c>
    </row>
    <row r="545" spans="1:6" ht="15.75" thickBot="1" x14ac:dyDescent="0.3">
      <c r="A545" s="180" t="s">
        <v>168</v>
      </c>
      <c r="B545" s="181"/>
      <c r="C545" s="181"/>
      <c r="D545" s="181"/>
      <c r="E545" s="182">
        <f>F534+F537+F540+F544</f>
        <v>925139</v>
      </c>
      <c r="F545" s="183"/>
    </row>
    <row r="546" spans="1:6" x14ac:dyDescent="0.25">
      <c r="A546" s="31"/>
      <c r="F546" s="32"/>
    </row>
    <row r="547" spans="1:6" ht="15.75" x14ac:dyDescent="0.25">
      <c r="A547" s="184" t="s">
        <v>136</v>
      </c>
      <c r="B547" s="185"/>
      <c r="C547" s="185"/>
      <c r="D547" s="185"/>
      <c r="E547" s="185"/>
      <c r="F547" s="186"/>
    </row>
    <row r="548" spans="1:6" ht="17.45" customHeight="1" x14ac:dyDescent="0.25">
      <c r="A548" s="174" t="str">
        <f>+'RESUMEN APUS'!B41</f>
        <v>Colocación de PISO CERÁMICO PARA PISOS TRAFICO RESIDENCIAL GENERAL, tipo Belaya beige o similar.  Incluye suministro y transporte de los materiales, pegante para cerámica tipo Pegacor o equivalente, lechada con Boquilla Blanca para cerámica, remates, cortes con máquina y todo lo necesario para su correcta instalación. .</v>
      </c>
      <c r="B548" s="175"/>
      <c r="C548" s="175"/>
      <c r="D548" s="176"/>
      <c r="E548" s="12" t="s">
        <v>137</v>
      </c>
      <c r="F548" s="13" t="s">
        <v>3</v>
      </c>
    </row>
    <row r="549" spans="1:6" ht="18.95" customHeight="1" x14ac:dyDescent="0.25">
      <c r="A549" s="177"/>
      <c r="B549" s="178"/>
      <c r="C549" s="178"/>
      <c r="D549" s="179"/>
      <c r="E549" s="14" t="s">
        <v>58</v>
      </c>
      <c r="F549" s="15" t="s">
        <v>138</v>
      </c>
    </row>
    <row r="550" spans="1:6" x14ac:dyDescent="0.25">
      <c r="A550" s="16" t="s">
        <v>139</v>
      </c>
      <c r="B550" s="17" t="s">
        <v>172</v>
      </c>
      <c r="C550" s="18" t="s">
        <v>3</v>
      </c>
      <c r="D550" s="18" t="s">
        <v>141</v>
      </c>
      <c r="E550" s="18" t="s">
        <v>142</v>
      </c>
      <c r="F550" s="19" t="s">
        <v>143</v>
      </c>
    </row>
    <row r="551" spans="1:6" ht="27" x14ac:dyDescent="0.25">
      <c r="A551" s="20" t="s">
        <v>535</v>
      </c>
      <c r="B551" s="55" t="s">
        <v>536</v>
      </c>
      <c r="C551" s="22" t="s">
        <v>138</v>
      </c>
      <c r="D551" s="23">
        <v>1.05</v>
      </c>
      <c r="E551" s="24">
        <f>43092*1.052</f>
        <v>45332.784</v>
      </c>
      <c r="F551" s="25">
        <f>ROUND(D551*E551,0)</f>
        <v>47599</v>
      </c>
    </row>
    <row r="552" spans="1:6" x14ac:dyDescent="0.25">
      <c r="A552" s="20" t="s">
        <v>534</v>
      </c>
      <c r="B552" s="55" t="s">
        <v>282</v>
      </c>
      <c r="C552" s="22" t="s">
        <v>202</v>
      </c>
      <c r="D552" s="23">
        <v>6.6</v>
      </c>
      <c r="E552" s="24">
        <f>1589.67*1.052</f>
        <v>1672.3328400000003</v>
      </c>
      <c r="F552" s="25">
        <f>ROUND(D552*E552,0)</f>
        <v>11037</v>
      </c>
    </row>
    <row r="553" spans="1:6" ht="27" x14ac:dyDescent="0.25">
      <c r="A553" s="20" t="s">
        <v>264</v>
      </c>
      <c r="B553" s="21" t="s">
        <v>265</v>
      </c>
      <c r="C553" s="22" t="s">
        <v>202</v>
      </c>
      <c r="D553" s="23">
        <v>0.34</v>
      </c>
      <c r="E553" s="24">
        <f>5714.5*1.052</f>
        <v>6011.6540000000005</v>
      </c>
      <c r="F553" s="25">
        <f>ROUND(D553*E553,0)</f>
        <v>2044</v>
      </c>
    </row>
    <row r="554" spans="1:6" ht="14.25" thickBot="1" x14ac:dyDescent="0.3">
      <c r="A554" s="20" t="s">
        <v>266</v>
      </c>
      <c r="B554" s="21" t="s">
        <v>267</v>
      </c>
      <c r="C554" s="22" t="s">
        <v>171</v>
      </c>
      <c r="D554" s="23">
        <v>0.5</v>
      </c>
      <c r="E554" s="24">
        <f>1714.35*1.052</f>
        <v>1803.4962</v>
      </c>
      <c r="F554" s="25">
        <f>ROUND(D554*E554,0)</f>
        <v>902</v>
      </c>
    </row>
    <row r="555" spans="1:6" ht="14.25" thickBot="1" x14ac:dyDescent="0.3">
      <c r="A555" s="26" t="s">
        <v>175</v>
      </c>
      <c r="B555" s="27"/>
      <c r="C555" s="28">
        <v>59.342853422457601</v>
      </c>
      <c r="D555" s="27"/>
      <c r="E555" s="29" t="s">
        <v>148</v>
      </c>
      <c r="F555" s="30">
        <f>SUM(F551:F554)</f>
        <v>61582</v>
      </c>
    </row>
    <row r="556" spans="1:6" x14ac:dyDescent="0.25">
      <c r="A556" s="16" t="s">
        <v>139</v>
      </c>
      <c r="B556" s="17" t="s">
        <v>140</v>
      </c>
      <c r="C556" s="18" t="s">
        <v>3</v>
      </c>
      <c r="D556" s="18" t="s">
        <v>141</v>
      </c>
      <c r="E556" s="18" t="s">
        <v>142</v>
      </c>
      <c r="F556" s="19" t="s">
        <v>143</v>
      </c>
    </row>
    <row r="557" spans="1:6" ht="14.25" thickBot="1" x14ac:dyDescent="0.3">
      <c r="A557" s="20" t="s">
        <v>268</v>
      </c>
      <c r="B557" s="21" t="s">
        <v>269</v>
      </c>
      <c r="C557" s="22" t="s">
        <v>146</v>
      </c>
      <c r="D557" s="23">
        <v>0.12029758509316769</v>
      </c>
      <c r="E557" s="24">
        <f>283800*$J$1</f>
        <v>320693.99999999994</v>
      </c>
      <c r="F557" s="25">
        <f>ROUND(D557*E557,0)</f>
        <v>38579</v>
      </c>
    </row>
    <row r="558" spans="1:6" ht="14.25" thickBot="1" x14ac:dyDescent="0.3">
      <c r="A558" s="26" t="s">
        <v>147</v>
      </c>
      <c r="B558" s="27"/>
      <c r="C558" s="28">
        <v>31.179738703936799</v>
      </c>
      <c r="D558" s="27"/>
      <c r="E558" s="29" t="s">
        <v>148</v>
      </c>
      <c r="F558" s="30">
        <f>SUM(F557)</f>
        <v>38579</v>
      </c>
    </row>
    <row r="559" spans="1:6" x14ac:dyDescent="0.25">
      <c r="A559" s="16" t="s">
        <v>139</v>
      </c>
      <c r="B559" s="17" t="s">
        <v>149</v>
      </c>
      <c r="C559" s="18" t="s">
        <v>3</v>
      </c>
      <c r="D559" s="18" t="s">
        <v>141</v>
      </c>
      <c r="E559" s="18" t="s">
        <v>142</v>
      </c>
      <c r="F559" s="19" t="s">
        <v>143</v>
      </c>
    </row>
    <row r="560" spans="1:6" ht="14.25" thickBot="1" x14ac:dyDescent="0.3">
      <c r="A560" s="20" t="s">
        <v>150</v>
      </c>
      <c r="B560" s="21" t="s">
        <v>151</v>
      </c>
      <c r="C560" s="22" t="s">
        <v>152</v>
      </c>
      <c r="D560" s="23">
        <v>0.05</v>
      </c>
      <c r="E560" s="24">
        <f>F558</f>
        <v>38579</v>
      </c>
      <c r="F560" s="25">
        <f>ROUND(D560*E560,0)</f>
        <v>1929</v>
      </c>
    </row>
    <row r="561" spans="1:6" ht="14.25" thickBot="1" x14ac:dyDescent="0.3">
      <c r="A561" s="26" t="s">
        <v>153</v>
      </c>
      <c r="B561" s="27"/>
      <c r="C561" s="28">
        <v>1.5593124701593</v>
      </c>
      <c r="D561" s="27"/>
      <c r="E561" s="29" t="s">
        <v>148</v>
      </c>
      <c r="F561" s="30">
        <f>SUM(F560)</f>
        <v>1929</v>
      </c>
    </row>
    <row r="562" spans="1:6" x14ac:dyDescent="0.25">
      <c r="A562" s="16" t="s">
        <v>139</v>
      </c>
      <c r="B562" s="17" t="s">
        <v>154</v>
      </c>
      <c r="C562" s="18" t="s">
        <v>3</v>
      </c>
      <c r="D562" s="18" t="s">
        <v>141</v>
      </c>
      <c r="E562" s="18" t="s">
        <v>142</v>
      </c>
      <c r="F562" s="19" t="s">
        <v>143</v>
      </c>
    </row>
    <row r="563" spans="1:6" x14ac:dyDescent="0.25">
      <c r="A563" s="20" t="s">
        <v>270</v>
      </c>
      <c r="B563" s="21" t="s">
        <v>271</v>
      </c>
      <c r="C563" s="22" t="s">
        <v>157</v>
      </c>
      <c r="D563" s="23">
        <v>0.11111</v>
      </c>
      <c r="E563" s="24">
        <f>9109.952*1.052</f>
        <v>9583.6695039999995</v>
      </c>
      <c r="F563" s="25">
        <f>ROUND(D563*E563,0)</f>
        <v>1065</v>
      </c>
    </row>
    <row r="564" spans="1:6" ht="14.25" thickBot="1" x14ac:dyDescent="0.3">
      <c r="A564" s="20" t="s">
        <v>272</v>
      </c>
      <c r="B564" s="21" t="s">
        <v>273</v>
      </c>
      <c r="C564" s="22" t="s">
        <v>157</v>
      </c>
      <c r="D564" s="23">
        <v>0.11111</v>
      </c>
      <c r="E564" s="24">
        <f>1684.219*1.052</f>
        <v>1771.7983880000002</v>
      </c>
      <c r="F564" s="25">
        <f>ROUND(D564*E564,0)</f>
        <v>197</v>
      </c>
    </row>
    <row r="565" spans="1:6" ht="14.25" thickBot="1" x14ac:dyDescent="0.3">
      <c r="A565" s="26" t="s">
        <v>160</v>
      </c>
      <c r="B565" s="27"/>
      <c r="C565" s="28">
        <v>1.25222448891011</v>
      </c>
      <c r="D565" s="27"/>
      <c r="E565" s="29" t="s">
        <v>148</v>
      </c>
      <c r="F565" s="30">
        <f>SUM(F563:F564)</f>
        <v>1262</v>
      </c>
    </row>
    <row r="566" spans="1:6" x14ac:dyDescent="0.25">
      <c r="A566" s="16" t="s">
        <v>139</v>
      </c>
      <c r="B566" s="17" t="s">
        <v>161</v>
      </c>
      <c r="C566" s="18" t="s">
        <v>3</v>
      </c>
      <c r="D566" s="18" t="s">
        <v>141</v>
      </c>
      <c r="E566" s="18" t="s">
        <v>142</v>
      </c>
      <c r="F566" s="19" t="s">
        <v>143</v>
      </c>
    </row>
    <row r="567" spans="1:6" x14ac:dyDescent="0.25">
      <c r="A567" s="34" t="s">
        <v>191</v>
      </c>
      <c r="B567" s="35" t="s">
        <v>192</v>
      </c>
      <c r="C567" s="36" t="s">
        <v>193</v>
      </c>
      <c r="D567" s="37">
        <f>SUM(D552+D553+50)/1000</f>
        <v>5.6939999999999998E-2</v>
      </c>
      <c r="E567" s="38">
        <f>176630*1.052</f>
        <v>185814.76</v>
      </c>
      <c r="F567" s="25">
        <f>ROUND(D567*E567,0)</f>
        <v>10580</v>
      </c>
    </row>
    <row r="568" spans="1:6" ht="14.25" thickBot="1" x14ac:dyDescent="0.3">
      <c r="A568" s="20" t="s">
        <v>184</v>
      </c>
      <c r="B568" s="21" t="s">
        <v>185</v>
      </c>
      <c r="C568" s="22" t="s">
        <v>171</v>
      </c>
      <c r="D568" s="23">
        <v>2.8705599999999998</v>
      </c>
      <c r="E568" s="24">
        <f>2223.46*1.052</f>
        <v>2339.0799200000001</v>
      </c>
      <c r="F568" s="25">
        <f>ROUND(D568*E568,0)</f>
        <v>6714</v>
      </c>
    </row>
    <row r="569" spans="1:6" ht="14.25" thickBot="1" x14ac:dyDescent="0.3">
      <c r="A569" s="26"/>
      <c r="B569" s="27"/>
      <c r="C569" s="28"/>
      <c r="D569" s="27"/>
      <c r="E569" s="29" t="s">
        <v>148</v>
      </c>
      <c r="F569" s="30">
        <f>SUM(F567:F568)</f>
        <v>17294</v>
      </c>
    </row>
    <row r="570" spans="1:6" ht="15.75" thickBot="1" x14ac:dyDescent="0.3">
      <c r="A570" s="180" t="s">
        <v>168</v>
      </c>
      <c r="B570" s="181"/>
      <c r="C570" s="181"/>
      <c r="D570" s="181"/>
      <c r="E570" s="182">
        <f>F555+F558+F561+F565+F569</f>
        <v>120646</v>
      </c>
      <c r="F570" s="183"/>
    </row>
    <row r="571" spans="1:6" x14ac:dyDescent="0.25">
      <c r="A571" s="31"/>
      <c r="F571" s="32"/>
    </row>
    <row r="572" spans="1:6" ht="15.75" x14ac:dyDescent="0.25">
      <c r="A572" s="184" t="s">
        <v>136</v>
      </c>
      <c r="B572" s="185"/>
      <c r="C572" s="185"/>
      <c r="D572" s="185"/>
      <c r="E572" s="185"/>
      <c r="F572" s="186"/>
    </row>
    <row r="573" spans="1:6" x14ac:dyDescent="0.25">
      <c r="A573" s="174" t="str">
        <f>+'RESUMEN APUS'!B42</f>
        <v>Construcción de pisos en cemento esmaltado mortero  1:5 , e= 0,1 m, juntas inducidas, sellador elástico de poliuretano hasta una profundidad de 5mm, limpieza de la junta, garantizar acabado uniforme, incluye todos los materiales necesario para su correcta ejecución.</v>
      </c>
      <c r="B573" s="175"/>
      <c r="C573" s="175"/>
      <c r="D573" s="176"/>
      <c r="E573" s="12" t="s">
        <v>137</v>
      </c>
      <c r="F573" s="13" t="s">
        <v>3</v>
      </c>
    </row>
    <row r="574" spans="1:6" ht="27.6" customHeight="1" x14ac:dyDescent="0.25">
      <c r="A574" s="177"/>
      <c r="B574" s="178"/>
      <c r="C574" s="178"/>
      <c r="D574" s="179"/>
      <c r="E574" s="14" t="s">
        <v>59</v>
      </c>
      <c r="F574" s="15" t="s">
        <v>138</v>
      </c>
    </row>
    <row r="575" spans="1:6" x14ac:dyDescent="0.25">
      <c r="A575" s="16" t="s">
        <v>139</v>
      </c>
      <c r="B575" s="17" t="s">
        <v>172</v>
      </c>
      <c r="C575" s="18" t="s">
        <v>3</v>
      </c>
      <c r="D575" s="18" t="s">
        <v>141</v>
      </c>
      <c r="E575" s="18" t="s">
        <v>142</v>
      </c>
      <c r="F575" s="19" t="s">
        <v>143</v>
      </c>
    </row>
    <row r="576" spans="1:6" x14ac:dyDescent="0.25">
      <c r="A576" s="20" t="s">
        <v>233</v>
      </c>
      <c r="B576" s="21" t="s">
        <v>234</v>
      </c>
      <c r="C576" s="22" t="s">
        <v>164</v>
      </c>
      <c r="D576" s="23">
        <v>0.105</v>
      </c>
      <c r="E576" s="24">
        <f>381850.7*1.052</f>
        <v>401706.93640000001</v>
      </c>
      <c r="F576" s="25">
        <f>ROUND(D576*E576,0)</f>
        <v>42179</v>
      </c>
    </row>
    <row r="577" spans="1:6" x14ac:dyDescent="0.25">
      <c r="A577" s="20" t="s">
        <v>208</v>
      </c>
      <c r="B577" s="21" t="s">
        <v>209</v>
      </c>
      <c r="C577" s="22" t="s">
        <v>171</v>
      </c>
      <c r="D577" s="23">
        <v>1</v>
      </c>
      <c r="E577" s="24">
        <f>9247.1*1.052</f>
        <v>9727.9492000000009</v>
      </c>
      <c r="F577" s="25">
        <f>ROUND(D577*E577,0)</f>
        <v>9728</v>
      </c>
    </row>
    <row r="578" spans="1:6" x14ac:dyDescent="0.25">
      <c r="A578" s="54" t="s">
        <v>274</v>
      </c>
      <c r="B578" s="55" t="s">
        <v>275</v>
      </c>
      <c r="C578" s="22" t="s">
        <v>171</v>
      </c>
      <c r="D578" s="23">
        <v>0.01</v>
      </c>
      <c r="E578" s="24">
        <f>41756*1.052</f>
        <v>43927.312000000005</v>
      </c>
      <c r="F578" s="25">
        <f>ROUND(D578*E578,0)</f>
        <v>439</v>
      </c>
    </row>
    <row r="579" spans="1:6" ht="14.25" thickBot="1" x14ac:dyDescent="0.3">
      <c r="A579" s="54" t="s">
        <v>277</v>
      </c>
      <c r="B579" s="55" t="s">
        <v>278</v>
      </c>
      <c r="C579" s="22" t="s">
        <v>276</v>
      </c>
      <c r="D579" s="23">
        <v>0.26600000000000001</v>
      </c>
      <c r="E579" s="24">
        <f>33042*1.052</f>
        <v>34760.184000000001</v>
      </c>
      <c r="F579" s="25">
        <f>ROUND(D579*E579,0)</f>
        <v>9246</v>
      </c>
    </row>
    <row r="580" spans="1:6" ht="14.25" thickBot="1" x14ac:dyDescent="0.3">
      <c r="A580" s="26" t="s">
        <v>175</v>
      </c>
      <c r="B580" s="27"/>
      <c r="C580" s="28">
        <v>58.205483836551799</v>
      </c>
      <c r="D580" s="27"/>
      <c r="E580" s="29" t="s">
        <v>148</v>
      </c>
      <c r="F580" s="30">
        <f>SUM(F576:F579)</f>
        <v>61592</v>
      </c>
    </row>
    <row r="581" spans="1:6" x14ac:dyDescent="0.25">
      <c r="A581" s="16" t="s">
        <v>139</v>
      </c>
      <c r="B581" s="17" t="s">
        <v>140</v>
      </c>
      <c r="C581" s="18" t="s">
        <v>3</v>
      </c>
      <c r="D581" s="18" t="s">
        <v>141</v>
      </c>
      <c r="E581" s="18" t="s">
        <v>142</v>
      </c>
      <c r="F581" s="19" t="s">
        <v>143</v>
      </c>
    </row>
    <row r="582" spans="1:6" ht="14.25" thickBot="1" x14ac:dyDescent="0.3">
      <c r="A582" s="20" t="s">
        <v>189</v>
      </c>
      <c r="B582" s="21" t="s">
        <v>190</v>
      </c>
      <c r="C582" s="22" t="s">
        <v>146</v>
      </c>
      <c r="D582" s="23">
        <v>6.0999999999999999E-2</v>
      </c>
      <c r="E582" s="24">
        <f>283800*$J$1</f>
        <v>320693.99999999994</v>
      </c>
      <c r="F582" s="25">
        <f>ROUND(D582*E582,0)</f>
        <v>19562</v>
      </c>
    </row>
    <row r="583" spans="1:6" ht="14.25" thickBot="1" x14ac:dyDescent="0.3">
      <c r="A583" s="26" t="s">
        <v>147</v>
      </c>
      <c r="B583" s="27"/>
      <c r="C583" s="28">
        <v>38.050784167289002</v>
      </c>
      <c r="D583" s="27"/>
      <c r="E583" s="29" t="s">
        <v>148</v>
      </c>
      <c r="F583" s="30">
        <f>SUM(F582)</f>
        <v>19562</v>
      </c>
    </row>
    <row r="584" spans="1:6" x14ac:dyDescent="0.25">
      <c r="A584" s="16" t="s">
        <v>139</v>
      </c>
      <c r="B584" s="17" t="s">
        <v>149</v>
      </c>
      <c r="C584" s="18" t="s">
        <v>3</v>
      </c>
      <c r="D584" s="18" t="s">
        <v>141</v>
      </c>
      <c r="E584" s="18" t="s">
        <v>142</v>
      </c>
      <c r="F584" s="19" t="s">
        <v>143</v>
      </c>
    </row>
    <row r="585" spans="1:6" ht="14.25" thickBot="1" x14ac:dyDescent="0.3">
      <c r="A585" s="20" t="s">
        <v>150</v>
      </c>
      <c r="B585" s="21" t="s">
        <v>151</v>
      </c>
      <c r="C585" s="22" t="s">
        <v>152</v>
      </c>
      <c r="D585" s="23">
        <v>0.05</v>
      </c>
      <c r="E585" s="24">
        <f>F583</f>
        <v>19562</v>
      </c>
      <c r="F585" s="25">
        <f>ROUND(D585*E585,0)</f>
        <v>978</v>
      </c>
    </row>
    <row r="586" spans="1:6" ht="14.25" thickBot="1" x14ac:dyDescent="0.3">
      <c r="A586" s="26" t="s">
        <v>153</v>
      </c>
      <c r="B586" s="27"/>
      <c r="C586" s="28">
        <v>1.90227248479676</v>
      </c>
      <c r="D586" s="27"/>
      <c r="E586" s="29" t="s">
        <v>148</v>
      </c>
      <c r="F586" s="30">
        <f>SUM(F585)</f>
        <v>978</v>
      </c>
    </row>
    <row r="587" spans="1:6" x14ac:dyDescent="0.25">
      <c r="A587" s="16" t="s">
        <v>139</v>
      </c>
      <c r="B587" s="17" t="s">
        <v>161</v>
      </c>
      <c r="C587" s="18" t="s">
        <v>3</v>
      </c>
      <c r="D587" s="18" t="s">
        <v>141</v>
      </c>
      <c r="E587" s="18" t="s">
        <v>142</v>
      </c>
      <c r="F587" s="19" t="s">
        <v>143</v>
      </c>
    </row>
    <row r="588" spans="1:6" x14ac:dyDescent="0.25">
      <c r="A588" s="20" t="s">
        <v>165</v>
      </c>
      <c r="B588" s="21" t="s">
        <v>166</v>
      </c>
      <c r="C588" s="22" t="s">
        <v>164</v>
      </c>
      <c r="D588" s="23">
        <v>0.105</v>
      </c>
      <c r="E588" s="24">
        <v>17078.042999999998</v>
      </c>
      <c r="F588" s="25">
        <f>ROUND(D588*E588,0)</f>
        <v>1793</v>
      </c>
    </row>
    <row r="589" spans="1:6" ht="14.25" thickBot="1" x14ac:dyDescent="0.3">
      <c r="A589" s="34" t="s">
        <v>191</v>
      </c>
      <c r="B589" s="35" t="s">
        <v>192</v>
      </c>
      <c r="C589" s="36" t="s">
        <v>193</v>
      </c>
      <c r="D589" s="37">
        <v>0.18626020490698303</v>
      </c>
      <c r="E589" s="38">
        <v>176630</v>
      </c>
      <c r="F589" s="25">
        <f>ROUND(D589*E589,0)</f>
        <v>32899</v>
      </c>
    </row>
    <row r="590" spans="1:6" ht="14.25" thickBot="1" x14ac:dyDescent="0.3">
      <c r="A590" s="26"/>
      <c r="B590" s="27"/>
      <c r="C590" s="28"/>
      <c r="D590" s="27"/>
      <c r="E590" s="29" t="s">
        <v>148</v>
      </c>
      <c r="F590" s="30">
        <f>SUM(F588:F589)</f>
        <v>34692</v>
      </c>
    </row>
    <row r="591" spans="1:6" ht="15.75" thickBot="1" x14ac:dyDescent="0.3">
      <c r="A591" s="180" t="s">
        <v>168</v>
      </c>
      <c r="B591" s="181"/>
      <c r="C591" s="181"/>
      <c r="D591" s="181"/>
      <c r="E591" s="182">
        <f>+F580+F583+F586+F590</f>
        <v>116824</v>
      </c>
      <c r="F591" s="183"/>
    </row>
    <row r="592" spans="1:6" x14ac:dyDescent="0.25">
      <c r="A592" s="31"/>
      <c r="F592" s="32"/>
    </row>
    <row r="593" spans="1:6" ht="15.75" x14ac:dyDescent="0.25">
      <c r="A593" s="184" t="s">
        <v>136</v>
      </c>
      <c r="B593" s="185"/>
      <c r="C593" s="185"/>
      <c r="D593" s="185"/>
      <c r="E593" s="185"/>
      <c r="F593" s="186"/>
    </row>
    <row r="594" spans="1:6" ht="28.5" customHeight="1" x14ac:dyDescent="0.25">
      <c r="A594" s="174" t="str">
        <f>+'RESUMEN APUS'!B43</f>
        <v>Instalación de ENCHAPE CERÁMICO PARED y de cualquier otro requerimiento del proyecto.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
      <c r="B594" s="175"/>
      <c r="C594" s="175"/>
      <c r="D594" s="176"/>
      <c r="E594" s="12" t="s">
        <v>137</v>
      </c>
      <c r="F594" s="13" t="s">
        <v>3</v>
      </c>
    </row>
    <row r="595" spans="1:6" ht="27" customHeight="1" x14ac:dyDescent="0.25">
      <c r="A595" s="177"/>
      <c r="B595" s="178"/>
      <c r="C595" s="178"/>
      <c r="D595" s="179"/>
      <c r="E595" s="14" t="s">
        <v>61</v>
      </c>
      <c r="F595" s="15" t="s">
        <v>138</v>
      </c>
    </row>
    <row r="596" spans="1:6" x14ac:dyDescent="0.25">
      <c r="A596" s="16" t="s">
        <v>139</v>
      </c>
      <c r="B596" s="17" t="s">
        <v>172</v>
      </c>
      <c r="C596" s="18" t="s">
        <v>3</v>
      </c>
      <c r="D596" s="18" t="s">
        <v>141</v>
      </c>
      <c r="E596" s="18" t="s">
        <v>142</v>
      </c>
      <c r="F596" s="19" t="s">
        <v>143</v>
      </c>
    </row>
    <row r="597" spans="1:6" ht="27" x14ac:dyDescent="0.25">
      <c r="A597" s="20" t="s">
        <v>279</v>
      </c>
      <c r="B597" s="55" t="s">
        <v>280</v>
      </c>
      <c r="C597" s="22" t="s">
        <v>138</v>
      </c>
      <c r="D597" s="23">
        <v>1.1000000000000001</v>
      </c>
      <c r="E597" s="24">
        <f>40014*1.052</f>
        <v>42094.728000000003</v>
      </c>
      <c r="F597" s="25">
        <f>ROUND(D597*E597,0)</f>
        <v>46304</v>
      </c>
    </row>
    <row r="598" spans="1:6" ht="27" x14ac:dyDescent="0.25">
      <c r="A598" s="20" t="s">
        <v>264</v>
      </c>
      <c r="B598" s="55" t="s">
        <v>281</v>
      </c>
      <c r="C598" s="22" t="s">
        <v>202</v>
      </c>
      <c r="D598" s="23">
        <v>0.55000000000000004</v>
      </c>
      <c r="E598" s="24">
        <f>5714.5*1.052</f>
        <v>6011.6540000000005</v>
      </c>
      <c r="F598" s="25">
        <f>ROUND(D598*E598,0)</f>
        <v>3306</v>
      </c>
    </row>
    <row r="599" spans="1:6" x14ac:dyDescent="0.25">
      <c r="A599" s="20" t="s">
        <v>534</v>
      </c>
      <c r="B599" s="55" t="s">
        <v>282</v>
      </c>
      <c r="C599" s="22" t="s">
        <v>202</v>
      </c>
      <c r="D599" s="23">
        <v>4</v>
      </c>
      <c r="E599" s="24">
        <f>1203.162*1.052</f>
        <v>1265.7264240000002</v>
      </c>
      <c r="F599" s="25">
        <f>ROUND(D599*E599,0)</f>
        <v>5063</v>
      </c>
    </row>
    <row r="600" spans="1:6" x14ac:dyDescent="0.25">
      <c r="A600" s="20" t="s">
        <v>283</v>
      </c>
      <c r="B600" s="55" t="s">
        <v>284</v>
      </c>
      <c r="C600" s="22" t="s">
        <v>202</v>
      </c>
      <c r="D600" s="23">
        <v>0.61111000000000004</v>
      </c>
      <c r="E600" s="24">
        <f>1203.162*1.052</f>
        <v>1265.7264240000002</v>
      </c>
      <c r="F600" s="25">
        <f>ROUND(D600*E600,0)</f>
        <v>773</v>
      </c>
    </row>
    <row r="601" spans="1:6" ht="14.25" thickBot="1" x14ac:dyDescent="0.3">
      <c r="A601" s="20" t="s">
        <v>285</v>
      </c>
      <c r="B601" s="55" t="s">
        <v>286</v>
      </c>
      <c r="C601" s="22" t="s">
        <v>202</v>
      </c>
      <c r="D601" s="23">
        <v>0.06</v>
      </c>
      <c r="E601" s="24">
        <f>16520.1*1.052</f>
        <v>17379.145199999999</v>
      </c>
      <c r="F601" s="25">
        <f>ROUND(D601*E601,0)</f>
        <v>1043</v>
      </c>
    </row>
    <row r="602" spans="1:6" ht="14.25" thickBot="1" x14ac:dyDescent="0.3">
      <c r="A602" s="26" t="s">
        <v>175</v>
      </c>
      <c r="B602" s="27"/>
      <c r="C602" s="28">
        <v>57.270233196159097</v>
      </c>
      <c r="D602" s="27"/>
      <c r="E602" s="29" t="s">
        <v>148</v>
      </c>
      <c r="F602" s="30">
        <f>SUM(F597:F601)</f>
        <v>56489</v>
      </c>
    </row>
    <row r="603" spans="1:6" x14ac:dyDescent="0.25">
      <c r="A603" s="16" t="s">
        <v>139</v>
      </c>
      <c r="B603" s="17" t="s">
        <v>140</v>
      </c>
      <c r="C603" s="18" t="s">
        <v>3</v>
      </c>
      <c r="D603" s="18" t="s">
        <v>141</v>
      </c>
      <c r="E603" s="18" t="s">
        <v>142</v>
      </c>
      <c r="F603" s="19" t="s">
        <v>143</v>
      </c>
    </row>
    <row r="604" spans="1:6" ht="14.25" thickBot="1" x14ac:dyDescent="0.3">
      <c r="A604" s="20" t="s">
        <v>268</v>
      </c>
      <c r="B604" s="21" t="s">
        <v>269</v>
      </c>
      <c r="C604" s="22" t="s">
        <v>146</v>
      </c>
      <c r="D604" s="23">
        <v>0.13844066520465917</v>
      </c>
      <c r="E604" s="24">
        <f>283800*$J$1</f>
        <v>320693.99999999994</v>
      </c>
      <c r="F604" s="25">
        <f>ROUND(D604*E604,0)</f>
        <v>44397</v>
      </c>
    </row>
    <row r="605" spans="1:6" ht="14.25" thickBot="1" x14ac:dyDescent="0.3">
      <c r="A605" s="26" t="s">
        <v>147</v>
      </c>
      <c r="B605" s="27"/>
      <c r="C605" s="28">
        <v>32.864654778235</v>
      </c>
      <c r="D605" s="27"/>
      <c r="E605" s="29" t="s">
        <v>148</v>
      </c>
      <c r="F605" s="30">
        <f>SUM(F604)</f>
        <v>44397</v>
      </c>
    </row>
    <row r="606" spans="1:6" x14ac:dyDescent="0.25">
      <c r="A606" s="16" t="s">
        <v>139</v>
      </c>
      <c r="B606" s="17" t="s">
        <v>149</v>
      </c>
      <c r="C606" s="18" t="s">
        <v>3</v>
      </c>
      <c r="D606" s="18" t="s">
        <v>141</v>
      </c>
      <c r="E606" s="18" t="s">
        <v>142</v>
      </c>
      <c r="F606" s="19" t="s">
        <v>143</v>
      </c>
    </row>
    <row r="607" spans="1:6" ht="14.25" thickBot="1" x14ac:dyDescent="0.3">
      <c r="A607" s="20" t="s">
        <v>150</v>
      </c>
      <c r="B607" s="21" t="s">
        <v>151</v>
      </c>
      <c r="C607" s="22" t="s">
        <v>152</v>
      </c>
      <c r="D607" s="23">
        <v>0.05</v>
      </c>
      <c r="E607" s="24">
        <f>F605</f>
        <v>44397</v>
      </c>
      <c r="F607" s="25">
        <f>ROUND(D607*E607,0)</f>
        <v>2220</v>
      </c>
    </row>
    <row r="608" spans="1:6" ht="14.25" thickBot="1" x14ac:dyDescent="0.3">
      <c r="A608" s="26" t="s">
        <v>153</v>
      </c>
      <c r="B608" s="27"/>
      <c r="C608" s="28">
        <v>1.6438042981252901</v>
      </c>
      <c r="D608" s="27"/>
      <c r="E608" s="29" t="s">
        <v>148</v>
      </c>
      <c r="F608" s="30">
        <f>SUM(F607)</f>
        <v>2220</v>
      </c>
    </row>
    <row r="609" spans="1:6" x14ac:dyDescent="0.25">
      <c r="A609" s="16" t="s">
        <v>139</v>
      </c>
      <c r="B609" s="17" t="s">
        <v>154</v>
      </c>
      <c r="C609" s="18" t="s">
        <v>3</v>
      </c>
      <c r="D609" s="18" t="s">
        <v>141</v>
      </c>
      <c r="E609" s="18" t="s">
        <v>142</v>
      </c>
      <c r="F609" s="19" t="s">
        <v>143</v>
      </c>
    </row>
    <row r="610" spans="1:6" x14ac:dyDescent="0.25">
      <c r="A610" s="20" t="s">
        <v>272</v>
      </c>
      <c r="B610" s="21" t="s">
        <v>273</v>
      </c>
      <c r="C610" s="22" t="s">
        <v>157</v>
      </c>
      <c r="D610" s="23">
        <v>2.5000000000000001E-2</v>
      </c>
      <c r="E610" s="24">
        <f>1621*1.052</f>
        <v>1705.2920000000001</v>
      </c>
      <c r="F610" s="25">
        <f>ROUND(D610*E610,0)</f>
        <v>43</v>
      </c>
    </row>
    <row r="611" spans="1:6" ht="14.25" thickBot="1" x14ac:dyDescent="0.3">
      <c r="A611" s="20" t="s">
        <v>270</v>
      </c>
      <c r="B611" s="21" t="s">
        <v>271</v>
      </c>
      <c r="C611" s="22" t="s">
        <v>157</v>
      </c>
      <c r="D611" s="23">
        <v>0.125</v>
      </c>
      <c r="E611" s="24">
        <f>8768*1.052</f>
        <v>9223.9359999999997</v>
      </c>
      <c r="F611" s="25">
        <f>ROUND(D611*E611,0)</f>
        <v>1153</v>
      </c>
    </row>
    <row r="612" spans="1:6" ht="14.25" thickBot="1" x14ac:dyDescent="0.3">
      <c r="A612" s="26" t="s">
        <v>160</v>
      </c>
      <c r="B612" s="27"/>
      <c r="C612" s="28">
        <v>1.2997256515775</v>
      </c>
      <c r="D612" s="27"/>
      <c r="E612" s="29" t="s">
        <v>148</v>
      </c>
      <c r="F612" s="30">
        <f>SUM(F610:F611)</f>
        <v>1196</v>
      </c>
    </row>
    <row r="613" spans="1:6" x14ac:dyDescent="0.25">
      <c r="A613" s="16" t="s">
        <v>139</v>
      </c>
      <c r="B613" s="17" t="s">
        <v>161</v>
      </c>
      <c r="C613" s="18" t="s">
        <v>3</v>
      </c>
      <c r="D613" s="18" t="s">
        <v>141</v>
      </c>
      <c r="E613" s="18" t="s">
        <v>142</v>
      </c>
      <c r="F613" s="19" t="s">
        <v>143</v>
      </c>
    </row>
    <row r="614" spans="1:6" x14ac:dyDescent="0.25">
      <c r="A614" s="20" t="s">
        <v>184</v>
      </c>
      <c r="B614" s="21" t="s">
        <v>185</v>
      </c>
      <c r="C614" s="22" t="s">
        <v>171</v>
      </c>
      <c r="D614" s="23">
        <f>+D568</f>
        <v>2.8705599999999998</v>
      </c>
      <c r="E614" s="24">
        <f>2223.46*1.052</f>
        <v>2339.0799200000001</v>
      </c>
      <c r="F614" s="25">
        <f>ROUND(D614*E614,0)</f>
        <v>6714</v>
      </c>
    </row>
    <row r="615" spans="1:6" ht="14.25" thickBot="1" x14ac:dyDescent="0.3">
      <c r="A615" s="34" t="s">
        <v>191</v>
      </c>
      <c r="B615" s="35" t="s">
        <v>192</v>
      </c>
      <c r="C615" s="36" t="s">
        <v>193</v>
      </c>
      <c r="D615" s="37">
        <f>+D567</f>
        <v>5.6939999999999998E-2</v>
      </c>
      <c r="E615" s="38">
        <f>176630*1.052</f>
        <v>185814.76</v>
      </c>
      <c r="F615" s="25">
        <f>ROUND(D615*E615,0)</f>
        <v>10580</v>
      </c>
    </row>
    <row r="616" spans="1:6" ht="14.25" thickBot="1" x14ac:dyDescent="0.3">
      <c r="A616" s="26"/>
      <c r="B616" s="27"/>
      <c r="C616" s="28"/>
      <c r="D616" s="27"/>
      <c r="E616" s="29" t="s">
        <v>148</v>
      </c>
      <c r="F616" s="30">
        <f>SUM(F614:F615)</f>
        <v>17294</v>
      </c>
    </row>
    <row r="617" spans="1:6" ht="15.75" thickBot="1" x14ac:dyDescent="0.3">
      <c r="A617" s="180" t="s">
        <v>168</v>
      </c>
      <c r="B617" s="181"/>
      <c r="C617" s="181"/>
      <c r="D617" s="181"/>
      <c r="E617" s="182">
        <f>+F602+F605+F608+F612+F616</f>
        <v>121596</v>
      </c>
      <c r="F617" s="183"/>
    </row>
    <row r="618" spans="1:6" x14ac:dyDescent="0.25">
      <c r="A618" s="31"/>
      <c r="F618" s="32"/>
    </row>
    <row r="619" spans="1:6" ht="15.75" x14ac:dyDescent="0.25">
      <c r="A619" s="184" t="s">
        <v>136</v>
      </c>
      <c r="B619" s="185"/>
      <c r="C619" s="185"/>
      <c r="D619" s="185"/>
      <c r="E619" s="185"/>
      <c r="F619" s="186"/>
    </row>
    <row r="620" spans="1:6" x14ac:dyDescent="0.25">
      <c r="A620" s="174" t="str">
        <f>+'RESUMEN APUS'!B44</f>
        <v>Suministro, transporte y colocación de pirlan en aluminio.</v>
      </c>
      <c r="B620" s="175"/>
      <c r="C620" s="175"/>
      <c r="D620" s="176"/>
      <c r="E620" s="12" t="s">
        <v>137</v>
      </c>
      <c r="F620" s="13" t="s">
        <v>3</v>
      </c>
    </row>
    <row r="621" spans="1:6" x14ac:dyDescent="0.25">
      <c r="A621" s="177"/>
      <c r="B621" s="178"/>
      <c r="C621" s="178"/>
      <c r="D621" s="179"/>
      <c r="E621" s="14" t="s">
        <v>62</v>
      </c>
      <c r="F621" s="15" t="s">
        <v>86</v>
      </c>
    </row>
    <row r="622" spans="1:6" x14ac:dyDescent="0.25">
      <c r="A622" s="16" t="s">
        <v>139</v>
      </c>
      <c r="B622" s="17" t="s">
        <v>172</v>
      </c>
      <c r="C622" s="18" t="s">
        <v>3</v>
      </c>
      <c r="D622" s="18" t="s">
        <v>141</v>
      </c>
      <c r="E622" s="18" t="s">
        <v>142</v>
      </c>
      <c r="F622" s="19" t="s">
        <v>143</v>
      </c>
    </row>
    <row r="623" spans="1:6" ht="14.25" thickBot="1" x14ac:dyDescent="0.3">
      <c r="A623" s="20" t="s">
        <v>287</v>
      </c>
      <c r="B623" s="21" t="s">
        <v>288</v>
      </c>
      <c r="C623" s="22" t="s">
        <v>171</v>
      </c>
      <c r="D623" s="23">
        <v>0.33300000000000002</v>
      </c>
      <c r="E623" s="24">
        <f>14442.1*1.052</f>
        <v>15193.0892</v>
      </c>
      <c r="F623" s="25">
        <f>ROUND(D623*E623,0)</f>
        <v>5059</v>
      </c>
    </row>
    <row r="624" spans="1:6" ht="14.25" thickBot="1" x14ac:dyDescent="0.3">
      <c r="A624" s="26" t="s">
        <v>175</v>
      </c>
      <c r="B624" s="27"/>
      <c r="C624" s="28">
        <v>25.264805007222002</v>
      </c>
      <c r="D624" s="27"/>
      <c r="E624" s="29" t="s">
        <v>148</v>
      </c>
      <c r="F624" s="30">
        <f>SUM(F623)</f>
        <v>5059</v>
      </c>
    </row>
    <row r="625" spans="1:6" x14ac:dyDescent="0.25">
      <c r="A625" s="16" t="s">
        <v>139</v>
      </c>
      <c r="B625" s="17" t="s">
        <v>140</v>
      </c>
      <c r="C625" s="18" t="s">
        <v>3</v>
      </c>
      <c r="D625" s="18" t="s">
        <v>141</v>
      </c>
      <c r="E625" s="18" t="s">
        <v>142</v>
      </c>
      <c r="F625" s="19" t="s">
        <v>143</v>
      </c>
    </row>
    <row r="626" spans="1:6" ht="14.25" thickBot="1" x14ac:dyDescent="0.3">
      <c r="A626" s="20" t="s">
        <v>289</v>
      </c>
      <c r="B626" s="21" t="s">
        <v>290</v>
      </c>
      <c r="C626" s="22" t="s">
        <v>146</v>
      </c>
      <c r="D626" s="23">
        <v>5.3583066368030174E-2</v>
      </c>
      <c r="E626" s="24">
        <f>283800*$J$1</f>
        <v>320693.99999999994</v>
      </c>
      <c r="F626" s="25">
        <f>ROUND(D626*E626,0)</f>
        <v>17184</v>
      </c>
    </row>
    <row r="627" spans="1:6" ht="14.25" thickBot="1" x14ac:dyDescent="0.3">
      <c r="A627" s="26" t="s">
        <v>147</v>
      </c>
      <c r="B627" s="27"/>
      <c r="C627" s="28">
        <v>71.178382282137704</v>
      </c>
      <c r="D627" s="27"/>
      <c r="E627" s="29" t="s">
        <v>148</v>
      </c>
      <c r="F627" s="30">
        <f>SUM(F626)</f>
        <v>17184</v>
      </c>
    </row>
    <row r="628" spans="1:6" x14ac:dyDescent="0.25">
      <c r="A628" s="16" t="s">
        <v>139</v>
      </c>
      <c r="B628" s="17" t="s">
        <v>149</v>
      </c>
      <c r="C628" s="18" t="s">
        <v>3</v>
      </c>
      <c r="D628" s="18" t="s">
        <v>141</v>
      </c>
      <c r="E628" s="18" t="s">
        <v>142</v>
      </c>
      <c r="F628" s="19" t="s">
        <v>143</v>
      </c>
    </row>
    <row r="629" spans="1:6" ht="14.25" thickBot="1" x14ac:dyDescent="0.3">
      <c r="A629" s="20" t="s">
        <v>150</v>
      </c>
      <c r="B629" s="21" t="s">
        <v>151</v>
      </c>
      <c r="C629" s="22" t="s">
        <v>152</v>
      </c>
      <c r="D629" s="23">
        <v>0.05</v>
      </c>
      <c r="E629" s="24">
        <f>F627</f>
        <v>17184</v>
      </c>
      <c r="F629" s="25">
        <f>ROUND(D629*E629,0)</f>
        <v>859</v>
      </c>
    </row>
    <row r="630" spans="1:6" ht="14.25" thickBot="1" x14ac:dyDescent="0.3">
      <c r="A630" s="26"/>
      <c r="B630" s="27"/>
      <c r="C630" s="28"/>
      <c r="D630" s="27"/>
      <c r="E630" s="29" t="s">
        <v>148</v>
      </c>
      <c r="F630" s="30">
        <f>SUM(F629)</f>
        <v>859</v>
      </c>
    </row>
    <row r="631" spans="1:6" ht="15.75" thickBot="1" x14ac:dyDescent="0.3">
      <c r="A631" s="180" t="s">
        <v>168</v>
      </c>
      <c r="B631" s="181"/>
      <c r="C631" s="181"/>
      <c r="D631" s="181"/>
      <c r="E631" s="182">
        <f>F624+F626+F630</f>
        <v>23102</v>
      </c>
      <c r="F631" s="183"/>
    </row>
    <row r="632" spans="1:6" x14ac:dyDescent="0.25">
      <c r="A632" s="31"/>
      <c r="F632" s="32"/>
    </row>
    <row r="633" spans="1:6" ht="15.75" x14ac:dyDescent="0.25">
      <c r="A633" s="184" t="s">
        <v>136</v>
      </c>
      <c r="B633" s="185"/>
      <c r="C633" s="185"/>
      <c r="D633" s="185"/>
      <c r="E633" s="185"/>
      <c r="F633" s="186"/>
    </row>
    <row r="634" spans="1:6" x14ac:dyDescent="0.25">
      <c r="A634" s="174" t="str">
        <f>+'RESUMEN APUS'!B45</f>
        <v>Colocación de ZÓCALO EN PISO CERÁMICO PARA PISOS TRAFICO RESIDENCIAL GENERAL, tipo Belaya beige o similiar DE 0.10 cms,  Incluye suministro y transporte de los materiales, cortes con máquina, pegacor para pega de la cerámica, lechada con boquilla de Sumicol o equivalente, varilla de dilatación y todo lo necesario para su correcta instalación y funcionamiento.</v>
      </c>
      <c r="B634" s="175"/>
      <c r="C634" s="175"/>
      <c r="D634" s="176"/>
      <c r="E634" s="12" t="s">
        <v>137</v>
      </c>
      <c r="F634" s="13" t="s">
        <v>3</v>
      </c>
    </row>
    <row r="635" spans="1:6" ht="39" customHeight="1" x14ac:dyDescent="0.25">
      <c r="A635" s="177"/>
      <c r="B635" s="178"/>
      <c r="C635" s="178"/>
      <c r="D635" s="179"/>
      <c r="E635" s="14" t="s">
        <v>64</v>
      </c>
      <c r="F635" s="15" t="s">
        <v>86</v>
      </c>
    </row>
    <row r="636" spans="1:6" x14ac:dyDescent="0.25">
      <c r="A636" s="16" t="s">
        <v>139</v>
      </c>
      <c r="B636" s="17" t="s">
        <v>172</v>
      </c>
      <c r="C636" s="18" t="s">
        <v>3</v>
      </c>
      <c r="D636" s="18" t="s">
        <v>141</v>
      </c>
      <c r="E636" s="18" t="s">
        <v>142</v>
      </c>
      <c r="F636" s="19" t="s">
        <v>143</v>
      </c>
    </row>
    <row r="637" spans="1:6" ht="27" x14ac:dyDescent="0.25">
      <c r="A637" s="20" t="s">
        <v>291</v>
      </c>
      <c r="B637" s="55" t="s">
        <v>537</v>
      </c>
      <c r="C637" s="22" t="s">
        <v>138</v>
      </c>
      <c r="D637" s="23">
        <v>0.107</v>
      </c>
      <c r="E637" s="24">
        <f>24710.4*1.052</f>
        <v>25995.340800000002</v>
      </c>
      <c r="F637" s="25">
        <f>ROUND(D637*E637,0)</f>
        <v>2782</v>
      </c>
    </row>
    <row r="638" spans="1:6" ht="27" x14ac:dyDescent="0.25">
      <c r="A638" s="20" t="s">
        <v>264</v>
      </c>
      <c r="B638" s="55" t="s">
        <v>281</v>
      </c>
      <c r="C638" s="22" t="s">
        <v>202</v>
      </c>
      <c r="D638" s="23">
        <v>0.11</v>
      </c>
      <c r="E638" s="24">
        <f>5714.5*1.052</f>
        <v>6011.6540000000005</v>
      </c>
      <c r="F638" s="25">
        <f>ROUND(D638*E638,0)</f>
        <v>661</v>
      </c>
    </row>
    <row r="639" spans="1:6" x14ac:dyDescent="0.25">
      <c r="A639" s="20" t="s">
        <v>266</v>
      </c>
      <c r="B639" s="21" t="s">
        <v>267</v>
      </c>
      <c r="C639" s="22" t="s">
        <v>171</v>
      </c>
      <c r="D639" s="23">
        <v>0.05</v>
      </c>
      <c r="E639" s="24">
        <f>1714.35*1.052</f>
        <v>1803.4962</v>
      </c>
      <c r="F639" s="25">
        <f>ROUND(D639*E639,0)</f>
        <v>90</v>
      </c>
    </row>
    <row r="640" spans="1:6" x14ac:dyDescent="0.25">
      <c r="A640" s="20" t="s">
        <v>534</v>
      </c>
      <c r="B640" s="55" t="s">
        <v>282</v>
      </c>
      <c r="C640" s="22" t="s">
        <v>202</v>
      </c>
      <c r="D640" s="23">
        <v>1.575</v>
      </c>
      <c r="E640" s="24">
        <f>1203.162*1.052</f>
        <v>1265.7264240000002</v>
      </c>
      <c r="F640" s="25">
        <f>ROUND(D640*E640,0)</f>
        <v>1994</v>
      </c>
    </row>
    <row r="641" spans="1:6" ht="14.25" thickBot="1" x14ac:dyDescent="0.3">
      <c r="A641" s="44" t="s">
        <v>283</v>
      </c>
      <c r="B641" s="45" t="s">
        <v>284</v>
      </c>
      <c r="C641" s="22" t="s">
        <v>202</v>
      </c>
      <c r="D641" s="23">
        <v>5.2499999999999998E-2</v>
      </c>
      <c r="E641" s="24">
        <f>2670.23*1.052</f>
        <v>2809.08196</v>
      </c>
      <c r="F641" s="25">
        <f>ROUND(D641*E641,0)</f>
        <v>147</v>
      </c>
    </row>
    <row r="642" spans="1:6" ht="14.25" thickBot="1" x14ac:dyDescent="0.3">
      <c r="A642" s="26" t="s">
        <v>175</v>
      </c>
      <c r="B642" s="27"/>
      <c r="C642" s="28">
        <v>38.020241660642398</v>
      </c>
      <c r="D642" s="27"/>
      <c r="E642" s="29" t="s">
        <v>148</v>
      </c>
      <c r="F642" s="30">
        <f>SUM(F637:F641)</f>
        <v>5674</v>
      </c>
    </row>
    <row r="643" spans="1:6" x14ac:dyDescent="0.25">
      <c r="A643" s="16" t="s">
        <v>139</v>
      </c>
      <c r="B643" s="17" t="s">
        <v>140</v>
      </c>
      <c r="C643" s="18" t="s">
        <v>3</v>
      </c>
      <c r="D643" s="18" t="s">
        <v>141</v>
      </c>
      <c r="E643" s="18" t="s">
        <v>142</v>
      </c>
      <c r="F643" s="19" t="s">
        <v>143</v>
      </c>
    </row>
    <row r="644" spans="1:6" ht="14.25" thickBot="1" x14ac:dyDescent="0.3">
      <c r="A644" s="20" t="s">
        <v>268</v>
      </c>
      <c r="B644" s="21" t="s">
        <v>269</v>
      </c>
      <c r="C644" s="22" t="s">
        <v>146</v>
      </c>
      <c r="D644" s="23">
        <v>4.9099916763901151E-2</v>
      </c>
      <c r="E644" s="24">
        <f>283800*$J$1</f>
        <v>320693.99999999994</v>
      </c>
      <c r="F644" s="25">
        <f>ROUND(D644*E644,0)</f>
        <v>15746</v>
      </c>
    </row>
    <row r="645" spans="1:6" ht="14.25" thickBot="1" x14ac:dyDescent="0.3">
      <c r="A645" s="26" t="s">
        <v>147</v>
      </c>
      <c r="B645" s="27"/>
      <c r="C645" s="28">
        <v>53.413198388929104</v>
      </c>
      <c r="D645" s="27"/>
      <c r="E645" s="29" t="s">
        <v>148</v>
      </c>
      <c r="F645" s="30">
        <f>SUM(F644)</f>
        <v>15746</v>
      </c>
    </row>
    <row r="646" spans="1:6" x14ac:dyDescent="0.25">
      <c r="A646" s="16" t="s">
        <v>139</v>
      </c>
      <c r="B646" s="17" t="s">
        <v>149</v>
      </c>
      <c r="C646" s="18" t="s">
        <v>3</v>
      </c>
      <c r="D646" s="18" t="s">
        <v>141</v>
      </c>
      <c r="E646" s="18" t="s">
        <v>142</v>
      </c>
      <c r="F646" s="19" t="s">
        <v>143</v>
      </c>
    </row>
    <row r="647" spans="1:6" ht="14.25" thickBot="1" x14ac:dyDescent="0.3">
      <c r="A647" s="20" t="s">
        <v>150</v>
      </c>
      <c r="B647" s="21" t="s">
        <v>151</v>
      </c>
      <c r="C647" s="22" t="s">
        <v>152</v>
      </c>
      <c r="D647" s="23">
        <v>0.05</v>
      </c>
      <c r="E647" s="24">
        <f>F645</f>
        <v>15746</v>
      </c>
      <c r="F647" s="25">
        <f>ROUND(D647*E647,0)</f>
        <v>787</v>
      </c>
    </row>
    <row r="648" spans="1:6" ht="14.25" thickBot="1" x14ac:dyDescent="0.3">
      <c r="A648" s="26" t="s">
        <v>153</v>
      </c>
      <c r="B648" s="27"/>
      <c r="C648" s="28">
        <v>2.6696271816585799</v>
      </c>
      <c r="D648" s="27"/>
      <c r="E648" s="29" t="s">
        <v>148</v>
      </c>
      <c r="F648" s="30">
        <f>SUM(F647)</f>
        <v>787</v>
      </c>
    </row>
    <row r="649" spans="1:6" x14ac:dyDescent="0.25">
      <c r="A649" s="16" t="s">
        <v>139</v>
      </c>
      <c r="B649" s="17" t="s">
        <v>154</v>
      </c>
      <c r="C649" s="18" t="s">
        <v>3</v>
      </c>
      <c r="D649" s="18" t="s">
        <v>141</v>
      </c>
      <c r="E649" s="18" t="s">
        <v>142</v>
      </c>
      <c r="F649" s="19" t="s">
        <v>143</v>
      </c>
    </row>
    <row r="650" spans="1:6" x14ac:dyDescent="0.25">
      <c r="A650" s="20" t="s">
        <v>270</v>
      </c>
      <c r="B650" s="21" t="s">
        <v>271</v>
      </c>
      <c r="C650" s="22" t="s">
        <v>157</v>
      </c>
      <c r="D650" s="23">
        <v>0.11</v>
      </c>
      <c r="E650" s="24">
        <f>8768*1.052</f>
        <v>9223.9359999999997</v>
      </c>
      <c r="F650" s="25">
        <f>ROUND(D650*E650,0)</f>
        <v>1015</v>
      </c>
    </row>
    <row r="651" spans="1:6" ht="14.25" thickBot="1" x14ac:dyDescent="0.3">
      <c r="A651" s="20" t="s">
        <v>272</v>
      </c>
      <c r="B651" s="21" t="s">
        <v>273</v>
      </c>
      <c r="C651" s="22" t="s">
        <v>157</v>
      </c>
      <c r="D651" s="23">
        <v>0.11</v>
      </c>
      <c r="E651" s="24">
        <f>1621*1.052</f>
        <v>1705.2920000000001</v>
      </c>
      <c r="F651" s="25">
        <f>ROUND(D651*E651,0)</f>
        <v>188</v>
      </c>
    </row>
    <row r="652" spans="1:6" ht="14.25" thickBot="1" x14ac:dyDescent="0.3">
      <c r="A652" s="26" t="s">
        <v>160</v>
      </c>
      <c r="B652" s="27"/>
      <c r="C652" s="28">
        <v>5.8969327687700099</v>
      </c>
      <c r="D652" s="27"/>
      <c r="E652" s="29" t="s">
        <v>148</v>
      </c>
      <c r="F652" s="30">
        <f>SUM(F650:F651)</f>
        <v>1203</v>
      </c>
    </row>
    <row r="653" spans="1:6" x14ac:dyDescent="0.25">
      <c r="A653" s="16" t="s">
        <v>139</v>
      </c>
      <c r="B653" s="17" t="s">
        <v>292</v>
      </c>
      <c r="C653" s="18" t="s">
        <v>3</v>
      </c>
      <c r="D653" s="18" t="s">
        <v>141</v>
      </c>
      <c r="E653" s="18" t="s">
        <v>142</v>
      </c>
      <c r="F653" s="19" t="s">
        <v>143</v>
      </c>
    </row>
    <row r="654" spans="1:6" ht="14.25" thickBot="1" x14ac:dyDescent="0.3">
      <c r="A654" s="34" t="s">
        <v>191</v>
      </c>
      <c r="B654" s="35" t="s">
        <v>192</v>
      </c>
      <c r="C654" s="36" t="s">
        <v>193</v>
      </c>
      <c r="D654" s="37">
        <f>SUM(D640+D638+10)/1000</f>
        <v>1.1685000000000001E-2</v>
      </c>
      <c r="E654" s="38">
        <f>176630*1.052</f>
        <v>185814.76</v>
      </c>
      <c r="F654" s="25">
        <f>ROUND(D654*E654,0)</f>
        <v>2171</v>
      </c>
    </row>
    <row r="655" spans="1:6" ht="15.75" thickBot="1" x14ac:dyDescent="0.3">
      <c r="A655" s="180" t="s">
        <v>168</v>
      </c>
      <c r="B655" s="181"/>
      <c r="C655" s="181"/>
      <c r="D655" s="181"/>
      <c r="E655" s="182">
        <f>F642+F645+F648+F652+F654</f>
        <v>25581</v>
      </c>
      <c r="F655" s="183"/>
    </row>
    <row r="656" spans="1:6" x14ac:dyDescent="0.25">
      <c r="A656" s="31"/>
      <c r="F656" s="32"/>
    </row>
    <row r="657" spans="1:6" ht="15.75" x14ac:dyDescent="0.25">
      <c r="A657" s="184" t="s">
        <v>136</v>
      </c>
      <c r="B657" s="185"/>
      <c r="C657" s="185"/>
      <c r="D657" s="185"/>
      <c r="E657" s="185"/>
      <c r="F657" s="186"/>
    </row>
    <row r="658" spans="1:6" ht="21.6" customHeight="1" x14ac:dyDescent="0.25">
      <c r="A658" s="174" t="str">
        <f>+'RESUMEN APUS'!B46</f>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
      <c r="B658" s="175"/>
      <c r="C658" s="175"/>
      <c r="D658" s="176"/>
      <c r="E658" s="12" t="s">
        <v>137</v>
      </c>
      <c r="F658" s="13" t="s">
        <v>3</v>
      </c>
    </row>
    <row r="659" spans="1:6" ht="21.6" customHeight="1" x14ac:dyDescent="0.25">
      <c r="A659" s="177"/>
      <c r="B659" s="178"/>
      <c r="C659" s="178"/>
      <c r="D659" s="179"/>
      <c r="E659" s="14" t="s">
        <v>65</v>
      </c>
      <c r="F659" s="15" t="s">
        <v>138</v>
      </c>
    </row>
    <row r="660" spans="1:6" x14ac:dyDescent="0.25">
      <c r="A660" s="16" t="s">
        <v>139</v>
      </c>
      <c r="B660" s="17" t="s">
        <v>172</v>
      </c>
      <c r="C660" s="18" t="s">
        <v>3</v>
      </c>
      <c r="D660" s="18" t="s">
        <v>141</v>
      </c>
      <c r="E660" s="18" t="s">
        <v>142</v>
      </c>
      <c r="F660" s="19" t="s">
        <v>143</v>
      </c>
    </row>
    <row r="661" spans="1:6" ht="27" x14ac:dyDescent="0.25">
      <c r="A661" s="54" t="s">
        <v>294</v>
      </c>
      <c r="B661" s="21" t="s">
        <v>538</v>
      </c>
      <c r="C661" s="22" t="s">
        <v>293</v>
      </c>
      <c r="D661" s="23">
        <v>7.0000000000000007E-2</v>
      </c>
      <c r="E661" s="24">
        <f>21551.5269444444*1.052</f>
        <v>22672.206345555507</v>
      </c>
      <c r="F661" s="25">
        <f>ROUND(D661*E661,0)</f>
        <v>1587</v>
      </c>
    </row>
    <row r="662" spans="1:6" x14ac:dyDescent="0.25">
      <c r="A662" s="20" t="s">
        <v>295</v>
      </c>
      <c r="B662" s="21" t="s">
        <v>539</v>
      </c>
      <c r="C662" s="22" t="s">
        <v>171</v>
      </c>
      <c r="D662" s="23">
        <v>0.11</v>
      </c>
      <c r="E662" s="24">
        <f>2465.547*1.052</f>
        <v>2593.7554440000004</v>
      </c>
      <c r="F662" s="25">
        <f>ROUND(D662*E662,0)</f>
        <v>285</v>
      </c>
    </row>
    <row r="663" spans="1:6" ht="14.25" thickBot="1" x14ac:dyDescent="0.3">
      <c r="A663" s="20" t="s">
        <v>285</v>
      </c>
      <c r="B663" s="21" t="s">
        <v>286</v>
      </c>
      <c r="C663" s="22" t="s">
        <v>202</v>
      </c>
      <c r="D663" s="23">
        <v>5.5E-2</v>
      </c>
      <c r="E663" s="24">
        <f>16520.1*1.052</f>
        <v>17379.145199999999</v>
      </c>
      <c r="F663" s="25">
        <f>ROUND(D663*E663,0)</f>
        <v>956</v>
      </c>
    </row>
    <row r="664" spans="1:6" ht="14.25" thickBot="1" x14ac:dyDescent="0.3">
      <c r="A664" s="26" t="s">
        <v>175</v>
      </c>
      <c r="B664" s="27"/>
      <c r="C664" s="28">
        <v>19.2146481358923</v>
      </c>
      <c r="D664" s="27"/>
      <c r="E664" s="29" t="s">
        <v>148</v>
      </c>
      <c r="F664" s="30">
        <f>SUM(F661:F663)</f>
        <v>2828</v>
      </c>
    </row>
    <row r="665" spans="1:6" x14ac:dyDescent="0.25">
      <c r="A665" s="16" t="s">
        <v>139</v>
      </c>
      <c r="B665" s="17" t="s">
        <v>140</v>
      </c>
      <c r="C665" s="18" t="s">
        <v>3</v>
      </c>
      <c r="D665" s="18" t="s">
        <v>141</v>
      </c>
      <c r="E665" s="18" t="s">
        <v>142</v>
      </c>
      <c r="F665" s="19" t="s">
        <v>143</v>
      </c>
    </row>
    <row r="666" spans="1:6" ht="14.25" thickBot="1" x14ac:dyDescent="0.3">
      <c r="A666" s="20" t="s">
        <v>268</v>
      </c>
      <c r="B666" s="21" t="s">
        <v>269</v>
      </c>
      <c r="C666" s="22" t="s">
        <v>146</v>
      </c>
      <c r="D666" s="23">
        <v>3.9994000000000002E-2</v>
      </c>
      <c r="E666" s="24">
        <f>283800*$J$1</f>
        <v>320693.99999999994</v>
      </c>
      <c r="F666" s="25">
        <f>ROUND(D666*E666,0)</f>
        <v>12826</v>
      </c>
    </row>
    <row r="667" spans="1:6" ht="14.25" thickBot="1" x14ac:dyDescent="0.3">
      <c r="A667" s="26" t="s">
        <v>147</v>
      </c>
      <c r="B667" s="27"/>
      <c r="C667" s="28">
        <v>76.064416501213302</v>
      </c>
      <c r="D667" s="27"/>
      <c r="E667" s="29" t="s">
        <v>148</v>
      </c>
      <c r="F667" s="30">
        <f>SUM(F666)</f>
        <v>12826</v>
      </c>
    </row>
    <row r="668" spans="1:6" x14ac:dyDescent="0.25">
      <c r="A668" s="16" t="s">
        <v>139</v>
      </c>
      <c r="B668" s="17" t="s">
        <v>149</v>
      </c>
      <c r="C668" s="18" t="s">
        <v>3</v>
      </c>
      <c r="D668" s="18" t="s">
        <v>141</v>
      </c>
      <c r="E668" s="18" t="s">
        <v>142</v>
      </c>
      <c r="F668" s="19" t="s">
        <v>143</v>
      </c>
    </row>
    <row r="669" spans="1:6" ht="14.25" thickBot="1" x14ac:dyDescent="0.3">
      <c r="A669" s="20" t="s">
        <v>150</v>
      </c>
      <c r="B669" s="21" t="s">
        <v>151</v>
      </c>
      <c r="C669" s="22" t="s">
        <v>152</v>
      </c>
      <c r="D669" s="23">
        <v>0.05</v>
      </c>
      <c r="E669" s="24">
        <f>F667</f>
        <v>12826</v>
      </c>
      <c r="F669" s="25">
        <f>ROUND(D669*E669,0)</f>
        <v>641</v>
      </c>
    </row>
    <row r="670" spans="1:6" ht="14.25" thickBot="1" x14ac:dyDescent="0.3">
      <c r="A670" s="26" t="s">
        <v>153</v>
      </c>
      <c r="B670" s="27"/>
      <c r="C670" s="28">
        <v>3.8017501286859301</v>
      </c>
      <c r="D670" s="27"/>
      <c r="E670" s="29" t="s">
        <v>148</v>
      </c>
      <c r="F670" s="30">
        <f>SUM(F669)</f>
        <v>641</v>
      </c>
    </row>
    <row r="671" spans="1:6" x14ac:dyDescent="0.25">
      <c r="A671" s="16" t="s">
        <v>139</v>
      </c>
      <c r="B671" s="17" t="s">
        <v>154</v>
      </c>
      <c r="C671" s="18" t="s">
        <v>3</v>
      </c>
      <c r="D671" s="18" t="s">
        <v>141</v>
      </c>
      <c r="E671" s="18" t="s">
        <v>142</v>
      </c>
      <c r="F671" s="19" t="s">
        <v>143</v>
      </c>
    </row>
    <row r="672" spans="1:6" ht="14.25" thickBot="1" x14ac:dyDescent="0.3">
      <c r="A672" s="20" t="s">
        <v>296</v>
      </c>
      <c r="B672" s="21" t="s">
        <v>297</v>
      </c>
      <c r="C672" s="22" t="s">
        <v>157</v>
      </c>
      <c r="D672" s="23">
        <v>5.4000000000000003E-3</v>
      </c>
      <c r="E672" s="24">
        <f>23200*1.052</f>
        <v>24406.400000000001</v>
      </c>
      <c r="F672" s="25">
        <f>ROUND(D672*E672,0)</f>
        <v>132</v>
      </c>
    </row>
    <row r="673" spans="1:6" ht="14.25" thickBot="1" x14ac:dyDescent="0.3">
      <c r="A673" s="26" t="s">
        <v>160</v>
      </c>
      <c r="B673" s="27"/>
      <c r="C673" s="28">
        <v>0.91918523420839804</v>
      </c>
      <c r="D673" s="27"/>
      <c r="E673" s="29" t="s">
        <v>148</v>
      </c>
      <c r="F673" s="30">
        <f>SUM(F672)</f>
        <v>132</v>
      </c>
    </row>
    <row r="674" spans="1:6" x14ac:dyDescent="0.25">
      <c r="A674" s="16" t="s">
        <v>139</v>
      </c>
      <c r="B674" s="17" t="s">
        <v>292</v>
      </c>
      <c r="C674" s="18" t="s">
        <v>3</v>
      </c>
      <c r="D674" s="18" t="s">
        <v>141</v>
      </c>
      <c r="E674" s="18" t="s">
        <v>142</v>
      </c>
      <c r="F674" s="19" t="s">
        <v>143</v>
      </c>
    </row>
    <row r="675" spans="1:6" ht="14.25" thickBot="1" x14ac:dyDescent="0.3">
      <c r="A675" s="34" t="s">
        <v>191</v>
      </c>
      <c r="B675" s="35" t="s">
        <v>192</v>
      </c>
      <c r="C675" s="36" t="s">
        <v>193</v>
      </c>
      <c r="D675" s="37">
        <f>SUM(D661*24)/1000</f>
        <v>1.6800000000000001E-3</v>
      </c>
      <c r="E675" s="38">
        <f>176630*1.052</f>
        <v>185814.76</v>
      </c>
      <c r="F675" s="25">
        <f>ROUND(D675*E675,0)</f>
        <v>312</v>
      </c>
    </row>
    <row r="676" spans="1:6" ht="15.75" thickBot="1" x14ac:dyDescent="0.3">
      <c r="A676" s="180" t="s">
        <v>168</v>
      </c>
      <c r="B676" s="181"/>
      <c r="C676" s="181"/>
      <c r="D676" s="181"/>
      <c r="E676" s="182">
        <f>+F664+F667+F670+F673+F675</f>
        <v>16739</v>
      </c>
      <c r="F676" s="183"/>
    </row>
    <row r="677" spans="1:6" x14ac:dyDescent="0.25">
      <c r="A677" s="31"/>
      <c r="F677" s="32"/>
    </row>
    <row r="678" spans="1:6" ht="15.75" x14ac:dyDescent="0.25">
      <c r="A678" s="184" t="s">
        <v>136</v>
      </c>
      <c r="B678" s="185"/>
      <c r="C678" s="185"/>
      <c r="D678" s="185"/>
      <c r="E678" s="185"/>
      <c r="F678" s="186"/>
    </row>
    <row r="679" spans="1:6" ht="30" customHeight="1" x14ac:dyDescent="0.25">
      <c r="A679" s="174" t="str">
        <f>+'RESUMEN APUS'!B47</f>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
      <c r="B679" s="175"/>
      <c r="C679" s="175"/>
      <c r="D679" s="176"/>
      <c r="E679" s="12" t="s">
        <v>137</v>
      </c>
      <c r="F679" s="13" t="s">
        <v>3</v>
      </c>
    </row>
    <row r="680" spans="1:6" ht="30" customHeight="1" x14ac:dyDescent="0.25">
      <c r="A680" s="177"/>
      <c r="B680" s="178"/>
      <c r="C680" s="178"/>
      <c r="D680" s="179"/>
      <c r="E680" s="14" t="s">
        <v>67</v>
      </c>
      <c r="F680" s="15" t="s">
        <v>138</v>
      </c>
    </row>
    <row r="681" spans="1:6" x14ac:dyDescent="0.25">
      <c r="A681" s="16" t="s">
        <v>139</v>
      </c>
      <c r="B681" s="17" t="s">
        <v>172</v>
      </c>
      <c r="C681" s="18" t="s">
        <v>3</v>
      </c>
      <c r="D681" s="18" t="s">
        <v>141</v>
      </c>
      <c r="E681" s="18" t="s">
        <v>142</v>
      </c>
      <c r="F681" s="19" t="s">
        <v>143</v>
      </c>
    </row>
    <row r="682" spans="1:6" x14ac:dyDescent="0.25">
      <c r="A682" s="20" t="s">
        <v>298</v>
      </c>
      <c r="B682" s="21" t="s">
        <v>299</v>
      </c>
      <c r="C682" s="22" t="s">
        <v>293</v>
      </c>
      <c r="D682" s="23">
        <v>8.2500000000000004E-2</v>
      </c>
      <c r="E682" s="24">
        <f>63000*1.052</f>
        <v>66276</v>
      </c>
      <c r="F682" s="25">
        <f>ROUND(D682*E682,0)</f>
        <v>5468</v>
      </c>
    </row>
    <row r="683" spans="1:6" x14ac:dyDescent="0.25">
      <c r="A683" s="20" t="s">
        <v>300</v>
      </c>
      <c r="B683" s="55" t="s">
        <v>540</v>
      </c>
      <c r="C683" s="22" t="s">
        <v>202</v>
      </c>
      <c r="D683" s="23">
        <v>0.3</v>
      </c>
      <c r="E683" s="24">
        <f>1517.979*1.052</f>
        <v>1596.9139080000002</v>
      </c>
      <c r="F683" s="25">
        <f>ROUND(D683*E683,0)</f>
        <v>479</v>
      </c>
    </row>
    <row r="684" spans="1:6" x14ac:dyDescent="0.25">
      <c r="A684" s="20" t="s">
        <v>285</v>
      </c>
      <c r="B684" s="21" t="s">
        <v>286</v>
      </c>
      <c r="C684" s="22" t="s">
        <v>202</v>
      </c>
      <c r="D684" s="23">
        <v>0.1</v>
      </c>
      <c r="E684" s="24">
        <f>16520.1*1.052</f>
        <v>17379.145199999999</v>
      </c>
      <c r="F684" s="25">
        <f>ROUND(D684*E684,0)</f>
        <v>1738</v>
      </c>
    </row>
    <row r="685" spans="1:6" ht="14.25" thickBot="1" x14ac:dyDescent="0.3">
      <c r="A685" s="20" t="s">
        <v>302</v>
      </c>
      <c r="B685" s="21" t="s">
        <v>303</v>
      </c>
      <c r="C685" s="22" t="s">
        <v>171</v>
      </c>
      <c r="D685" s="23">
        <v>0.5</v>
      </c>
      <c r="E685" s="24">
        <f>1361.09*1.052</f>
        <v>1431.8666800000001</v>
      </c>
      <c r="F685" s="25">
        <f>ROUND(D685*E685,0)</f>
        <v>716</v>
      </c>
    </row>
    <row r="686" spans="1:6" ht="14.25" thickBot="1" x14ac:dyDescent="0.3">
      <c r="A686" s="26" t="s">
        <v>175</v>
      </c>
      <c r="B686" s="27"/>
      <c r="C686" s="28">
        <v>49.2689953186892</v>
      </c>
      <c r="D686" s="27"/>
      <c r="E686" s="29" t="s">
        <v>148</v>
      </c>
      <c r="F686" s="30">
        <f>SUM(F682:F685)</f>
        <v>8401</v>
      </c>
    </row>
    <row r="687" spans="1:6" x14ac:dyDescent="0.25">
      <c r="A687" s="16" t="s">
        <v>139</v>
      </c>
      <c r="B687" s="17" t="s">
        <v>140</v>
      </c>
      <c r="C687" s="18" t="s">
        <v>3</v>
      </c>
      <c r="D687" s="18" t="s">
        <v>141</v>
      </c>
      <c r="E687" s="18" t="s">
        <v>142</v>
      </c>
      <c r="F687" s="19" t="s">
        <v>143</v>
      </c>
    </row>
    <row r="688" spans="1:6" ht="14.25" thickBot="1" x14ac:dyDescent="0.3">
      <c r="A688" s="20" t="s">
        <v>268</v>
      </c>
      <c r="B688" s="21" t="s">
        <v>269</v>
      </c>
      <c r="C688" s="22" t="s">
        <v>146</v>
      </c>
      <c r="D688" s="23">
        <v>3.3846854330708658E-2</v>
      </c>
      <c r="E688" s="24">
        <f>283800*$J$1</f>
        <v>320693.99999999994</v>
      </c>
      <c r="F688" s="25">
        <f>ROUND(D688*E688,0)</f>
        <v>10854</v>
      </c>
    </row>
    <row r="689" spans="1:6" ht="14.25" thickBot="1" x14ac:dyDescent="0.3">
      <c r="A689" s="26" t="s">
        <v>147</v>
      </c>
      <c r="B689" s="27"/>
      <c r="C689" s="28">
        <v>45.912855599567898</v>
      </c>
      <c r="D689" s="27"/>
      <c r="E689" s="29" t="s">
        <v>148</v>
      </c>
      <c r="F689" s="30">
        <f>SUM(F688)</f>
        <v>10854</v>
      </c>
    </row>
    <row r="690" spans="1:6" x14ac:dyDescent="0.25">
      <c r="A690" s="16" t="s">
        <v>139</v>
      </c>
      <c r="B690" s="17" t="s">
        <v>149</v>
      </c>
      <c r="C690" s="18" t="s">
        <v>3</v>
      </c>
      <c r="D690" s="18" t="s">
        <v>141</v>
      </c>
      <c r="E690" s="18" t="s">
        <v>142</v>
      </c>
      <c r="F690" s="19" t="s">
        <v>143</v>
      </c>
    </row>
    <row r="691" spans="1:6" ht="14.25" thickBot="1" x14ac:dyDescent="0.3">
      <c r="A691" s="20" t="s">
        <v>150</v>
      </c>
      <c r="B691" s="21" t="s">
        <v>151</v>
      </c>
      <c r="C691" s="22" t="s">
        <v>152</v>
      </c>
      <c r="D691" s="23">
        <v>0.05</v>
      </c>
      <c r="E691" s="24">
        <f>F689</f>
        <v>10854</v>
      </c>
      <c r="F691" s="25">
        <f>ROUND(D691*E691,0)</f>
        <v>543</v>
      </c>
    </row>
    <row r="692" spans="1:6" ht="14.25" thickBot="1" x14ac:dyDescent="0.3">
      <c r="A692" s="26" t="s">
        <v>153</v>
      </c>
      <c r="B692" s="27"/>
      <c r="C692" s="28">
        <v>2.29744328411955</v>
      </c>
      <c r="D692" s="27"/>
      <c r="E692" s="29" t="s">
        <v>148</v>
      </c>
      <c r="F692" s="30">
        <f>SUM(F691)</f>
        <v>543</v>
      </c>
    </row>
    <row r="693" spans="1:6" x14ac:dyDescent="0.25">
      <c r="A693" s="16" t="s">
        <v>139</v>
      </c>
      <c r="B693" s="17" t="s">
        <v>154</v>
      </c>
      <c r="C693" s="18" t="s">
        <v>3</v>
      </c>
      <c r="D693" s="18" t="s">
        <v>141</v>
      </c>
      <c r="E693" s="18" t="s">
        <v>142</v>
      </c>
      <c r="F693" s="19" t="s">
        <v>143</v>
      </c>
    </row>
    <row r="694" spans="1:6" ht="14.25" thickBot="1" x14ac:dyDescent="0.3">
      <c r="A694" s="20" t="s">
        <v>296</v>
      </c>
      <c r="B694" s="21" t="s">
        <v>297</v>
      </c>
      <c r="C694" s="22" t="s">
        <v>157</v>
      </c>
      <c r="D694" s="23">
        <v>1.5089999999999999E-2</v>
      </c>
      <c r="E694" s="24">
        <f>23200*1.052</f>
        <v>24406.400000000001</v>
      </c>
      <c r="F694" s="25">
        <f>ROUND(D694*E694,0)</f>
        <v>368</v>
      </c>
    </row>
    <row r="695" spans="1:6" ht="14.25" thickBot="1" x14ac:dyDescent="0.3">
      <c r="A695" s="26" t="s">
        <v>160</v>
      </c>
      <c r="B695" s="27"/>
      <c r="C695" s="28">
        <v>2.52070579762333</v>
      </c>
      <c r="D695" s="27"/>
      <c r="E695" s="29" t="s">
        <v>148</v>
      </c>
      <c r="F695" s="30">
        <f>SUM(F694)</f>
        <v>368</v>
      </c>
    </row>
    <row r="696" spans="1:6" x14ac:dyDescent="0.25">
      <c r="A696" s="16" t="s">
        <v>139</v>
      </c>
      <c r="B696" s="17" t="s">
        <v>292</v>
      </c>
      <c r="C696" s="18" t="s">
        <v>3</v>
      </c>
      <c r="D696" s="18" t="s">
        <v>141</v>
      </c>
      <c r="E696" s="18" t="s">
        <v>142</v>
      </c>
      <c r="F696" s="19" t="s">
        <v>143</v>
      </c>
    </row>
    <row r="697" spans="1:6" ht="14.25" thickBot="1" x14ac:dyDescent="0.3">
      <c r="A697" s="34" t="s">
        <v>191</v>
      </c>
      <c r="B697" s="35" t="s">
        <v>192</v>
      </c>
      <c r="C697" s="36" t="s">
        <v>193</v>
      </c>
      <c r="D697" s="37">
        <f>SUM((D682*24)+D683+D684)/1000</f>
        <v>2.3799999999999997E-3</v>
      </c>
      <c r="E697" s="38">
        <f>176630*1.052</f>
        <v>185814.76</v>
      </c>
      <c r="F697" s="25">
        <f>ROUND(D697*E697,0)</f>
        <v>442</v>
      </c>
    </row>
    <row r="698" spans="1:6" ht="15.75" thickBot="1" x14ac:dyDescent="0.3">
      <c r="A698" s="180" t="s">
        <v>168</v>
      </c>
      <c r="B698" s="181"/>
      <c r="C698" s="181"/>
      <c r="D698" s="181"/>
      <c r="E698" s="182">
        <f>F686+F689+F692+F695+F697</f>
        <v>20608</v>
      </c>
      <c r="F698" s="183"/>
    </row>
    <row r="699" spans="1:6" x14ac:dyDescent="0.25">
      <c r="A699" s="31"/>
      <c r="F699" s="32"/>
    </row>
    <row r="700" spans="1:6" ht="15.75" x14ac:dyDescent="0.25">
      <c r="A700" s="184" t="s">
        <v>136</v>
      </c>
      <c r="B700" s="185"/>
      <c r="C700" s="185"/>
      <c r="D700" s="185"/>
      <c r="E700" s="185"/>
      <c r="F700" s="186"/>
    </row>
    <row r="701" spans="1:6" x14ac:dyDescent="0.25">
      <c r="A701" s="174" t="str">
        <f>+'RESUMEN APUS'!B48</f>
        <v>Aplicación de ESMALTE A BASE DE ACEITE, sobre elementos metálicos, dos manos o las necesarias hasta obtener una superficie pareja y homogénea. Incluye suministro y transporte de los materiales, disolvente para pinturas a base de aceite, anticorrosivo, adecuación de la superficie a intervenir hasta obtener una superficie pareja y homogénea, color a definir según aprobación de la interventoría.</v>
      </c>
      <c r="B701" s="175"/>
      <c r="C701" s="175"/>
      <c r="D701" s="176"/>
      <c r="E701" s="12" t="s">
        <v>137</v>
      </c>
      <c r="F701" s="13" t="s">
        <v>3</v>
      </c>
    </row>
    <row r="702" spans="1:6" x14ac:dyDescent="0.25">
      <c r="A702" s="177"/>
      <c r="B702" s="178"/>
      <c r="C702" s="178"/>
      <c r="D702" s="179"/>
      <c r="E702" s="14" t="s">
        <v>69</v>
      </c>
      <c r="F702" s="15" t="s">
        <v>138</v>
      </c>
    </row>
    <row r="703" spans="1:6" x14ac:dyDescent="0.25">
      <c r="A703" s="16" t="s">
        <v>139</v>
      </c>
      <c r="B703" s="17" t="s">
        <v>172</v>
      </c>
      <c r="C703" s="18" t="s">
        <v>3</v>
      </c>
      <c r="D703" s="18" t="s">
        <v>141</v>
      </c>
      <c r="E703" s="18" t="s">
        <v>142</v>
      </c>
      <c r="F703" s="19" t="s">
        <v>143</v>
      </c>
    </row>
    <row r="704" spans="1:6" x14ac:dyDescent="0.25">
      <c r="A704" s="20" t="s">
        <v>304</v>
      </c>
      <c r="B704" s="21" t="s">
        <v>305</v>
      </c>
      <c r="C704" s="22" t="s">
        <v>293</v>
      </c>
      <c r="D704" s="23">
        <v>3.3329999999999999E-2</v>
      </c>
      <c r="E704" s="24">
        <f>104004.117100371*1.052</f>
        <v>109412.3311895903</v>
      </c>
      <c r="F704" s="25">
        <f>ROUND(D704*E704,0)</f>
        <v>3647</v>
      </c>
    </row>
    <row r="705" spans="1:6" x14ac:dyDescent="0.25">
      <c r="A705" s="20" t="s">
        <v>306</v>
      </c>
      <c r="B705" s="21" t="s">
        <v>307</v>
      </c>
      <c r="C705" s="22" t="s">
        <v>293</v>
      </c>
      <c r="D705" s="23">
        <v>3.6319999999999998E-2</v>
      </c>
      <c r="E705" s="24">
        <f>43995*1.052</f>
        <v>46282.740000000005</v>
      </c>
      <c r="F705" s="25">
        <f>ROUND(D705*E705,0)</f>
        <v>1681</v>
      </c>
    </row>
    <row r="706" spans="1:6" x14ac:dyDescent="0.25">
      <c r="A706" s="20" t="s">
        <v>285</v>
      </c>
      <c r="B706" s="21" t="s">
        <v>286</v>
      </c>
      <c r="C706" s="22" t="s">
        <v>202</v>
      </c>
      <c r="D706" s="23">
        <v>0.02</v>
      </c>
      <c r="E706" s="24">
        <f>16520.1*1.052</f>
        <v>17379.145199999999</v>
      </c>
      <c r="F706" s="25">
        <f>ROUND(D706*E706,0)</f>
        <v>348</v>
      </c>
    </row>
    <row r="707" spans="1:6" ht="14.25" thickBot="1" x14ac:dyDescent="0.3">
      <c r="A707" s="20" t="s">
        <v>302</v>
      </c>
      <c r="B707" s="21" t="s">
        <v>303</v>
      </c>
      <c r="C707" s="22" t="s">
        <v>171</v>
      </c>
      <c r="D707" s="23">
        <v>0.01</v>
      </c>
      <c r="E707" s="24">
        <f>1361.09*1.052</f>
        <v>1431.8666800000001</v>
      </c>
      <c r="F707" s="25">
        <f>ROUND(D707*E707,0)</f>
        <v>14</v>
      </c>
    </row>
    <row r="708" spans="1:6" ht="14.25" thickBot="1" x14ac:dyDescent="0.3">
      <c r="A708" s="26" t="s">
        <v>175</v>
      </c>
      <c r="B708" s="27"/>
      <c r="C708" s="28">
        <v>38.805616913853001</v>
      </c>
      <c r="D708" s="27"/>
      <c r="E708" s="29" t="s">
        <v>148</v>
      </c>
      <c r="F708" s="30">
        <f>SUM(F704:F707)</f>
        <v>5690</v>
      </c>
    </row>
    <row r="709" spans="1:6" x14ac:dyDescent="0.25">
      <c r="A709" s="16" t="s">
        <v>139</v>
      </c>
      <c r="B709" s="17" t="s">
        <v>140</v>
      </c>
      <c r="C709" s="18" t="s">
        <v>3</v>
      </c>
      <c r="D709" s="18" t="s">
        <v>141</v>
      </c>
      <c r="E709" s="18" t="s">
        <v>142</v>
      </c>
      <c r="F709" s="19" t="s">
        <v>143</v>
      </c>
    </row>
    <row r="710" spans="1:6" ht="14.25" thickBot="1" x14ac:dyDescent="0.3">
      <c r="A710" s="20" t="s">
        <v>268</v>
      </c>
      <c r="B710" s="21" t="s">
        <v>269</v>
      </c>
      <c r="C710" s="22" t="s">
        <v>146</v>
      </c>
      <c r="D710" s="23">
        <v>3.0970000000000001E-2</v>
      </c>
      <c r="E710" s="24">
        <f>283800*$J$1</f>
        <v>320693.99999999994</v>
      </c>
      <c r="F710" s="25">
        <f>ROUND(D710*E710,0)</f>
        <v>9932</v>
      </c>
    </row>
    <row r="711" spans="1:6" ht="14.25" thickBot="1" x14ac:dyDescent="0.3">
      <c r="A711" s="26" t="s">
        <v>147</v>
      </c>
      <c r="B711" s="27"/>
      <c r="C711" s="28">
        <v>58.283370148311803</v>
      </c>
      <c r="D711" s="27"/>
      <c r="E711" s="29" t="s">
        <v>148</v>
      </c>
      <c r="F711" s="30">
        <f>SUM(F710)</f>
        <v>9932</v>
      </c>
    </row>
    <row r="712" spans="1:6" x14ac:dyDescent="0.25">
      <c r="A712" s="16" t="s">
        <v>139</v>
      </c>
      <c r="B712" s="17" t="s">
        <v>149</v>
      </c>
      <c r="C712" s="18" t="s">
        <v>3</v>
      </c>
      <c r="D712" s="18" t="s">
        <v>141</v>
      </c>
      <c r="E712" s="18" t="s">
        <v>142</v>
      </c>
      <c r="F712" s="19" t="s">
        <v>143</v>
      </c>
    </row>
    <row r="713" spans="1:6" ht="14.25" thickBot="1" x14ac:dyDescent="0.3">
      <c r="A713" s="20" t="s">
        <v>150</v>
      </c>
      <c r="B713" s="21" t="s">
        <v>151</v>
      </c>
      <c r="C713" s="22" t="s">
        <v>152</v>
      </c>
      <c r="D713" s="23">
        <v>0.05</v>
      </c>
      <c r="E713" s="24">
        <f>F711</f>
        <v>9932</v>
      </c>
      <c r="F713" s="25">
        <f>ROUND(D713*E713,0)</f>
        <v>497</v>
      </c>
    </row>
    <row r="714" spans="1:6" ht="14.25" thickBot="1" x14ac:dyDescent="0.3">
      <c r="A714" s="26" t="s">
        <v>153</v>
      </c>
      <c r="B714" s="27"/>
      <c r="C714" s="28">
        <v>2.91101293783528</v>
      </c>
      <c r="D714" s="27"/>
      <c r="E714" s="29" t="s">
        <v>148</v>
      </c>
      <c r="F714" s="30">
        <f>SUM(F713)</f>
        <v>497</v>
      </c>
    </row>
    <row r="715" spans="1:6" x14ac:dyDescent="0.25">
      <c r="A715" s="16" t="s">
        <v>139</v>
      </c>
      <c r="B715" s="17" t="s">
        <v>292</v>
      </c>
      <c r="C715" s="18" t="s">
        <v>3</v>
      </c>
      <c r="D715" s="18" t="s">
        <v>141</v>
      </c>
      <c r="E715" s="18" t="s">
        <v>142</v>
      </c>
      <c r="F715" s="19" t="s">
        <v>143</v>
      </c>
    </row>
    <row r="716" spans="1:6" ht="14.25" thickBot="1" x14ac:dyDescent="0.3">
      <c r="A716" s="34" t="s">
        <v>191</v>
      </c>
      <c r="B716" s="35" t="s">
        <v>192</v>
      </c>
      <c r="C716" s="36" t="s">
        <v>193</v>
      </c>
      <c r="D716" s="37">
        <f>+D739</f>
        <v>3.0000000000000001E-3</v>
      </c>
      <c r="E716" s="38">
        <f>176630*1.052</f>
        <v>185814.76</v>
      </c>
      <c r="F716" s="25">
        <f>ROUND(D716*E716,0)</f>
        <v>557</v>
      </c>
    </row>
    <row r="717" spans="1:6" ht="15.75" thickBot="1" x14ac:dyDescent="0.3">
      <c r="A717" s="180" t="s">
        <v>168</v>
      </c>
      <c r="B717" s="181"/>
      <c r="C717" s="181"/>
      <c r="D717" s="181"/>
      <c r="E717" s="182">
        <f>F708+F711+F714+F716</f>
        <v>16676</v>
      </c>
      <c r="F717" s="183"/>
    </row>
    <row r="718" spans="1:6" x14ac:dyDescent="0.25">
      <c r="A718" s="31"/>
      <c r="F718" s="32"/>
    </row>
    <row r="719" spans="1:6" ht="15.75" x14ac:dyDescent="0.25">
      <c r="A719" s="184" t="s">
        <v>136</v>
      </c>
      <c r="B719" s="185"/>
      <c r="C719" s="185"/>
      <c r="D719" s="185"/>
      <c r="E719" s="185"/>
      <c r="F719" s="186"/>
    </row>
    <row r="720" spans="1:6" x14ac:dyDescent="0.25">
      <c r="A720" s="174" t="str">
        <f>+'RESUMEN APUS'!B49</f>
        <v>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v>
      </c>
      <c r="B720" s="175"/>
      <c r="C720" s="175"/>
      <c r="D720" s="176"/>
      <c r="E720" s="12" t="s">
        <v>137</v>
      </c>
      <c r="F720" s="13" t="s">
        <v>3</v>
      </c>
    </row>
    <row r="721" spans="1:6" x14ac:dyDescent="0.25">
      <c r="A721" s="177"/>
      <c r="B721" s="178"/>
      <c r="C721" s="178"/>
      <c r="D721" s="179"/>
      <c r="E721" s="14" t="s">
        <v>70</v>
      </c>
      <c r="F721" s="15" t="s">
        <v>138</v>
      </c>
    </row>
    <row r="722" spans="1:6" x14ac:dyDescent="0.25">
      <c r="A722" s="16" t="s">
        <v>139</v>
      </c>
      <c r="B722" s="17" t="s">
        <v>172</v>
      </c>
      <c r="C722" s="18" t="s">
        <v>3</v>
      </c>
      <c r="D722" s="18" t="s">
        <v>141</v>
      </c>
      <c r="E722" s="18" t="s">
        <v>142</v>
      </c>
      <c r="F722" s="19" t="s">
        <v>143</v>
      </c>
    </row>
    <row r="723" spans="1:6" x14ac:dyDescent="0.25">
      <c r="A723" s="20" t="s">
        <v>308</v>
      </c>
      <c r="B723" s="21" t="s">
        <v>309</v>
      </c>
      <c r="C723" s="22" t="s">
        <v>293</v>
      </c>
      <c r="D723" s="23">
        <v>0.05</v>
      </c>
      <c r="E723" s="24">
        <f>123641*1.052</f>
        <v>130070.33200000001</v>
      </c>
      <c r="F723" s="25">
        <f>ROUND(D723*E723,0)</f>
        <v>6504</v>
      </c>
    </row>
    <row r="724" spans="1:6" x14ac:dyDescent="0.25">
      <c r="A724" s="20" t="s">
        <v>310</v>
      </c>
      <c r="B724" s="21" t="s">
        <v>311</v>
      </c>
      <c r="C724" s="22" t="s">
        <v>293</v>
      </c>
      <c r="D724" s="23">
        <v>0.05</v>
      </c>
      <c r="E724" s="24">
        <f>53887.735*1.052</f>
        <v>56689.897220000006</v>
      </c>
      <c r="F724" s="25">
        <f>ROUND(D724*E724,0)</f>
        <v>2834</v>
      </c>
    </row>
    <row r="725" spans="1:6" x14ac:dyDescent="0.25">
      <c r="A725" s="20" t="s">
        <v>312</v>
      </c>
      <c r="B725" s="21" t="s">
        <v>313</v>
      </c>
      <c r="C725" s="22" t="s">
        <v>171</v>
      </c>
      <c r="D725" s="23">
        <v>0.6</v>
      </c>
      <c r="E725" s="24">
        <f>1392.26*1.052</f>
        <v>1464.65752</v>
      </c>
      <c r="F725" s="25">
        <f>ROUND(D725*E725,0)</f>
        <v>879</v>
      </c>
    </row>
    <row r="726" spans="1:6" x14ac:dyDescent="0.25">
      <c r="A726" s="20" t="s">
        <v>285</v>
      </c>
      <c r="B726" s="21" t="s">
        <v>286</v>
      </c>
      <c r="C726" s="22" t="s">
        <v>202</v>
      </c>
      <c r="D726" s="23">
        <v>0.2</v>
      </c>
      <c r="E726" s="24">
        <f>16520.1*1.052</f>
        <v>17379.145199999999</v>
      </c>
      <c r="F726" s="25">
        <f>ROUND(D726*E726,0)</f>
        <v>3476</v>
      </c>
    </row>
    <row r="727" spans="1:6" ht="14.25" thickBot="1" x14ac:dyDescent="0.3">
      <c r="A727" s="20" t="s">
        <v>300</v>
      </c>
      <c r="B727" s="55" t="s">
        <v>540</v>
      </c>
      <c r="C727" s="22" t="s">
        <v>202</v>
      </c>
      <c r="D727" s="23">
        <v>0.3</v>
      </c>
      <c r="E727" s="24">
        <f>1517.979*1.052</f>
        <v>1596.9139080000002</v>
      </c>
      <c r="F727" s="25">
        <f>ROUND(D727*E727,0)</f>
        <v>479</v>
      </c>
    </row>
    <row r="728" spans="1:6" ht="14.25" thickBot="1" x14ac:dyDescent="0.3">
      <c r="A728" s="26" t="s">
        <v>175</v>
      </c>
      <c r="B728" s="27"/>
      <c r="C728" s="28">
        <v>49.602611410729502</v>
      </c>
      <c r="D728" s="27"/>
      <c r="E728" s="29" t="s">
        <v>148</v>
      </c>
      <c r="F728" s="30">
        <f>SUM(F723:F727)</f>
        <v>14172</v>
      </c>
    </row>
    <row r="729" spans="1:6" x14ac:dyDescent="0.25">
      <c r="A729" s="16" t="s">
        <v>139</v>
      </c>
      <c r="B729" s="17" t="s">
        <v>140</v>
      </c>
      <c r="C729" s="18" t="s">
        <v>3</v>
      </c>
      <c r="D729" s="18" t="s">
        <v>141</v>
      </c>
      <c r="E729" s="18" t="s">
        <v>142</v>
      </c>
      <c r="F729" s="19" t="s">
        <v>143</v>
      </c>
    </row>
    <row r="730" spans="1:6" ht="14.25" thickBot="1" x14ac:dyDescent="0.3">
      <c r="A730" s="20" t="s">
        <v>314</v>
      </c>
      <c r="B730" s="21" t="s">
        <v>315</v>
      </c>
      <c r="C730" s="22" t="s">
        <v>146</v>
      </c>
      <c r="D730" s="23">
        <v>7.4097290095645252E-2</v>
      </c>
      <c r="E730" s="24">
        <f>151633.089202223*1.1*$J$1</f>
        <v>188479.92987836318</v>
      </c>
      <c r="F730" s="25">
        <f>ROUND(D730*E730,0)</f>
        <v>13966</v>
      </c>
    </row>
    <row r="731" spans="1:6" ht="14.25" thickBot="1" x14ac:dyDescent="0.3">
      <c r="A731" s="26" t="s">
        <v>147</v>
      </c>
      <c r="B731" s="27"/>
      <c r="C731" s="28">
        <v>46.362002081559297</v>
      </c>
      <c r="D731" s="27"/>
      <c r="E731" s="29" t="s">
        <v>148</v>
      </c>
      <c r="F731" s="30">
        <f>SUM(F730)</f>
        <v>13966</v>
      </c>
    </row>
    <row r="732" spans="1:6" x14ac:dyDescent="0.25">
      <c r="A732" s="16" t="s">
        <v>139</v>
      </c>
      <c r="B732" s="17" t="s">
        <v>149</v>
      </c>
      <c r="C732" s="18" t="s">
        <v>3</v>
      </c>
      <c r="D732" s="18" t="s">
        <v>141</v>
      </c>
      <c r="E732" s="18" t="s">
        <v>142</v>
      </c>
      <c r="F732" s="19" t="s">
        <v>143</v>
      </c>
    </row>
    <row r="733" spans="1:6" ht="14.25" thickBot="1" x14ac:dyDescent="0.3">
      <c r="A733" s="20" t="s">
        <v>150</v>
      </c>
      <c r="B733" s="21" t="s">
        <v>151</v>
      </c>
      <c r="C733" s="22" t="s">
        <v>152</v>
      </c>
      <c r="D733" s="23">
        <v>0.05</v>
      </c>
      <c r="E733" s="24">
        <f>F731</f>
        <v>13966</v>
      </c>
      <c r="F733" s="25">
        <f>ROUND(D733*E733,0)</f>
        <v>698</v>
      </c>
    </row>
    <row r="734" spans="1:6" ht="14.25" thickBot="1" x14ac:dyDescent="0.3">
      <c r="A734" s="26" t="s">
        <v>153</v>
      </c>
      <c r="B734" s="27"/>
      <c r="C734" s="28">
        <v>2.3181001040779599</v>
      </c>
      <c r="D734" s="27"/>
      <c r="E734" s="29" t="s">
        <v>148</v>
      </c>
      <c r="F734" s="30">
        <f>SUM(F733)</f>
        <v>698</v>
      </c>
    </row>
    <row r="735" spans="1:6" x14ac:dyDescent="0.25">
      <c r="A735" s="16" t="s">
        <v>139</v>
      </c>
      <c r="B735" s="17" t="s">
        <v>154</v>
      </c>
      <c r="C735" s="18" t="s">
        <v>3</v>
      </c>
      <c r="D735" s="18" t="s">
        <v>141</v>
      </c>
      <c r="E735" s="18" t="s">
        <v>142</v>
      </c>
      <c r="F735" s="19" t="s">
        <v>143</v>
      </c>
    </row>
    <row r="736" spans="1:6" ht="14.25" thickBot="1" x14ac:dyDescent="0.3">
      <c r="A736" s="20" t="s">
        <v>296</v>
      </c>
      <c r="B736" s="21" t="s">
        <v>297</v>
      </c>
      <c r="C736" s="22" t="s">
        <v>157</v>
      </c>
      <c r="D736" s="23">
        <v>1.5630000000000002E-2</v>
      </c>
      <c r="E736" s="24">
        <f>23200*1.052</f>
        <v>24406.400000000001</v>
      </c>
      <c r="F736" s="25">
        <f>ROUND(D736*E736,0)</f>
        <v>381</v>
      </c>
    </row>
    <row r="737" spans="1:16" ht="14.25" thickBot="1" x14ac:dyDescent="0.3">
      <c r="A737" s="26" t="s">
        <v>160</v>
      </c>
      <c r="B737" s="27"/>
      <c r="C737" s="28">
        <v>1.71728640363327</v>
      </c>
      <c r="D737" s="27"/>
      <c r="E737" s="29" t="s">
        <v>148</v>
      </c>
      <c r="F737" s="30">
        <f>SUM(F736)</f>
        <v>381</v>
      </c>
    </row>
    <row r="738" spans="1:16" x14ac:dyDescent="0.25">
      <c r="A738" s="16" t="s">
        <v>139</v>
      </c>
      <c r="B738" s="17" t="s">
        <v>292</v>
      </c>
      <c r="C738" s="18" t="s">
        <v>3</v>
      </c>
      <c r="D738" s="18" t="s">
        <v>141</v>
      </c>
      <c r="E738" s="18" t="s">
        <v>142</v>
      </c>
      <c r="F738" s="19" t="s">
        <v>143</v>
      </c>
    </row>
    <row r="739" spans="1:16" ht="14.25" thickBot="1" x14ac:dyDescent="0.3">
      <c r="A739" s="34" t="s">
        <v>191</v>
      </c>
      <c r="B739" s="35" t="s">
        <v>192</v>
      </c>
      <c r="C739" s="36" t="s">
        <v>193</v>
      </c>
      <c r="D739" s="37">
        <f>((SUM(D723:D724)*25)+D727+D726)/1000</f>
        <v>3.0000000000000001E-3</v>
      </c>
      <c r="E739" s="38">
        <f>176630*1.052</f>
        <v>185814.76</v>
      </c>
      <c r="F739" s="25">
        <f>ROUND(D739*E739,0)</f>
        <v>557</v>
      </c>
    </row>
    <row r="740" spans="1:16" ht="15.75" thickBot="1" x14ac:dyDescent="0.3">
      <c r="A740" s="180" t="s">
        <v>168</v>
      </c>
      <c r="B740" s="181"/>
      <c r="C740" s="181"/>
      <c r="D740" s="181"/>
      <c r="E740" s="182">
        <f>F728+F731+F734+F737+F739</f>
        <v>29774</v>
      </c>
      <c r="F740" s="183"/>
    </row>
    <row r="741" spans="1:16" x14ac:dyDescent="0.25">
      <c r="A741"/>
      <c r="B741"/>
      <c r="C741"/>
      <c r="D741"/>
      <c r="E741"/>
      <c r="F741"/>
      <c r="G741"/>
      <c r="H741"/>
      <c r="I741"/>
    </row>
    <row r="742" spans="1:16" x14ac:dyDescent="0.25">
      <c r="A742" s="198" t="s">
        <v>136</v>
      </c>
      <c r="B742" s="199"/>
      <c r="C742" s="199"/>
      <c r="D742" s="199"/>
      <c r="E742" s="199"/>
      <c r="F742" s="200"/>
      <c r="K742"/>
      <c r="L742"/>
      <c r="M742"/>
      <c r="N742"/>
      <c r="O742"/>
      <c r="P742"/>
    </row>
    <row r="743" spans="1:16" x14ac:dyDescent="0.25">
      <c r="A743" s="174" t="str">
        <f>+'RESUMEN APUS'!B50</f>
        <v xml:space="preserve">Suministro e instalación de salpicadero cerámico para pared en cocina y lavadero de 0,60m de altura. incluye todos los materiales necesarios para su correcta ejecución. </v>
      </c>
      <c r="B743" s="175"/>
      <c r="C743" s="175"/>
      <c r="D743" s="176"/>
      <c r="E743" s="12" t="s">
        <v>137</v>
      </c>
      <c r="F743" s="13" t="s">
        <v>3</v>
      </c>
      <c r="K743"/>
      <c r="L743"/>
      <c r="M743"/>
      <c r="N743"/>
      <c r="O743"/>
      <c r="P743"/>
    </row>
    <row r="744" spans="1:16" x14ac:dyDescent="0.25">
      <c r="A744" s="177"/>
      <c r="B744" s="178"/>
      <c r="C744" s="178"/>
      <c r="D744" s="179"/>
      <c r="E744" s="14" t="s">
        <v>628</v>
      </c>
      <c r="F744" s="15" t="s">
        <v>86</v>
      </c>
      <c r="K744"/>
      <c r="L744"/>
      <c r="M744"/>
      <c r="N744"/>
      <c r="O744"/>
      <c r="P744"/>
    </row>
    <row r="745" spans="1:16" x14ac:dyDescent="0.25">
      <c r="A745" s="16" t="s">
        <v>139</v>
      </c>
      <c r="B745" s="17" t="s">
        <v>172</v>
      </c>
      <c r="C745" s="18" t="s">
        <v>3</v>
      </c>
      <c r="D745" s="18" t="s">
        <v>141</v>
      </c>
      <c r="E745" s="18" t="s">
        <v>142</v>
      </c>
      <c r="F745" s="19" t="s">
        <v>143</v>
      </c>
      <c r="K745"/>
      <c r="L745"/>
      <c r="M745"/>
      <c r="N745"/>
      <c r="O745"/>
      <c r="P745"/>
    </row>
    <row r="746" spans="1:16" x14ac:dyDescent="0.25">
      <c r="A746" s="21" t="s">
        <v>630</v>
      </c>
      <c r="B746" s="21" t="s">
        <v>630</v>
      </c>
      <c r="C746" s="22" t="s">
        <v>631</v>
      </c>
      <c r="D746" s="23">
        <v>0.63</v>
      </c>
      <c r="E746" s="24">
        <f>(1.08*37050)*1.052</f>
        <v>42094.728000000003</v>
      </c>
      <c r="F746" s="40">
        <f>ROUND(D746*E746,0)</f>
        <v>26520</v>
      </c>
      <c r="K746"/>
      <c r="L746"/>
      <c r="M746"/>
      <c r="N746"/>
      <c r="O746"/>
      <c r="P746"/>
    </row>
    <row r="747" spans="1:16" x14ac:dyDescent="0.25">
      <c r="A747" s="20" t="s">
        <v>534</v>
      </c>
      <c r="B747" s="55" t="s">
        <v>282</v>
      </c>
      <c r="C747" s="22" t="s">
        <v>632</v>
      </c>
      <c r="D747" s="23">
        <v>0.18</v>
      </c>
      <c r="E747" s="24">
        <f>(1.039*5500)*1.052</f>
        <v>6011.6540000000005</v>
      </c>
      <c r="F747" s="40">
        <f>ROUND(D747*E747,0)</f>
        <v>1082</v>
      </c>
      <c r="K747"/>
      <c r="L747"/>
      <c r="M747"/>
      <c r="N747"/>
      <c r="O747"/>
      <c r="P747"/>
    </row>
    <row r="748" spans="1:16" ht="27.75" thickBot="1" x14ac:dyDescent="0.3">
      <c r="A748" s="20" t="s">
        <v>264</v>
      </c>
      <c r="B748" s="55" t="s">
        <v>281</v>
      </c>
      <c r="C748" s="22" t="s">
        <v>632</v>
      </c>
      <c r="D748" s="23">
        <v>0.15</v>
      </c>
      <c r="E748" s="24">
        <f>(1.039*1158)*1.052</f>
        <v>1265.726424</v>
      </c>
      <c r="F748" s="40">
        <f>ROUND(D748*E748,0)</f>
        <v>190</v>
      </c>
      <c r="K748"/>
      <c r="L748"/>
      <c r="M748"/>
      <c r="N748"/>
      <c r="O748"/>
      <c r="P748"/>
    </row>
    <row r="749" spans="1:16" ht="14.25" thickBot="1" x14ac:dyDescent="0.3">
      <c r="A749" s="26" t="s">
        <v>175</v>
      </c>
      <c r="B749" s="27"/>
      <c r="C749" s="28">
        <v>49.602611410729502</v>
      </c>
      <c r="D749" s="27"/>
      <c r="E749" s="29" t="s">
        <v>148</v>
      </c>
      <c r="F749" s="30">
        <f>SUM(F746:F748)</f>
        <v>27792</v>
      </c>
      <c r="K749"/>
      <c r="L749"/>
      <c r="M749"/>
      <c r="N749"/>
      <c r="O749"/>
      <c r="P749"/>
    </row>
    <row r="750" spans="1:16" x14ac:dyDescent="0.25">
      <c r="A750" s="16" t="s">
        <v>139</v>
      </c>
      <c r="B750" s="17" t="s">
        <v>140</v>
      </c>
      <c r="C750" s="18" t="s">
        <v>3</v>
      </c>
      <c r="D750" s="18" t="s">
        <v>141</v>
      </c>
      <c r="E750" s="18" t="s">
        <v>142</v>
      </c>
      <c r="F750" s="19" t="s">
        <v>143</v>
      </c>
      <c r="K750"/>
      <c r="L750"/>
      <c r="M750"/>
      <c r="N750"/>
      <c r="O750"/>
      <c r="P750"/>
    </row>
    <row r="751" spans="1:16" ht="14.25" thickBot="1" x14ac:dyDescent="0.3">
      <c r="A751" s="20" t="s">
        <v>268</v>
      </c>
      <c r="B751" s="21" t="s">
        <v>269</v>
      </c>
      <c r="C751" s="22" t="s">
        <v>146</v>
      </c>
      <c r="D751" s="23">
        <v>9.7270668554503142E-2</v>
      </c>
      <c r="E751" s="24">
        <f>283800*$J$1</f>
        <v>320693.99999999994</v>
      </c>
      <c r="F751" s="40">
        <f>ROUND(D751*E751,0)</f>
        <v>31194</v>
      </c>
      <c r="K751"/>
      <c r="L751"/>
      <c r="M751"/>
      <c r="N751"/>
      <c r="O751"/>
      <c r="P751"/>
    </row>
    <row r="752" spans="1:16" ht="14.25" thickBot="1" x14ac:dyDescent="0.3">
      <c r="A752" s="26" t="s">
        <v>147</v>
      </c>
      <c r="B752" s="27"/>
      <c r="C752" s="28">
        <v>46.362002081559297</v>
      </c>
      <c r="D752" s="27"/>
      <c r="E752" s="29" t="s">
        <v>148</v>
      </c>
      <c r="F752" s="30">
        <f>SUM(F751)</f>
        <v>31194</v>
      </c>
      <c r="K752"/>
      <c r="L752"/>
      <c r="M752"/>
      <c r="N752"/>
      <c r="O752"/>
      <c r="P752"/>
    </row>
    <row r="753" spans="1:16" x14ac:dyDescent="0.25">
      <c r="A753" s="16" t="s">
        <v>139</v>
      </c>
      <c r="B753" s="17" t="s">
        <v>149</v>
      </c>
      <c r="C753" s="18" t="s">
        <v>3</v>
      </c>
      <c r="D753" s="18" t="s">
        <v>141</v>
      </c>
      <c r="E753" s="18" t="s">
        <v>142</v>
      </c>
      <c r="F753" s="19" t="s">
        <v>143</v>
      </c>
      <c r="K753"/>
      <c r="L753"/>
      <c r="M753"/>
      <c r="N753"/>
      <c r="O753"/>
      <c r="P753"/>
    </row>
    <row r="754" spans="1:16" ht="14.25" thickBot="1" x14ac:dyDescent="0.3">
      <c r="A754" s="20" t="s">
        <v>150</v>
      </c>
      <c r="B754" s="21" t="s">
        <v>151</v>
      </c>
      <c r="C754" s="22" t="s">
        <v>152</v>
      </c>
      <c r="D754" s="23">
        <v>0.05</v>
      </c>
      <c r="E754" s="24">
        <f>F752</f>
        <v>31194</v>
      </c>
      <c r="F754" s="40">
        <f>ROUND(D754*E754,0)</f>
        <v>1560</v>
      </c>
      <c r="K754"/>
      <c r="L754"/>
      <c r="M754"/>
      <c r="N754"/>
      <c r="O754"/>
      <c r="P754"/>
    </row>
    <row r="755" spans="1:16" ht="14.25" thickBot="1" x14ac:dyDescent="0.3">
      <c r="A755" s="26" t="s">
        <v>153</v>
      </c>
      <c r="B755" s="27"/>
      <c r="C755" s="28">
        <v>2.3181001040779599</v>
      </c>
      <c r="D755" s="27"/>
      <c r="E755" s="29" t="s">
        <v>148</v>
      </c>
      <c r="F755" s="30">
        <f>SUM(F754)</f>
        <v>1560</v>
      </c>
      <c r="K755"/>
      <c r="L755"/>
      <c r="M755"/>
      <c r="N755"/>
      <c r="O755"/>
      <c r="P755"/>
    </row>
    <row r="756" spans="1:16" x14ac:dyDescent="0.25">
      <c r="A756" s="16" t="s">
        <v>139</v>
      </c>
      <c r="B756" s="17" t="s">
        <v>154</v>
      </c>
      <c r="C756" s="18" t="s">
        <v>3</v>
      </c>
      <c r="D756" s="18" t="s">
        <v>141</v>
      </c>
      <c r="E756" s="18" t="s">
        <v>142</v>
      </c>
      <c r="F756" s="19" t="s">
        <v>143</v>
      </c>
      <c r="K756"/>
      <c r="L756"/>
      <c r="M756"/>
      <c r="N756"/>
      <c r="O756"/>
      <c r="P756"/>
    </row>
    <row r="757" spans="1:16" x14ac:dyDescent="0.25">
      <c r="A757" s="20" t="s">
        <v>272</v>
      </c>
      <c r="B757" s="21" t="s">
        <v>273</v>
      </c>
      <c r="C757" s="22" t="s">
        <v>157</v>
      </c>
      <c r="D757" s="23">
        <v>2.5000000000000001E-2</v>
      </c>
      <c r="E757" s="24">
        <f>1621*1.052</f>
        <v>1705.2920000000001</v>
      </c>
      <c r="F757" s="40">
        <f>ROUND(D757*E757,0)</f>
        <v>43</v>
      </c>
      <c r="K757"/>
      <c r="L757"/>
      <c r="M757"/>
      <c r="N757"/>
      <c r="O757"/>
      <c r="P757"/>
    </row>
    <row r="758" spans="1:16" ht="14.25" thickBot="1" x14ac:dyDescent="0.3">
      <c r="A758" s="20" t="s">
        <v>270</v>
      </c>
      <c r="B758" s="21" t="s">
        <v>271</v>
      </c>
      <c r="C758" s="22" t="s">
        <v>157</v>
      </c>
      <c r="D758" s="23">
        <v>0.125</v>
      </c>
      <c r="E758" s="24">
        <f>8768*1.052</f>
        <v>9223.9359999999997</v>
      </c>
      <c r="F758" s="40">
        <f>ROUND(D758*E758,0)</f>
        <v>1153</v>
      </c>
      <c r="K758"/>
      <c r="L758"/>
      <c r="M758"/>
      <c r="N758"/>
      <c r="O758"/>
      <c r="P758"/>
    </row>
    <row r="759" spans="1:16" ht="14.25" thickBot="1" x14ac:dyDescent="0.3">
      <c r="A759" s="26" t="s">
        <v>160</v>
      </c>
      <c r="B759" s="27"/>
      <c r="C759" s="28">
        <v>1.71728640363327</v>
      </c>
      <c r="D759" s="27"/>
      <c r="E759" s="29" t="s">
        <v>148</v>
      </c>
      <c r="F759" s="30">
        <f>SUM(F757)</f>
        <v>43</v>
      </c>
      <c r="K759"/>
      <c r="L759"/>
      <c r="M759"/>
      <c r="N759"/>
      <c r="O759"/>
      <c r="P759"/>
    </row>
    <row r="760" spans="1:16" x14ac:dyDescent="0.25">
      <c r="A760" s="16" t="s">
        <v>139</v>
      </c>
      <c r="B760" s="17" t="s">
        <v>292</v>
      </c>
      <c r="C760" s="18" t="s">
        <v>3</v>
      </c>
      <c r="D760" s="18" t="s">
        <v>141</v>
      </c>
      <c r="E760" s="18" t="s">
        <v>142</v>
      </c>
      <c r="F760" s="19" t="s">
        <v>143</v>
      </c>
      <c r="K760"/>
      <c r="L760"/>
      <c r="M760"/>
      <c r="N760"/>
      <c r="O760"/>
      <c r="P760"/>
    </row>
    <row r="761" spans="1:16" ht="14.25" thickBot="1" x14ac:dyDescent="0.3">
      <c r="A761" s="34" t="s">
        <v>191</v>
      </c>
      <c r="B761" s="35" t="s">
        <v>192</v>
      </c>
      <c r="C761" s="36" t="s">
        <v>193</v>
      </c>
      <c r="D761" s="37">
        <v>0.01</v>
      </c>
      <c r="E761" s="38">
        <f>176630*1.052</f>
        <v>185814.76</v>
      </c>
      <c r="F761" s="40">
        <f>ROUND(D761*E761,0)</f>
        <v>1858</v>
      </c>
      <c r="K761"/>
      <c r="L761"/>
      <c r="M761"/>
      <c r="N761"/>
      <c r="O761"/>
      <c r="P761"/>
    </row>
    <row r="762" spans="1:16" ht="14.25" thickBot="1" x14ac:dyDescent="0.3">
      <c r="A762" s="201" t="s">
        <v>168</v>
      </c>
      <c r="B762" s="202"/>
      <c r="C762" s="202"/>
      <c r="D762" s="202"/>
      <c r="E762" s="182">
        <f>+F749+F752+F755+F759+F761</f>
        <v>62447</v>
      </c>
      <c r="F762" s="183"/>
      <c r="K762"/>
      <c r="L762"/>
      <c r="M762"/>
      <c r="N762"/>
      <c r="O762"/>
      <c r="P762"/>
    </row>
    <row r="763" spans="1:16" x14ac:dyDescent="0.25">
      <c r="A763"/>
      <c r="B763"/>
      <c r="C763"/>
      <c r="D763"/>
      <c r="E763"/>
      <c r="F763"/>
      <c r="G763"/>
      <c r="H763"/>
      <c r="I763"/>
    </row>
    <row r="764" spans="1:16" ht="15.75" x14ac:dyDescent="0.25">
      <c r="A764" s="184" t="s">
        <v>136</v>
      </c>
      <c r="B764" s="185"/>
      <c r="C764" s="185"/>
      <c r="D764" s="185"/>
      <c r="E764" s="185"/>
      <c r="F764" s="186"/>
      <c r="G764"/>
      <c r="H764"/>
      <c r="I764"/>
    </row>
    <row r="765" spans="1:16" x14ac:dyDescent="0.25">
      <c r="A765" s="174" t="str">
        <f>+'RESUMEN APUS'!B52</f>
        <v>Suministro e instalación de COMBO SANITARIO tipo Acuacer o similar.  Incluye los accesorios para baño, jabonera, papelera, toallera y todos los demás elementos necesarios para su correcta construcción y funcionamiento.</v>
      </c>
      <c r="B765" s="175"/>
      <c r="C765" s="175"/>
      <c r="D765" s="176"/>
      <c r="E765" s="12" t="s">
        <v>137</v>
      </c>
      <c r="F765" s="13" t="s">
        <v>3</v>
      </c>
      <c r="G765"/>
      <c r="H765"/>
      <c r="I765"/>
    </row>
    <row r="766" spans="1:16" x14ac:dyDescent="0.25">
      <c r="A766" s="177"/>
      <c r="B766" s="178"/>
      <c r="C766" s="178"/>
      <c r="D766" s="179"/>
      <c r="E766" s="14" t="s">
        <v>73</v>
      </c>
      <c r="F766" s="15" t="s">
        <v>171</v>
      </c>
      <c r="G766"/>
      <c r="H766"/>
      <c r="I766"/>
    </row>
    <row r="767" spans="1:16" x14ac:dyDescent="0.25">
      <c r="A767" s="16" t="s">
        <v>139</v>
      </c>
      <c r="B767" s="17" t="s">
        <v>172</v>
      </c>
      <c r="C767" s="18" t="s">
        <v>3</v>
      </c>
      <c r="D767" s="18" t="s">
        <v>141</v>
      </c>
      <c r="E767" s="18" t="s">
        <v>142</v>
      </c>
      <c r="F767" s="19" t="s">
        <v>143</v>
      </c>
      <c r="G767"/>
      <c r="H767"/>
      <c r="I767"/>
    </row>
    <row r="768" spans="1:16" x14ac:dyDescent="0.25">
      <c r="A768" s="20" t="s">
        <v>541</v>
      </c>
      <c r="B768" s="21" t="s">
        <v>541</v>
      </c>
      <c r="C768" s="22" t="s">
        <v>171</v>
      </c>
      <c r="D768" s="23">
        <v>1</v>
      </c>
      <c r="E768" s="24">
        <f>480000*1.052</f>
        <v>504960</v>
      </c>
      <c r="F768" s="25">
        <f t="shared" ref="F768:F775" si="0">ROUND(D768*E768,0)</f>
        <v>504960</v>
      </c>
      <c r="G768"/>
      <c r="H768"/>
      <c r="I768"/>
    </row>
    <row r="769" spans="1:9" x14ac:dyDescent="0.25">
      <c r="A769" s="20" t="s">
        <v>316</v>
      </c>
      <c r="B769" s="55" t="s">
        <v>532</v>
      </c>
      <c r="C769" s="22" t="s">
        <v>171</v>
      </c>
      <c r="D769" s="23">
        <v>0.03</v>
      </c>
      <c r="E769" s="24">
        <f>77405.5*1.052</f>
        <v>81430.58600000001</v>
      </c>
      <c r="F769" s="25">
        <f t="shared" si="0"/>
        <v>2443</v>
      </c>
      <c r="G769"/>
      <c r="H769"/>
      <c r="I769"/>
    </row>
    <row r="770" spans="1:9" ht="27" x14ac:dyDescent="0.25">
      <c r="A770" s="20" t="s">
        <v>358</v>
      </c>
      <c r="B770" s="21" t="s">
        <v>317</v>
      </c>
      <c r="C770" s="22" t="s">
        <v>171</v>
      </c>
      <c r="D770" s="23">
        <v>0.3</v>
      </c>
      <c r="E770" s="24">
        <f>26962.05*1.052</f>
        <v>28364.0766</v>
      </c>
      <c r="F770" s="25">
        <f t="shared" si="0"/>
        <v>8509</v>
      </c>
      <c r="G770"/>
      <c r="H770"/>
      <c r="I770"/>
    </row>
    <row r="771" spans="1:9" x14ac:dyDescent="0.25">
      <c r="A771" s="20" t="s">
        <v>318</v>
      </c>
      <c r="B771" s="21" t="s">
        <v>319</v>
      </c>
      <c r="C771" s="22" t="s">
        <v>171</v>
      </c>
      <c r="D771" s="23">
        <v>4</v>
      </c>
      <c r="E771" s="24">
        <f>3667.67*1.052</f>
        <v>3858.3888400000001</v>
      </c>
      <c r="F771" s="25">
        <f t="shared" si="0"/>
        <v>15434</v>
      </c>
      <c r="G771"/>
      <c r="H771"/>
      <c r="I771"/>
    </row>
    <row r="772" spans="1:9" ht="27" x14ac:dyDescent="0.25">
      <c r="A772" s="20" t="s">
        <v>320</v>
      </c>
      <c r="B772" s="21" t="s">
        <v>321</v>
      </c>
      <c r="C772" s="22" t="s">
        <v>171</v>
      </c>
      <c r="D772" s="23">
        <v>1</v>
      </c>
      <c r="E772" s="24">
        <f>46734.22*1.052</f>
        <v>49164.399440000001</v>
      </c>
      <c r="F772" s="25">
        <f t="shared" si="0"/>
        <v>49164</v>
      </c>
    </row>
    <row r="773" spans="1:9" x14ac:dyDescent="0.25">
      <c r="A773" s="20" t="s">
        <v>322</v>
      </c>
      <c r="B773" s="21" t="s">
        <v>323</v>
      </c>
      <c r="C773" s="22" t="s">
        <v>171</v>
      </c>
      <c r="D773" s="23">
        <v>0.03</v>
      </c>
      <c r="E773" s="24">
        <f>162567.135+1.052</f>
        <v>162568.18700000001</v>
      </c>
      <c r="F773" s="25">
        <f t="shared" si="0"/>
        <v>4877</v>
      </c>
    </row>
    <row r="774" spans="1:9" x14ac:dyDescent="0.25">
      <c r="A774" s="20" t="s">
        <v>324</v>
      </c>
      <c r="B774" s="21" t="s">
        <v>325</v>
      </c>
      <c r="C774" s="22" t="s">
        <v>171</v>
      </c>
      <c r="D774" s="23">
        <v>2</v>
      </c>
      <c r="E774" s="24">
        <f>13507*1.052</f>
        <v>14209.364000000001</v>
      </c>
      <c r="F774" s="25">
        <f t="shared" si="0"/>
        <v>28419</v>
      </c>
    </row>
    <row r="775" spans="1:9" ht="14.25" thickBot="1" x14ac:dyDescent="0.3">
      <c r="A775" s="20" t="s">
        <v>285</v>
      </c>
      <c r="B775" s="21" t="s">
        <v>286</v>
      </c>
      <c r="C775" s="22" t="s">
        <v>202</v>
      </c>
      <c r="D775" s="23">
        <v>0.1</v>
      </c>
      <c r="E775" s="24">
        <f>16520.1*1.052</f>
        <v>17379.145199999999</v>
      </c>
      <c r="F775" s="25">
        <f t="shared" si="0"/>
        <v>1738</v>
      </c>
    </row>
    <row r="776" spans="1:9" ht="14.25" thickBot="1" x14ac:dyDescent="0.3">
      <c r="A776" s="26" t="s">
        <v>175</v>
      </c>
      <c r="B776" s="27"/>
      <c r="C776" s="28">
        <v>72.861018512455999</v>
      </c>
      <c r="D776" s="27"/>
      <c r="E776" s="29" t="s">
        <v>148</v>
      </c>
      <c r="F776" s="30">
        <f>SUM(F768:F775)</f>
        <v>615544</v>
      </c>
    </row>
    <row r="777" spans="1:9" x14ac:dyDescent="0.25">
      <c r="A777" s="16" t="s">
        <v>139</v>
      </c>
      <c r="B777" s="17" t="s">
        <v>140</v>
      </c>
      <c r="C777" s="18" t="s">
        <v>3</v>
      </c>
      <c r="D777" s="18" t="s">
        <v>141</v>
      </c>
      <c r="E777" s="18" t="s">
        <v>142</v>
      </c>
      <c r="F777" s="19" t="s">
        <v>143</v>
      </c>
    </row>
    <row r="778" spans="1:9" ht="14.25" thickBot="1" x14ac:dyDescent="0.3">
      <c r="A778" s="20" t="s">
        <v>289</v>
      </c>
      <c r="B778" s="21" t="s">
        <v>290</v>
      </c>
      <c r="C778" s="22" t="s">
        <v>146</v>
      </c>
      <c r="D778" s="23">
        <v>0.67817598187566497</v>
      </c>
      <c r="E778" s="24">
        <f>283800*$J$1</f>
        <v>320693.99999999994</v>
      </c>
      <c r="F778" s="25">
        <f>ROUND(D778*E778,0)</f>
        <v>217487</v>
      </c>
    </row>
    <row r="779" spans="1:9" ht="14.25" thickBot="1" x14ac:dyDescent="0.3">
      <c r="A779" s="26" t="s">
        <v>147</v>
      </c>
      <c r="B779" s="27"/>
      <c r="C779" s="28">
        <v>19.453735940582501</v>
      </c>
      <c r="D779" s="27"/>
      <c r="E779" s="29" t="s">
        <v>148</v>
      </c>
      <c r="F779" s="30">
        <f>SUM(F778)</f>
        <v>217487</v>
      </c>
    </row>
    <row r="780" spans="1:9" x14ac:dyDescent="0.25">
      <c r="A780" s="16" t="s">
        <v>139</v>
      </c>
      <c r="B780" s="17" t="s">
        <v>149</v>
      </c>
      <c r="C780" s="18" t="s">
        <v>3</v>
      </c>
      <c r="D780" s="18" t="s">
        <v>141</v>
      </c>
      <c r="E780" s="18" t="s">
        <v>142</v>
      </c>
      <c r="F780" s="19" t="s">
        <v>143</v>
      </c>
    </row>
    <row r="781" spans="1:9" ht="14.25" thickBot="1" x14ac:dyDescent="0.3">
      <c r="A781" s="20" t="s">
        <v>150</v>
      </c>
      <c r="B781" s="21" t="s">
        <v>151</v>
      </c>
      <c r="C781" s="22" t="s">
        <v>152</v>
      </c>
      <c r="D781" s="23">
        <v>0.05</v>
      </c>
      <c r="E781" s="24">
        <f>F779</f>
        <v>217487</v>
      </c>
      <c r="F781" s="25">
        <f>ROUND(D781*E781,0)</f>
        <v>10874</v>
      </c>
    </row>
    <row r="782" spans="1:9" ht="14.25" thickBot="1" x14ac:dyDescent="0.3">
      <c r="A782" s="26" t="s">
        <v>153</v>
      </c>
      <c r="B782" s="27"/>
      <c r="C782" s="28">
        <v>0.972736615263738</v>
      </c>
      <c r="D782" s="27"/>
      <c r="E782" s="29" t="s">
        <v>148</v>
      </c>
      <c r="F782" s="30">
        <f>SUM(F781)</f>
        <v>10874</v>
      </c>
    </row>
    <row r="783" spans="1:9" x14ac:dyDescent="0.25">
      <c r="A783" s="16" t="s">
        <v>139</v>
      </c>
      <c r="B783" s="17" t="s">
        <v>161</v>
      </c>
      <c r="C783" s="18" t="s">
        <v>3</v>
      </c>
      <c r="D783" s="18" t="s">
        <v>141</v>
      </c>
      <c r="E783" s="18" t="s">
        <v>142</v>
      </c>
      <c r="F783" s="19" t="s">
        <v>143</v>
      </c>
    </row>
    <row r="784" spans="1:9" x14ac:dyDescent="0.25">
      <c r="A784" s="20" t="s">
        <v>184</v>
      </c>
      <c r="B784" s="21" t="s">
        <v>185</v>
      </c>
      <c r="C784" s="22" t="s">
        <v>171</v>
      </c>
      <c r="D784" s="23">
        <v>3</v>
      </c>
      <c r="E784" s="24">
        <f>3140*1.052</f>
        <v>3303.28</v>
      </c>
      <c r="F784" s="25">
        <f>ROUND(D784*E784,0)</f>
        <v>9910</v>
      </c>
    </row>
    <row r="785" spans="1:6" ht="14.25" thickBot="1" x14ac:dyDescent="0.3">
      <c r="A785" s="34" t="s">
        <v>191</v>
      </c>
      <c r="B785" s="35" t="s">
        <v>192</v>
      </c>
      <c r="C785" s="36" t="s">
        <v>193</v>
      </c>
      <c r="D785" s="37">
        <f>(D768*70)/1000</f>
        <v>7.0000000000000007E-2</v>
      </c>
      <c r="E785" s="38">
        <f>196630*1.052</f>
        <v>206854.76</v>
      </c>
      <c r="F785" s="25">
        <f>ROUND(D785*E785,0)</f>
        <v>14480</v>
      </c>
    </row>
    <row r="786" spans="1:6" ht="14.25" thickBot="1" x14ac:dyDescent="0.3">
      <c r="A786" s="26"/>
      <c r="B786" s="27"/>
      <c r="C786" s="28"/>
      <c r="D786" s="27"/>
      <c r="E786" s="29" t="s">
        <v>148</v>
      </c>
      <c r="F786" s="30">
        <f>SUM(F784:F785)</f>
        <v>24390</v>
      </c>
    </row>
    <row r="787" spans="1:6" ht="15.75" thickBot="1" x14ac:dyDescent="0.3">
      <c r="A787" s="180" t="s">
        <v>168</v>
      </c>
      <c r="B787" s="181"/>
      <c r="C787" s="181"/>
      <c r="D787" s="181"/>
      <c r="E787" s="182">
        <f>F776+F779+F782+F786</f>
        <v>868295</v>
      </c>
      <c r="F787" s="183"/>
    </row>
    <row r="788" spans="1:6" x14ac:dyDescent="0.25">
      <c r="A788" s="31"/>
      <c r="F788" s="32"/>
    </row>
    <row r="789" spans="1:6" ht="15.75" x14ac:dyDescent="0.25">
      <c r="A789" s="184" t="s">
        <v>136</v>
      </c>
      <c r="B789" s="185"/>
      <c r="C789" s="185"/>
      <c r="D789" s="185"/>
      <c r="E789" s="185"/>
      <c r="F789" s="186"/>
    </row>
    <row r="790" spans="1:6" x14ac:dyDescent="0.25">
      <c r="A790" s="174" t="str">
        <f>+'RESUMEN APUS'!B53</f>
        <v>Suministro e instalación de SANITARIO INTEGRAL (línea Acuacer o equivalente) color BLANCO, bajo consumo 6lt, diseño de dos piezas, taza redonda, incluye transporte del sanitario, sifón esmaltado, grifería antisifón, anillo abierto, abasto metálico, válvula de regulación metálica con manguera flexible, brida de fijación, tapón roscado y todos los demás elementos necesarios para su correcta instalación y funcionamiento.</v>
      </c>
      <c r="B790" s="175"/>
      <c r="C790" s="175"/>
      <c r="D790" s="176"/>
      <c r="E790" s="12" t="s">
        <v>137</v>
      </c>
      <c r="F790" s="13" t="s">
        <v>3</v>
      </c>
    </row>
    <row r="791" spans="1:6" ht="40.5" customHeight="1" x14ac:dyDescent="0.25">
      <c r="A791" s="177"/>
      <c r="B791" s="178"/>
      <c r="C791" s="178"/>
      <c r="D791" s="179"/>
      <c r="E791" s="14" t="s">
        <v>74</v>
      </c>
      <c r="F791" s="15" t="s">
        <v>171</v>
      </c>
    </row>
    <row r="792" spans="1:6" x14ac:dyDescent="0.25">
      <c r="A792" s="16" t="s">
        <v>139</v>
      </c>
      <c r="B792" s="17" t="s">
        <v>172</v>
      </c>
      <c r="C792" s="18" t="s">
        <v>3</v>
      </c>
      <c r="D792" s="18" t="s">
        <v>141</v>
      </c>
      <c r="E792" s="18" t="s">
        <v>142</v>
      </c>
      <c r="F792" s="19" t="s">
        <v>143</v>
      </c>
    </row>
    <row r="793" spans="1:6" x14ac:dyDescent="0.25">
      <c r="A793" s="20" t="s">
        <v>533</v>
      </c>
      <c r="B793" s="21" t="s">
        <v>326</v>
      </c>
      <c r="C793" s="22" t="s">
        <v>171</v>
      </c>
      <c r="D793" s="23">
        <v>1</v>
      </c>
      <c r="E793" s="24">
        <f>258043*1.052</f>
        <v>271461.23600000003</v>
      </c>
      <c r="F793" s="25">
        <f t="shared" ref="F793:F800" si="1">ROUND(D793*E793,0)</f>
        <v>271461</v>
      </c>
    </row>
    <row r="794" spans="1:6" x14ac:dyDescent="0.25">
      <c r="A794" s="20" t="s">
        <v>316</v>
      </c>
      <c r="B794" s="55" t="s">
        <v>532</v>
      </c>
      <c r="C794" s="22" t="s">
        <v>171</v>
      </c>
      <c r="D794" s="23">
        <v>0.03</v>
      </c>
      <c r="E794" s="24">
        <f>77405.5*1.052</f>
        <v>81430.58600000001</v>
      </c>
      <c r="F794" s="25">
        <f t="shared" si="1"/>
        <v>2443</v>
      </c>
    </row>
    <row r="795" spans="1:6" ht="27" x14ac:dyDescent="0.25">
      <c r="A795" s="54" t="s">
        <v>358</v>
      </c>
      <c r="B795" s="21" t="s">
        <v>317</v>
      </c>
      <c r="C795" s="22" t="s">
        <v>171</v>
      </c>
      <c r="D795" s="23">
        <v>0.3</v>
      </c>
      <c r="E795" s="24">
        <f>26962.05*1.052</f>
        <v>28364.0766</v>
      </c>
      <c r="F795" s="25">
        <f t="shared" si="1"/>
        <v>8509</v>
      </c>
    </row>
    <row r="796" spans="1:6" x14ac:dyDescent="0.25">
      <c r="A796" s="20" t="s">
        <v>318</v>
      </c>
      <c r="B796" s="21" t="s">
        <v>319</v>
      </c>
      <c r="C796" s="22" t="s">
        <v>171</v>
      </c>
      <c r="D796" s="23">
        <v>4</v>
      </c>
      <c r="E796" s="24">
        <f>3667.67*1.052</f>
        <v>3858.3888400000001</v>
      </c>
      <c r="F796" s="25">
        <f t="shared" si="1"/>
        <v>15434</v>
      </c>
    </row>
    <row r="797" spans="1:6" ht="27" x14ac:dyDescent="0.25">
      <c r="A797" s="20" t="s">
        <v>320</v>
      </c>
      <c r="B797" s="21" t="s">
        <v>321</v>
      </c>
      <c r="C797" s="22" t="s">
        <v>171</v>
      </c>
      <c r="D797" s="23">
        <v>1</v>
      </c>
      <c r="E797" s="24">
        <f>46734.22*1.052</f>
        <v>49164.399440000001</v>
      </c>
      <c r="F797" s="25">
        <f t="shared" si="1"/>
        <v>49164</v>
      </c>
    </row>
    <row r="798" spans="1:6" x14ac:dyDescent="0.25">
      <c r="A798" s="20" t="s">
        <v>322</v>
      </c>
      <c r="B798" s="21" t="s">
        <v>323</v>
      </c>
      <c r="C798" s="22" t="s">
        <v>171</v>
      </c>
      <c r="D798" s="23">
        <v>0.03</v>
      </c>
      <c r="E798" s="24">
        <f>162567.135*1.052</f>
        <v>171020.62602000003</v>
      </c>
      <c r="F798" s="25">
        <f t="shared" si="1"/>
        <v>5131</v>
      </c>
    </row>
    <row r="799" spans="1:6" x14ac:dyDescent="0.25">
      <c r="A799" s="20" t="s">
        <v>324</v>
      </c>
      <c r="B799" s="21" t="s">
        <v>325</v>
      </c>
      <c r="C799" s="22" t="s">
        <v>171</v>
      </c>
      <c r="D799" s="23">
        <v>1</v>
      </c>
      <c r="E799" s="24">
        <f>13507*1.052</f>
        <v>14209.364000000001</v>
      </c>
      <c r="F799" s="25">
        <f t="shared" si="1"/>
        <v>14209</v>
      </c>
    </row>
    <row r="800" spans="1:6" ht="14.25" thickBot="1" x14ac:dyDescent="0.3">
      <c r="A800" s="20" t="s">
        <v>285</v>
      </c>
      <c r="B800" s="21" t="s">
        <v>286</v>
      </c>
      <c r="C800" s="22" t="s">
        <v>202</v>
      </c>
      <c r="D800" s="23">
        <v>0.1</v>
      </c>
      <c r="E800" s="24">
        <f>16520.1*1.052</f>
        <v>17379.145199999999</v>
      </c>
      <c r="F800" s="25">
        <f t="shared" si="1"/>
        <v>1738</v>
      </c>
    </row>
    <row r="801" spans="1:9" ht="14.25" thickBot="1" x14ac:dyDescent="0.3">
      <c r="A801" s="26" t="s">
        <v>175</v>
      </c>
      <c r="B801" s="27"/>
      <c r="C801" s="28">
        <v>81.102278882856098</v>
      </c>
      <c r="D801" s="27"/>
      <c r="E801" s="29" t="s">
        <v>148</v>
      </c>
      <c r="F801" s="30">
        <f>SUM(F793:F800)</f>
        <v>368089</v>
      </c>
    </row>
    <row r="802" spans="1:9" x14ac:dyDescent="0.25">
      <c r="A802" s="16" t="s">
        <v>139</v>
      </c>
      <c r="B802" s="17" t="s">
        <v>140</v>
      </c>
      <c r="C802" s="18" t="s">
        <v>3</v>
      </c>
      <c r="D802" s="18" t="s">
        <v>141</v>
      </c>
      <c r="E802" s="18" t="s">
        <v>142</v>
      </c>
      <c r="F802" s="19" t="s">
        <v>143</v>
      </c>
    </row>
    <row r="803" spans="1:9" ht="14.25" thickBot="1" x14ac:dyDescent="0.3">
      <c r="A803" s="20" t="s">
        <v>289</v>
      </c>
      <c r="B803" s="21" t="s">
        <v>290</v>
      </c>
      <c r="C803" s="22" t="s">
        <v>146</v>
      </c>
      <c r="D803" s="23">
        <v>0.35137651513400098</v>
      </c>
      <c r="E803" s="24">
        <f>283800*$J$1</f>
        <v>320693.99999999994</v>
      </c>
      <c r="F803" s="25">
        <f>ROUND(D803*E803,0)</f>
        <v>112684</v>
      </c>
      <c r="G803" s="127"/>
      <c r="H803" s="127"/>
      <c r="I803" s="127"/>
    </row>
    <row r="804" spans="1:9" ht="14.25" thickBot="1" x14ac:dyDescent="0.3">
      <c r="A804" s="26" t="s">
        <v>147</v>
      </c>
      <c r="B804" s="27"/>
      <c r="C804" s="28">
        <v>17.460097504440601</v>
      </c>
      <c r="D804" s="27"/>
      <c r="E804" s="29" t="s">
        <v>148</v>
      </c>
      <c r="F804" s="30">
        <f>SUM(F803)</f>
        <v>112684</v>
      </c>
    </row>
    <row r="805" spans="1:9" x14ac:dyDescent="0.25">
      <c r="A805" s="16" t="s">
        <v>139</v>
      </c>
      <c r="B805" s="17" t="s">
        <v>149</v>
      </c>
      <c r="C805" s="18" t="s">
        <v>3</v>
      </c>
      <c r="D805" s="18" t="s">
        <v>141</v>
      </c>
      <c r="E805" s="18" t="s">
        <v>142</v>
      </c>
      <c r="F805" s="19" t="s">
        <v>143</v>
      </c>
    </row>
    <row r="806" spans="1:9" ht="14.25" thickBot="1" x14ac:dyDescent="0.3">
      <c r="A806" s="20" t="s">
        <v>150</v>
      </c>
      <c r="B806" s="21" t="s">
        <v>151</v>
      </c>
      <c r="C806" s="22" t="s">
        <v>152</v>
      </c>
      <c r="D806" s="23">
        <v>0.05</v>
      </c>
      <c r="E806" s="24">
        <f>F804</f>
        <v>112684</v>
      </c>
      <c r="F806" s="25">
        <f>ROUND(D806*E806,0)</f>
        <v>5634</v>
      </c>
    </row>
    <row r="807" spans="1:9" ht="14.25" thickBot="1" x14ac:dyDescent="0.3">
      <c r="A807" s="26" t="s">
        <v>153</v>
      </c>
      <c r="B807" s="27"/>
      <c r="C807" s="28">
        <v>0.87300487522202996</v>
      </c>
      <c r="D807" s="27"/>
      <c r="E807" s="29" t="s">
        <v>148</v>
      </c>
      <c r="F807" s="30">
        <f>SUM(F806)</f>
        <v>5634</v>
      </c>
    </row>
    <row r="808" spans="1:9" x14ac:dyDescent="0.25">
      <c r="A808" s="16" t="s">
        <v>139</v>
      </c>
      <c r="B808" s="17" t="s">
        <v>161</v>
      </c>
      <c r="C808" s="18" t="s">
        <v>3</v>
      </c>
      <c r="D808" s="18" t="s">
        <v>141</v>
      </c>
      <c r="E808" s="18" t="s">
        <v>142</v>
      </c>
      <c r="F808" s="19" t="s">
        <v>143</v>
      </c>
    </row>
    <row r="809" spans="1:9" x14ac:dyDescent="0.25">
      <c r="A809" s="20" t="s">
        <v>184</v>
      </c>
      <c r="B809" s="21" t="s">
        <v>185</v>
      </c>
      <c r="C809" s="22" t="s">
        <v>171</v>
      </c>
      <c r="D809" s="23">
        <v>1.0469999999999999</v>
      </c>
      <c r="E809" s="24">
        <f>3140*1.052</f>
        <v>3303.28</v>
      </c>
      <c r="F809" s="25">
        <f>ROUND(D809*E809,0)</f>
        <v>3459</v>
      </c>
    </row>
    <row r="810" spans="1:9" ht="14.25" thickBot="1" x14ac:dyDescent="0.3">
      <c r="A810" s="34" t="s">
        <v>191</v>
      </c>
      <c r="B810" s="35" t="s">
        <v>192</v>
      </c>
      <c r="C810" s="36" t="s">
        <v>193</v>
      </c>
      <c r="D810" s="37">
        <f>(D793*60)/1000</f>
        <v>0.06</v>
      </c>
      <c r="E810" s="38">
        <f>196630*1.052</f>
        <v>206854.76</v>
      </c>
      <c r="F810" s="25">
        <f>ROUND(D810*E810,0)</f>
        <v>12411</v>
      </c>
    </row>
    <row r="811" spans="1:9" ht="14.25" thickBot="1" x14ac:dyDescent="0.3">
      <c r="A811" s="26"/>
      <c r="B811" s="27"/>
      <c r="C811" s="28"/>
      <c r="D811" s="27"/>
      <c r="E811" s="29" t="s">
        <v>148</v>
      </c>
      <c r="F811" s="30">
        <f>SUM(F809:F810)</f>
        <v>15870</v>
      </c>
    </row>
    <row r="812" spans="1:9" ht="15.75" thickBot="1" x14ac:dyDescent="0.3">
      <c r="A812" s="180" t="s">
        <v>168</v>
      </c>
      <c r="B812" s="181"/>
      <c r="C812" s="181"/>
      <c r="D812" s="181"/>
      <c r="E812" s="182">
        <f>F801+F804+F807+F811</f>
        <v>502277</v>
      </c>
      <c r="F812" s="183"/>
    </row>
    <row r="813" spans="1:9" x14ac:dyDescent="0.25">
      <c r="A813" s="31"/>
      <c r="F813" s="32"/>
    </row>
    <row r="814" spans="1:9" ht="15.75" x14ac:dyDescent="0.25">
      <c r="A814" s="184" t="s">
        <v>136</v>
      </c>
      <c r="B814" s="185"/>
      <c r="C814" s="185"/>
      <c r="D814" s="185"/>
      <c r="E814" s="185"/>
      <c r="F814" s="186"/>
    </row>
    <row r="815" spans="1:9" x14ac:dyDescent="0.25">
      <c r="A815" s="174" t="str">
        <f>+'RESUMEN APUS'!B54</f>
        <v>Suministro, transporte y colocación de accesorios para baño tipo mancesa o equivalente. Incluye jabonera, papelera, toallera y todos los demás elementos necesarios para su correcta construcción y funcionamiento.</v>
      </c>
      <c r="B815" s="175"/>
      <c r="C815" s="175"/>
      <c r="D815" s="176"/>
      <c r="E815" s="12" t="s">
        <v>137</v>
      </c>
      <c r="F815" s="13" t="s">
        <v>3</v>
      </c>
    </row>
    <row r="816" spans="1:9" x14ac:dyDescent="0.25">
      <c r="A816" s="177"/>
      <c r="B816" s="178"/>
      <c r="C816" s="178"/>
      <c r="D816" s="179"/>
      <c r="E816" s="14" t="s">
        <v>76</v>
      </c>
      <c r="F816" s="15" t="s">
        <v>327</v>
      </c>
    </row>
    <row r="817" spans="1:6" x14ac:dyDescent="0.25">
      <c r="A817" s="16" t="s">
        <v>139</v>
      </c>
      <c r="B817" s="17" t="s">
        <v>172</v>
      </c>
      <c r="C817" s="18" t="s">
        <v>3</v>
      </c>
      <c r="D817" s="18" t="s">
        <v>141</v>
      </c>
      <c r="E817" s="18" t="s">
        <v>142</v>
      </c>
      <c r="F817" s="19" t="s">
        <v>143</v>
      </c>
    </row>
    <row r="818" spans="1:6" x14ac:dyDescent="0.25">
      <c r="A818" s="20" t="s">
        <v>328</v>
      </c>
      <c r="B818" s="21" t="s">
        <v>329</v>
      </c>
      <c r="C818" s="22" t="s">
        <v>327</v>
      </c>
      <c r="D818" s="23">
        <v>1</v>
      </c>
      <c r="E818" s="24">
        <f>51812*1.052</f>
        <v>54506.224000000002</v>
      </c>
      <c r="F818" s="25">
        <f>ROUND(D818*E818,0)</f>
        <v>54506</v>
      </c>
    </row>
    <row r="819" spans="1:6" ht="29.25" customHeight="1" thickBot="1" x14ac:dyDescent="0.3">
      <c r="A819" s="20" t="s">
        <v>330</v>
      </c>
      <c r="B819" s="21" t="s">
        <v>559</v>
      </c>
      <c r="C819" s="22" t="s">
        <v>202</v>
      </c>
      <c r="D819" s="23">
        <v>3</v>
      </c>
      <c r="E819" s="24">
        <f>2364.764*1.052</f>
        <v>2487.7317280000002</v>
      </c>
      <c r="F819" s="25">
        <f>ROUND(D819*E819,0)</f>
        <v>7463</v>
      </c>
    </row>
    <row r="820" spans="1:6" ht="14.25" thickBot="1" x14ac:dyDescent="0.3">
      <c r="A820" s="26" t="s">
        <v>175</v>
      </c>
      <c r="B820" s="27"/>
      <c r="C820" s="28">
        <v>50.907422649809099</v>
      </c>
      <c r="D820" s="27"/>
      <c r="E820" s="29" t="s">
        <v>148</v>
      </c>
      <c r="F820" s="30">
        <f>SUM(F818:F819)</f>
        <v>61969</v>
      </c>
    </row>
    <row r="821" spans="1:6" x14ac:dyDescent="0.25">
      <c r="A821" s="16" t="s">
        <v>139</v>
      </c>
      <c r="B821" s="17" t="s">
        <v>140</v>
      </c>
      <c r="C821" s="18" t="s">
        <v>3</v>
      </c>
      <c r="D821" s="18" t="s">
        <v>141</v>
      </c>
      <c r="E821" s="18" t="s">
        <v>142</v>
      </c>
      <c r="F821" s="19" t="s">
        <v>143</v>
      </c>
    </row>
    <row r="822" spans="1:6" ht="14.25" thickBot="1" x14ac:dyDescent="0.3">
      <c r="A822" s="20" t="s">
        <v>289</v>
      </c>
      <c r="B822" s="21" t="s">
        <v>290</v>
      </c>
      <c r="C822" s="22" t="s">
        <v>146</v>
      </c>
      <c r="D822" s="23">
        <v>0.15</v>
      </c>
      <c r="E822" s="24">
        <f>283800*$J$1</f>
        <v>320693.99999999994</v>
      </c>
      <c r="F822" s="25">
        <f>ROUND(D822*E822,0)</f>
        <v>48104</v>
      </c>
    </row>
    <row r="823" spans="1:6" ht="14.25" thickBot="1" x14ac:dyDescent="0.3">
      <c r="A823" s="26" t="s">
        <v>147</v>
      </c>
      <c r="B823" s="27"/>
      <c r="C823" s="28">
        <v>46.7541930347722</v>
      </c>
      <c r="D823" s="27"/>
      <c r="E823" s="29" t="s">
        <v>148</v>
      </c>
      <c r="F823" s="30">
        <f>SUM(F822)</f>
        <v>48104</v>
      </c>
    </row>
    <row r="824" spans="1:6" x14ac:dyDescent="0.25">
      <c r="A824" s="16" t="s">
        <v>139</v>
      </c>
      <c r="B824" s="17" t="s">
        <v>149</v>
      </c>
      <c r="C824" s="18" t="s">
        <v>3</v>
      </c>
      <c r="D824" s="18" t="s">
        <v>141</v>
      </c>
      <c r="E824" s="18" t="s">
        <v>142</v>
      </c>
      <c r="F824" s="19" t="s">
        <v>143</v>
      </c>
    </row>
    <row r="825" spans="1:6" ht="14.25" thickBot="1" x14ac:dyDescent="0.3">
      <c r="A825" s="20" t="s">
        <v>150</v>
      </c>
      <c r="B825" s="21" t="s">
        <v>151</v>
      </c>
      <c r="C825" s="22" t="s">
        <v>152</v>
      </c>
      <c r="D825" s="23">
        <v>0.05</v>
      </c>
      <c r="E825" s="24">
        <f>F823</f>
        <v>48104</v>
      </c>
      <c r="F825" s="25">
        <f>ROUND(D825*E825,0)</f>
        <v>2405</v>
      </c>
    </row>
    <row r="826" spans="1:6" ht="14.25" thickBot="1" x14ac:dyDescent="0.3">
      <c r="A826" s="26" t="s">
        <v>153</v>
      </c>
      <c r="B826" s="27"/>
      <c r="C826" s="28">
        <v>2.33838431541876</v>
      </c>
      <c r="D826" s="27"/>
      <c r="E826" s="29" t="s">
        <v>148</v>
      </c>
      <c r="F826" s="30">
        <f>SUM(F825)</f>
        <v>2405</v>
      </c>
    </row>
    <row r="827" spans="1:6" x14ac:dyDescent="0.25">
      <c r="A827" s="20" t="s">
        <v>184</v>
      </c>
      <c r="B827" s="21" t="s">
        <v>185</v>
      </c>
      <c r="C827" s="22" t="s">
        <v>171</v>
      </c>
      <c r="D827" s="23">
        <v>0.3</v>
      </c>
      <c r="E827" s="24">
        <f>2140*1.052</f>
        <v>2251.2800000000002</v>
      </c>
      <c r="F827" s="25">
        <f>ROUND(D827*E827,0)</f>
        <v>675</v>
      </c>
    </row>
    <row r="828" spans="1:6" ht="14.25" thickBot="1" x14ac:dyDescent="0.3">
      <c r="A828" s="34" t="s">
        <v>191</v>
      </c>
      <c r="B828" s="35" t="s">
        <v>192</v>
      </c>
      <c r="C828" s="36" t="s">
        <v>193</v>
      </c>
      <c r="D828" s="37">
        <f>+D819/1000</f>
        <v>3.0000000000000001E-3</v>
      </c>
      <c r="E828" s="38">
        <f>176630*1.052</f>
        <v>185814.76</v>
      </c>
      <c r="F828" s="25">
        <f>ROUND(D828*E828,0)</f>
        <v>557</v>
      </c>
    </row>
    <row r="829" spans="1:6" ht="14.25" thickBot="1" x14ac:dyDescent="0.3">
      <c r="A829" s="26"/>
      <c r="B829" s="27"/>
      <c r="C829" s="28"/>
      <c r="D829" s="27"/>
      <c r="E829" s="29" t="s">
        <v>148</v>
      </c>
      <c r="F829" s="30">
        <f>SUM(F827:F828)</f>
        <v>1232</v>
      </c>
    </row>
    <row r="830" spans="1:6" ht="15.75" thickBot="1" x14ac:dyDescent="0.3">
      <c r="A830" s="180" t="s">
        <v>168</v>
      </c>
      <c r="B830" s="181"/>
      <c r="C830" s="181"/>
      <c r="D830" s="181"/>
      <c r="E830" s="182">
        <f>+F820+F823+F826+F829</f>
        <v>113710</v>
      </c>
      <c r="F830" s="183"/>
    </row>
    <row r="831" spans="1:6" x14ac:dyDescent="0.25">
      <c r="A831" s="31"/>
      <c r="F831" s="32"/>
    </row>
    <row r="832" spans="1:6" ht="15.75" x14ac:dyDescent="0.25">
      <c r="A832" s="184" t="s">
        <v>136</v>
      </c>
      <c r="B832" s="185"/>
      <c r="C832" s="185"/>
      <c r="D832" s="185"/>
      <c r="E832" s="185"/>
      <c r="F832" s="186"/>
    </row>
    <row r="833" spans="1:6" x14ac:dyDescent="0.25">
      <c r="A833" s="174" t="str">
        <f>+'RESUMEN APUS'!B55</f>
        <v xml:space="preserve">Suministro e instalación de teleducha. Incluye todos los elementos necesarios para su correcta instalación. </v>
      </c>
      <c r="B833" s="175"/>
      <c r="C833" s="175"/>
      <c r="D833" s="176"/>
      <c r="E833" s="12" t="s">
        <v>137</v>
      </c>
      <c r="F833" s="13" t="s">
        <v>3</v>
      </c>
    </row>
    <row r="834" spans="1:6" x14ac:dyDescent="0.25">
      <c r="A834" s="177"/>
      <c r="B834" s="178"/>
      <c r="C834" s="178"/>
      <c r="D834" s="179"/>
      <c r="E834" s="14" t="s">
        <v>78</v>
      </c>
      <c r="F834" s="15" t="s">
        <v>171</v>
      </c>
    </row>
    <row r="835" spans="1:6" x14ac:dyDescent="0.25">
      <c r="A835" s="16" t="s">
        <v>139</v>
      </c>
      <c r="B835" s="17" t="s">
        <v>172</v>
      </c>
      <c r="C835" s="18" t="s">
        <v>3</v>
      </c>
      <c r="D835" s="18" t="s">
        <v>141</v>
      </c>
      <c r="E835" s="18" t="s">
        <v>142</v>
      </c>
      <c r="F835" s="19" t="s">
        <v>143</v>
      </c>
    </row>
    <row r="836" spans="1:6" x14ac:dyDescent="0.25">
      <c r="A836" s="20" t="s">
        <v>332</v>
      </c>
      <c r="B836" s="21" t="s">
        <v>333</v>
      </c>
      <c r="C836" s="22" t="s">
        <v>171</v>
      </c>
      <c r="D836" s="23">
        <v>1</v>
      </c>
      <c r="E836" s="24">
        <f>87176*1.052</f>
        <v>91709.152000000002</v>
      </c>
      <c r="F836" s="25">
        <f>ROUND(D836*E836,0)</f>
        <v>91709</v>
      </c>
    </row>
    <row r="837" spans="1:6" ht="14.25" thickBot="1" x14ac:dyDescent="0.3">
      <c r="A837" s="20" t="s">
        <v>334</v>
      </c>
      <c r="B837" s="21" t="s">
        <v>335</v>
      </c>
      <c r="C837" s="22" t="s">
        <v>171</v>
      </c>
      <c r="D837" s="23">
        <v>1</v>
      </c>
      <c r="E837" s="24">
        <f>1958*1.052</f>
        <v>2059.8160000000003</v>
      </c>
      <c r="F837" s="25">
        <f>ROUND(D837*E837,0)</f>
        <v>2060</v>
      </c>
    </row>
    <row r="838" spans="1:6" ht="14.25" thickBot="1" x14ac:dyDescent="0.3">
      <c r="A838" s="26" t="s">
        <v>175</v>
      </c>
      <c r="B838" s="27"/>
      <c r="C838" s="28">
        <v>87.086260124996002</v>
      </c>
      <c r="D838" s="27"/>
      <c r="E838" s="29" t="s">
        <v>148</v>
      </c>
      <c r="F838" s="30">
        <f>SUM(F836:F837)</f>
        <v>93769</v>
      </c>
    </row>
    <row r="839" spans="1:6" x14ac:dyDescent="0.25">
      <c r="A839" s="16" t="s">
        <v>139</v>
      </c>
      <c r="B839" s="17" t="s">
        <v>140</v>
      </c>
      <c r="C839" s="18" t="s">
        <v>3</v>
      </c>
      <c r="D839" s="18" t="s">
        <v>141</v>
      </c>
      <c r="E839" s="18" t="s">
        <v>142</v>
      </c>
      <c r="F839" s="19" t="s">
        <v>143</v>
      </c>
    </row>
    <row r="840" spans="1:6" ht="14.25" thickBot="1" x14ac:dyDescent="0.3">
      <c r="A840" s="20" t="s">
        <v>314</v>
      </c>
      <c r="B840" s="21" t="s">
        <v>315</v>
      </c>
      <c r="C840" s="22" t="s">
        <v>146</v>
      </c>
      <c r="D840" s="23">
        <v>7.0000000000000007E-2</v>
      </c>
      <c r="E840" s="24">
        <f>151633.089202223*1.1*$J$1</f>
        <v>188479.92987836318</v>
      </c>
      <c r="F840" s="25">
        <f>ROUND(D840*E840,0)</f>
        <v>13194</v>
      </c>
    </row>
    <row r="841" spans="1:6" ht="14.25" thickBot="1" x14ac:dyDescent="0.3">
      <c r="A841" s="26" t="s">
        <v>147</v>
      </c>
      <c r="B841" s="27"/>
      <c r="C841" s="28">
        <v>12.298441315362</v>
      </c>
      <c r="D841" s="27"/>
      <c r="E841" s="29" t="s">
        <v>148</v>
      </c>
      <c r="F841" s="30">
        <f>SUM(F840)</f>
        <v>13194</v>
      </c>
    </row>
    <row r="842" spans="1:6" x14ac:dyDescent="0.25">
      <c r="A842" s="16" t="s">
        <v>139</v>
      </c>
      <c r="B842" s="17" t="s">
        <v>149</v>
      </c>
      <c r="C842" s="18" t="s">
        <v>3</v>
      </c>
      <c r="D842" s="18" t="s">
        <v>141</v>
      </c>
      <c r="E842" s="18" t="s">
        <v>142</v>
      </c>
      <c r="F842" s="19" t="s">
        <v>143</v>
      </c>
    </row>
    <row r="843" spans="1:6" ht="14.25" thickBot="1" x14ac:dyDescent="0.3">
      <c r="A843" s="20" t="s">
        <v>150</v>
      </c>
      <c r="B843" s="21" t="s">
        <v>151</v>
      </c>
      <c r="C843" s="22" t="s">
        <v>152</v>
      </c>
      <c r="D843" s="23">
        <v>0.05</v>
      </c>
      <c r="E843" s="24">
        <f>F841</f>
        <v>13194</v>
      </c>
      <c r="F843" s="25">
        <f>ROUND(D843*E843,0)</f>
        <v>660</v>
      </c>
    </row>
    <row r="844" spans="1:6" ht="14.25" thickBot="1" x14ac:dyDescent="0.3">
      <c r="A844" s="26" t="s">
        <v>153</v>
      </c>
      <c r="B844" s="27"/>
      <c r="C844" s="28">
        <v>0.61529855964200797</v>
      </c>
      <c r="D844" s="27"/>
      <c r="E844" s="29" t="s">
        <v>148</v>
      </c>
      <c r="F844" s="30">
        <f>SUM(F843)</f>
        <v>660</v>
      </c>
    </row>
    <row r="845" spans="1:6" x14ac:dyDescent="0.25">
      <c r="A845" s="20" t="s">
        <v>184</v>
      </c>
      <c r="B845" s="21" t="s">
        <v>185</v>
      </c>
      <c r="C845" s="22" t="s">
        <v>171</v>
      </c>
      <c r="D845" s="23">
        <v>0.01</v>
      </c>
      <c r="E845" s="24">
        <f>2140*1.052</f>
        <v>2251.2800000000002</v>
      </c>
      <c r="F845" s="25">
        <f>ROUND(D845*E845,0)</f>
        <v>23</v>
      </c>
    </row>
    <row r="846" spans="1:6" ht="14.25" thickBot="1" x14ac:dyDescent="0.3">
      <c r="A846" s="34" t="s">
        <v>191</v>
      </c>
      <c r="B846" s="35" t="s">
        <v>192</v>
      </c>
      <c r="C846" s="36" t="s">
        <v>193</v>
      </c>
      <c r="D846" s="37">
        <f>+D837/1000</f>
        <v>1E-3</v>
      </c>
      <c r="E846" s="38">
        <f>176630*1.052</f>
        <v>185814.76</v>
      </c>
      <c r="F846" s="25">
        <f>ROUND(D846*E846,0)</f>
        <v>186</v>
      </c>
    </row>
    <row r="847" spans="1:6" ht="14.25" thickBot="1" x14ac:dyDescent="0.3">
      <c r="A847" s="26"/>
      <c r="B847" s="27"/>
      <c r="C847" s="28"/>
      <c r="D847" s="27"/>
      <c r="E847" s="29" t="s">
        <v>148</v>
      </c>
      <c r="F847" s="30">
        <f>SUM(F845:F846)</f>
        <v>209</v>
      </c>
    </row>
    <row r="848" spans="1:6" ht="15.75" thickBot="1" x14ac:dyDescent="0.3">
      <c r="A848" s="180" t="s">
        <v>168</v>
      </c>
      <c r="B848" s="181"/>
      <c r="C848" s="181"/>
      <c r="D848" s="181"/>
      <c r="E848" s="182">
        <f>F838+F841+F844+F847</f>
        <v>107832</v>
      </c>
      <c r="F848" s="183"/>
    </row>
    <row r="849" spans="1:6" x14ac:dyDescent="0.25">
      <c r="A849" s="31"/>
      <c r="F849" s="32"/>
    </row>
    <row r="850" spans="1:6" ht="15.75" x14ac:dyDescent="0.25">
      <c r="A850" s="184" t="s">
        <v>136</v>
      </c>
      <c r="B850" s="185"/>
      <c r="C850" s="185"/>
      <c r="D850" s="185"/>
      <c r="E850" s="185"/>
      <c r="F850" s="186"/>
    </row>
    <row r="851" spans="1:6" x14ac:dyDescent="0.25">
      <c r="A851" s="174" t="str">
        <f>+'RESUMEN APUS'!B56</f>
        <v>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
      <c r="B851" s="175"/>
      <c r="C851" s="175"/>
      <c r="D851" s="176"/>
      <c r="E851" s="12" t="s">
        <v>137</v>
      </c>
      <c r="F851" s="13" t="s">
        <v>3</v>
      </c>
    </row>
    <row r="852" spans="1:6" x14ac:dyDescent="0.25">
      <c r="A852" s="177"/>
      <c r="B852" s="178"/>
      <c r="C852" s="178"/>
      <c r="D852" s="179"/>
      <c r="E852" s="14" t="s">
        <v>80</v>
      </c>
      <c r="F852" s="15" t="s">
        <v>171</v>
      </c>
    </row>
    <row r="853" spans="1:6" x14ac:dyDescent="0.25">
      <c r="A853" s="16" t="s">
        <v>139</v>
      </c>
      <c r="B853" s="17" t="s">
        <v>172</v>
      </c>
      <c r="C853" s="18" t="s">
        <v>3</v>
      </c>
      <c r="D853" s="18" t="s">
        <v>141</v>
      </c>
      <c r="E853" s="18" t="s">
        <v>142</v>
      </c>
      <c r="F853" s="19" t="s">
        <v>143</v>
      </c>
    </row>
    <row r="854" spans="1:6" x14ac:dyDescent="0.25">
      <c r="A854" s="20" t="s">
        <v>336</v>
      </c>
      <c r="B854" s="21" t="s">
        <v>337</v>
      </c>
      <c r="C854" s="22" t="s">
        <v>171</v>
      </c>
      <c r="D854" s="23">
        <v>1</v>
      </c>
      <c r="E854" s="24">
        <f>81277.0004210594*1.052</f>
        <v>85503.404442954503</v>
      </c>
      <c r="F854" s="25">
        <f>ROUND(D854*E854,0)</f>
        <v>85503</v>
      </c>
    </row>
    <row r="855" spans="1:6" x14ac:dyDescent="0.25">
      <c r="A855" s="20" t="s">
        <v>334</v>
      </c>
      <c r="B855" s="21" t="s">
        <v>335</v>
      </c>
      <c r="C855" s="22" t="s">
        <v>171</v>
      </c>
      <c r="D855" s="23">
        <v>1</v>
      </c>
      <c r="E855" s="24">
        <f>1958*1.052</f>
        <v>2059.8160000000003</v>
      </c>
      <c r="F855" s="25">
        <f>ROUND(D855*E855,0)</f>
        <v>2060</v>
      </c>
    </row>
    <row r="856" spans="1:6" ht="14.25" thickBot="1" x14ac:dyDescent="0.3">
      <c r="A856" s="20" t="s">
        <v>338</v>
      </c>
      <c r="B856" s="21" t="s">
        <v>339</v>
      </c>
      <c r="C856" s="22" t="s">
        <v>171</v>
      </c>
      <c r="D856" s="23">
        <v>1</v>
      </c>
      <c r="E856" s="24">
        <f>41452.5*1.052</f>
        <v>43608.03</v>
      </c>
      <c r="F856" s="25">
        <f>ROUND(D856*E856,0)</f>
        <v>43608</v>
      </c>
    </row>
    <row r="857" spans="1:6" ht="14.25" thickBot="1" x14ac:dyDescent="0.3">
      <c r="A857" s="26" t="s">
        <v>175</v>
      </c>
      <c r="B857" s="27"/>
      <c r="C857" s="28">
        <v>55.865436787845901</v>
      </c>
      <c r="D857" s="27"/>
      <c r="E857" s="29" t="s">
        <v>148</v>
      </c>
      <c r="F857" s="30">
        <f>SUM(F854:F856)</f>
        <v>131171</v>
      </c>
    </row>
    <row r="858" spans="1:6" x14ac:dyDescent="0.25">
      <c r="A858" s="16" t="s">
        <v>139</v>
      </c>
      <c r="B858" s="17" t="s">
        <v>140</v>
      </c>
      <c r="C858" s="18" t="s">
        <v>3</v>
      </c>
      <c r="D858" s="18" t="s">
        <v>141</v>
      </c>
      <c r="E858" s="18" t="s">
        <v>142</v>
      </c>
      <c r="F858" s="19" t="s">
        <v>143</v>
      </c>
    </row>
    <row r="859" spans="1:6" ht="14.25" thickBot="1" x14ac:dyDescent="0.3">
      <c r="A859" s="20" t="s">
        <v>314</v>
      </c>
      <c r="B859" s="21" t="s">
        <v>315</v>
      </c>
      <c r="C859" s="22" t="s">
        <v>146</v>
      </c>
      <c r="D859" s="23">
        <v>0.32</v>
      </c>
      <c r="E859" s="24">
        <f>151633.089202223*1.1*$J$1</f>
        <v>188479.92987836318</v>
      </c>
      <c r="F859" s="25">
        <f>ROUND(D859*E859,0)</f>
        <v>60314</v>
      </c>
    </row>
    <row r="860" spans="1:6" ht="14.25" thickBot="1" x14ac:dyDescent="0.3">
      <c r="A860" s="26" t="s">
        <v>147</v>
      </c>
      <c r="B860" s="27"/>
      <c r="C860" s="28">
        <v>35.372038343280899</v>
      </c>
      <c r="D860" s="27"/>
      <c r="E860" s="29" t="s">
        <v>148</v>
      </c>
      <c r="F860" s="30">
        <f>SUM(F859)</f>
        <v>60314</v>
      </c>
    </row>
    <row r="861" spans="1:6" x14ac:dyDescent="0.25">
      <c r="A861" s="16" t="s">
        <v>139</v>
      </c>
      <c r="B861" s="17" t="s">
        <v>149</v>
      </c>
      <c r="C861" s="18" t="s">
        <v>3</v>
      </c>
      <c r="D861" s="18" t="s">
        <v>141</v>
      </c>
      <c r="E861" s="18" t="s">
        <v>142</v>
      </c>
      <c r="F861" s="19" t="s">
        <v>143</v>
      </c>
    </row>
    <row r="862" spans="1:6" ht="14.25" thickBot="1" x14ac:dyDescent="0.3">
      <c r="A862" s="20" t="s">
        <v>150</v>
      </c>
      <c r="B862" s="21" t="s">
        <v>151</v>
      </c>
      <c r="C862" s="22" t="s">
        <v>152</v>
      </c>
      <c r="D862" s="23">
        <v>0.05</v>
      </c>
      <c r="E862" s="24">
        <f>F860</f>
        <v>60314</v>
      </c>
      <c r="F862" s="25">
        <f>ROUND(D862*E862,0)</f>
        <v>3016</v>
      </c>
    </row>
    <row r="863" spans="1:6" ht="14.25" thickBot="1" x14ac:dyDescent="0.3">
      <c r="A863" s="26" t="s">
        <v>153</v>
      </c>
      <c r="B863" s="27"/>
      <c r="C863" s="28">
        <v>1.7688551275094999</v>
      </c>
      <c r="D863" s="27"/>
      <c r="E863" s="29" t="s">
        <v>148</v>
      </c>
      <c r="F863" s="30">
        <f>SUM(F862)</f>
        <v>3016</v>
      </c>
    </row>
    <row r="864" spans="1:6" x14ac:dyDescent="0.25">
      <c r="A864" s="16" t="s">
        <v>139</v>
      </c>
      <c r="B864" s="17" t="s">
        <v>161</v>
      </c>
      <c r="C864" s="18" t="s">
        <v>3</v>
      </c>
      <c r="D864" s="18" t="s">
        <v>141</v>
      </c>
      <c r="E864" s="18" t="s">
        <v>142</v>
      </c>
      <c r="F864" s="19" t="s">
        <v>143</v>
      </c>
    </row>
    <row r="865" spans="1:6" x14ac:dyDescent="0.25">
      <c r="A865" s="20" t="s">
        <v>184</v>
      </c>
      <c r="B865" s="21" t="s">
        <v>185</v>
      </c>
      <c r="C865" s="22" t="s">
        <v>171</v>
      </c>
      <c r="D865" s="23">
        <v>0.1</v>
      </c>
      <c r="E865" s="24">
        <f>2140*1.052</f>
        <v>2251.2800000000002</v>
      </c>
      <c r="F865" s="25">
        <f>ROUND(D865*E865,0)</f>
        <v>225</v>
      </c>
    </row>
    <row r="866" spans="1:6" ht="14.25" thickBot="1" x14ac:dyDescent="0.3">
      <c r="A866" s="34" t="s">
        <v>191</v>
      </c>
      <c r="B866" s="35" t="s">
        <v>192</v>
      </c>
      <c r="C866" s="36" t="s">
        <v>193</v>
      </c>
      <c r="D866" s="37">
        <f>5/1000</f>
        <v>5.0000000000000001E-3</v>
      </c>
      <c r="E866" s="38">
        <f>176630*1.052</f>
        <v>185814.76</v>
      </c>
      <c r="F866" s="25">
        <f>ROUND(D866*E866,0)</f>
        <v>929</v>
      </c>
    </row>
    <row r="867" spans="1:6" ht="14.25" thickBot="1" x14ac:dyDescent="0.3">
      <c r="A867" s="26"/>
      <c r="B867" s="27"/>
      <c r="C867" s="28"/>
      <c r="D867" s="27"/>
      <c r="E867" s="29" t="s">
        <v>148</v>
      </c>
      <c r="F867" s="30">
        <f>SUM(F865:F866)</f>
        <v>1154</v>
      </c>
    </row>
    <row r="868" spans="1:6" ht="15.75" thickBot="1" x14ac:dyDescent="0.3">
      <c r="A868" s="180" t="s">
        <v>168</v>
      </c>
      <c r="B868" s="181"/>
      <c r="C868" s="181"/>
      <c r="D868" s="181"/>
      <c r="E868" s="182">
        <f>+F857+F860+F863+F867</f>
        <v>195655</v>
      </c>
      <c r="F868" s="183"/>
    </row>
    <row r="869" spans="1:6" x14ac:dyDescent="0.25">
      <c r="A869" s="31"/>
      <c r="F869" s="32"/>
    </row>
    <row r="870" spans="1:6" ht="15.75" x14ac:dyDescent="0.25">
      <c r="A870" s="184" t="s">
        <v>136</v>
      </c>
      <c r="B870" s="185"/>
      <c r="C870" s="185"/>
      <c r="D870" s="185"/>
      <c r="E870" s="185"/>
      <c r="F870" s="186"/>
    </row>
    <row r="871" spans="1:6" ht="20.45" customHeight="1" x14ac:dyDescent="0.25">
      <c r="A871" s="174" t="str">
        <f>+'RESUMEN APUS'!B57</f>
        <v>Suministro, transporte y colocación de barra de seguridad para discapacitados, con una longitud de 40 cm. y un diámetro de 1¼" en acero inoxidable. Incluye pernos para anclaje, escudos en acero inoxidable y todos los elementos necesarios para su correcta instalación y funcionamiento.</v>
      </c>
      <c r="B871" s="175"/>
      <c r="C871" s="175"/>
      <c r="D871" s="176"/>
      <c r="E871" s="12" t="s">
        <v>137</v>
      </c>
      <c r="F871" s="13" t="s">
        <v>3</v>
      </c>
    </row>
    <row r="872" spans="1:6" ht="21.6" customHeight="1" x14ac:dyDescent="0.25">
      <c r="A872" s="177"/>
      <c r="B872" s="178"/>
      <c r="C872" s="178"/>
      <c r="D872" s="179"/>
      <c r="E872" s="14" t="s">
        <v>81</v>
      </c>
      <c r="F872" s="15" t="s">
        <v>171</v>
      </c>
    </row>
    <row r="873" spans="1:6" x14ac:dyDescent="0.25">
      <c r="A873" s="16" t="s">
        <v>139</v>
      </c>
      <c r="B873" s="17" t="s">
        <v>172</v>
      </c>
      <c r="C873" s="18" t="s">
        <v>3</v>
      </c>
      <c r="D873" s="18" t="s">
        <v>141</v>
      </c>
      <c r="E873" s="18" t="s">
        <v>142</v>
      </c>
      <c r="F873" s="19" t="s">
        <v>143</v>
      </c>
    </row>
    <row r="874" spans="1:6" x14ac:dyDescent="0.25">
      <c r="A874" s="20" t="s">
        <v>340</v>
      </c>
      <c r="B874" s="21" t="s">
        <v>341</v>
      </c>
      <c r="C874" s="22" t="s">
        <v>171</v>
      </c>
      <c r="D874" s="23">
        <v>1</v>
      </c>
      <c r="E874" s="24">
        <f>86198*1.052</f>
        <v>90680.296000000002</v>
      </c>
      <c r="F874" s="25">
        <f>ROUND(D874*E874,0)</f>
        <v>90680</v>
      </c>
    </row>
    <row r="875" spans="1:6" ht="14.25" thickBot="1" x14ac:dyDescent="0.3">
      <c r="A875" s="20" t="s">
        <v>342</v>
      </c>
      <c r="B875" s="21" t="s">
        <v>343</v>
      </c>
      <c r="C875" s="22" t="s">
        <v>171</v>
      </c>
      <c r="D875" s="23">
        <v>4</v>
      </c>
      <c r="E875" s="24">
        <f>4156*1.052</f>
        <v>4372.1120000000001</v>
      </c>
      <c r="F875" s="25">
        <f>ROUND(D875*E875,0)</f>
        <v>17488</v>
      </c>
    </row>
    <row r="876" spans="1:6" ht="14.25" thickBot="1" x14ac:dyDescent="0.3">
      <c r="A876" s="26" t="s">
        <v>175</v>
      </c>
      <c r="B876" s="27"/>
      <c r="C876" s="28">
        <v>86.186065243656898</v>
      </c>
      <c r="D876" s="27"/>
      <c r="E876" s="29" t="s">
        <v>148</v>
      </c>
      <c r="F876" s="30">
        <f>SUM(F874:F875)</f>
        <v>108168</v>
      </c>
    </row>
    <row r="877" spans="1:6" x14ac:dyDescent="0.25">
      <c r="A877" s="16" t="s">
        <v>139</v>
      </c>
      <c r="B877" s="17" t="s">
        <v>140</v>
      </c>
      <c r="C877" s="18" t="s">
        <v>3</v>
      </c>
      <c r="D877" s="18" t="s">
        <v>141</v>
      </c>
      <c r="E877" s="18" t="s">
        <v>142</v>
      </c>
      <c r="F877" s="19" t="s">
        <v>143</v>
      </c>
    </row>
    <row r="878" spans="1:6" ht="14.25" thickBot="1" x14ac:dyDescent="0.3">
      <c r="A878" s="20" t="s">
        <v>314</v>
      </c>
      <c r="B878" s="21" t="s">
        <v>315</v>
      </c>
      <c r="C878" s="22" t="s">
        <v>146</v>
      </c>
      <c r="D878" s="23">
        <v>0.1</v>
      </c>
      <c r="E878" s="24">
        <f>151633.089202223*1.1*$J$1</f>
        <v>188479.92987836318</v>
      </c>
      <c r="F878" s="25">
        <f>ROUND(D878*E878,0)</f>
        <v>18848</v>
      </c>
    </row>
    <row r="879" spans="1:6" ht="14.25" thickBot="1" x14ac:dyDescent="0.3">
      <c r="A879" s="26" t="s">
        <v>147</v>
      </c>
      <c r="B879" s="27"/>
      <c r="C879" s="28">
        <v>13.1558598469593</v>
      </c>
      <c r="D879" s="27"/>
      <c r="E879" s="29" t="s">
        <v>148</v>
      </c>
      <c r="F879" s="30">
        <f>SUM(F878)</f>
        <v>18848</v>
      </c>
    </row>
    <row r="880" spans="1:6" x14ac:dyDescent="0.25">
      <c r="A880" s="16" t="s">
        <v>139</v>
      </c>
      <c r="B880" s="17" t="s">
        <v>149</v>
      </c>
      <c r="C880" s="18" t="s">
        <v>3</v>
      </c>
      <c r="D880" s="18" t="s">
        <v>141</v>
      </c>
      <c r="E880" s="18" t="s">
        <v>142</v>
      </c>
      <c r="F880" s="19" t="s">
        <v>143</v>
      </c>
    </row>
    <row r="881" spans="1:6" ht="14.25" thickBot="1" x14ac:dyDescent="0.3">
      <c r="A881" s="20" t="s">
        <v>150</v>
      </c>
      <c r="B881" s="21" t="s">
        <v>151</v>
      </c>
      <c r="C881" s="22" t="s">
        <v>152</v>
      </c>
      <c r="D881" s="23">
        <v>0.05</v>
      </c>
      <c r="E881" s="24">
        <f>F879</f>
        <v>18848</v>
      </c>
      <c r="F881" s="25">
        <f>ROUND(D881*E881,0)</f>
        <v>942</v>
      </c>
    </row>
    <row r="882" spans="1:6" ht="14.25" thickBot="1" x14ac:dyDescent="0.3">
      <c r="A882" s="26" t="s">
        <v>153</v>
      </c>
      <c r="B882" s="27"/>
      <c r="C882" s="28">
        <v>0.65807490938380997</v>
      </c>
      <c r="D882" s="27"/>
      <c r="E882" s="29" t="s">
        <v>148</v>
      </c>
      <c r="F882" s="30">
        <f>SUM(F881)</f>
        <v>942</v>
      </c>
    </row>
    <row r="883" spans="1:6" x14ac:dyDescent="0.25">
      <c r="A883" s="20" t="s">
        <v>184</v>
      </c>
      <c r="B883" s="21" t="s">
        <v>185</v>
      </c>
      <c r="C883" s="22" t="s">
        <v>171</v>
      </c>
      <c r="D883" s="23">
        <v>0.2</v>
      </c>
      <c r="E883" s="24">
        <f>2140*1.052</f>
        <v>2251.2800000000002</v>
      </c>
      <c r="F883" s="25">
        <f>ROUND(D883*E883,0)</f>
        <v>450</v>
      </c>
    </row>
    <row r="884" spans="1:6" ht="14.25" thickBot="1" x14ac:dyDescent="0.3">
      <c r="A884" s="34" t="s">
        <v>191</v>
      </c>
      <c r="B884" s="35" t="s">
        <v>192</v>
      </c>
      <c r="C884" s="36" t="s">
        <v>193</v>
      </c>
      <c r="D884" s="37">
        <f>9/1000</f>
        <v>8.9999999999999993E-3</v>
      </c>
      <c r="E884" s="38">
        <f>176630*1.052</f>
        <v>185814.76</v>
      </c>
      <c r="F884" s="25">
        <f>ROUND(D884*E884,0)</f>
        <v>1672</v>
      </c>
    </row>
    <row r="885" spans="1:6" ht="14.25" thickBot="1" x14ac:dyDescent="0.3">
      <c r="A885" s="26"/>
      <c r="B885" s="27"/>
      <c r="C885" s="28"/>
      <c r="D885" s="27"/>
      <c r="E885" s="29" t="s">
        <v>148</v>
      </c>
      <c r="F885" s="30">
        <f>SUM(F883:F884)</f>
        <v>2122</v>
      </c>
    </row>
    <row r="886" spans="1:6" ht="15.75" thickBot="1" x14ac:dyDescent="0.3">
      <c r="A886" s="180" t="s">
        <v>168</v>
      </c>
      <c r="B886" s="181"/>
      <c r="C886" s="181"/>
      <c r="D886" s="181"/>
      <c r="E886" s="182">
        <f>+F876+F879+F882+F885</f>
        <v>130080</v>
      </c>
      <c r="F886" s="183"/>
    </row>
    <row r="887" spans="1:6" x14ac:dyDescent="0.25">
      <c r="A887" s="31"/>
      <c r="F887" s="32"/>
    </row>
    <row r="888" spans="1:6" ht="15.75" x14ac:dyDescent="0.25">
      <c r="A888" s="184" t="s">
        <v>136</v>
      </c>
      <c r="B888" s="185"/>
      <c r="C888" s="185"/>
      <c r="D888" s="185"/>
      <c r="E888" s="185"/>
      <c r="F888" s="186"/>
    </row>
    <row r="889" spans="1:6" x14ac:dyDescent="0.25">
      <c r="A889" s="174" t="str">
        <f>+'RESUMEN APUS'!B58</f>
        <v>Suministro e instalación de Lavadero en cerámica 0.70*0.60 m, incluye machones de soporte acabados con pintura, grifería, llave bocamanguera y todos los materiales necesarios para su correcta ejecución</v>
      </c>
      <c r="B889" s="175"/>
      <c r="C889" s="175"/>
      <c r="D889" s="176"/>
      <c r="E889" s="12" t="s">
        <v>137</v>
      </c>
      <c r="F889" s="13" t="s">
        <v>3</v>
      </c>
    </row>
    <row r="890" spans="1:6" x14ac:dyDescent="0.25">
      <c r="A890" s="177"/>
      <c r="B890" s="178"/>
      <c r="C890" s="178"/>
      <c r="D890" s="179"/>
      <c r="E890" s="14" t="s">
        <v>83</v>
      </c>
      <c r="F890" s="15" t="s">
        <v>171</v>
      </c>
    </row>
    <row r="891" spans="1:6" x14ac:dyDescent="0.25">
      <c r="A891" s="16" t="s">
        <v>139</v>
      </c>
      <c r="B891" s="17" t="s">
        <v>172</v>
      </c>
      <c r="C891" s="18" t="s">
        <v>3</v>
      </c>
      <c r="D891" s="18" t="s">
        <v>141</v>
      </c>
      <c r="E891" s="18" t="s">
        <v>142</v>
      </c>
      <c r="F891" s="19" t="s">
        <v>143</v>
      </c>
    </row>
    <row r="892" spans="1:6" x14ac:dyDescent="0.25">
      <c r="A892" s="20" t="s">
        <v>344</v>
      </c>
      <c r="B892" s="21" t="s">
        <v>345</v>
      </c>
      <c r="C892" s="22" t="s">
        <v>171</v>
      </c>
      <c r="D892" s="23">
        <v>1</v>
      </c>
      <c r="E892" s="24">
        <f>9351*1.052</f>
        <v>9837.2520000000004</v>
      </c>
      <c r="F892" s="25">
        <f t="shared" ref="F892:F903" si="2">ROUND(D892*E892,0)</f>
        <v>9837</v>
      </c>
    </row>
    <row r="893" spans="1:6" x14ac:dyDescent="0.25">
      <c r="A893" s="20" t="s">
        <v>346</v>
      </c>
      <c r="B893" s="21" t="s">
        <v>347</v>
      </c>
      <c r="C893" s="22" t="s">
        <v>171</v>
      </c>
      <c r="D893" s="23">
        <v>1</v>
      </c>
      <c r="E893" s="24">
        <f>232489*1.052</f>
        <v>244578.42800000001</v>
      </c>
      <c r="F893" s="25">
        <f t="shared" si="2"/>
        <v>244578</v>
      </c>
    </row>
    <row r="894" spans="1:6" x14ac:dyDescent="0.25">
      <c r="A894" s="20" t="s">
        <v>221</v>
      </c>
      <c r="B894" s="21" t="s">
        <v>222</v>
      </c>
      <c r="C894" s="22" t="s">
        <v>171</v>
      </c>
      <c r="D894" s="23">
        <v>12.6</v>
      </c>
      <c r="E894" s="24">
        <f>1771.495*1.052</f>
        <v>1863.61274</v>
      </c>
      <c r="F894" s="25">
        <f t="shared" si="2"/>
        <v>23482</v>
      </c>
    </row>
    <row r="895" spans="1:6" x14ac:dyDescent="0.25">
      <c r="A895" s="20" t="s">
        <v>223</v>
      </c>
      <c r="B895" s="21" t="s">
        <v>224</v>
      </c>
      <c r="C895" s="22" t="s">
        <v>164</v>
      </c>
      <c r="D895" s="23">
        <v>6.3E-2</v>
      </c>
      <c r="E895" s="24">
        <f>443829.2144*1.052</f>
        <v>466908.33354880003</v>
      </c>
      <c r="F895" s="25">
        <f t="shared" si="2"/>
        <v>29415</v>
      </c>
    </row>
    <row r="896" spans="1:6" x14ac:dyDescent="0.25">
      <c r="A896" s="20" t="s">
        <v>348</v>
      </c>
      <c r="B896" s="21" t="s">
        <v>349</v>
      </c>
      <c r="C896" s="22" t="s">
        <v>171</v>
      </c>
      <c r="D896" s="23">
        <v>1</v>
      </c>
      <c r="E896" s="24">
        <f>30027.1*1.052</f>
        <v>31588.5092</v>
      </c>
      <c r="F896" s="25">
        <f t="shared" si="2"/>
        <v>31589</v>
      </c>
    </row>
    <row r="897" spans="1:6" x14ac:dyDescent="0.25">
      <c r="A897" s="20" t="s">
        <v>233</v>
      </c>
      <c r="B897" s="21" t="s">
        <v>234</v>
      </c>
      <c r="C897" s="22" t="s">
        <v>164</v>
      </c>
      <c r="D897" s="23">
        <v>2.1999999999999999E-2</v>
      </c>
      <c r="E897" s="24">
        <f>396742.8773*1.052</f>
        <v>417373.50691960001</v>
      </c>
      <c r="F897" s="25">
        <f t="shared" si="2"/>
        <v>9182</v>
      </c>
    </row>
    <row r="898" spans="1:6" x14ac:dyDescent="0.25">
      <c r="A898" s="20" t="s">
        <v>298</v>
      </c>
      <c r="B898" s="21" t="s">
        <v>299</v>
      </c>
      <c r="C898" s="22" t="s">
        <v>293</v>
      </c>
      <c r="D898" s="23">
        <v>1.4999999999999999E-2</v>
      </c>
      <c r="E898" s="24">
        <f>52365.6*1.052</f>
        <v>55088.611199999999</v>
      </c>
      <c r="F898" s="25">
        <f t="shared" si="2"/>
        <v>826</v>
      </c>
    </row>
    <row r="899" spans="1:6" x14ac:dyDescent="0.25">
      <c r="A899" s="20" t="s">
        <v>352</v>
      </c>
      <c r="B899" s="21" t="s">
        <v>353</v>
      </c>
      <c r="C899" s="22" t="s">
        <v>86</v>
      </c>
      <c r="D899" s="23">
        <v>1.05</v>
      </c>
      <c r="E899" s="24">
        <f>13195.3*1.052</f>
        <v>13881.455599999999</v>
      </c>
      <c r="F899" s="25">
        <f t="shared" si="2"/>
        <v>14576</v>
      </c>
    </row>
    <row r="900" spans="1:6" x14ac:dyDescent="0.25">
      <c r="A900" s="20" t="s">
        <v>322</v>
      </c>
      <c r="B900" s="21" t="s">
        <v>323</v>
      </c>
      <c r="C900" s="22" t="s">
        <v>171</v>
      </c>
      <c r="D900" s="23">
        <v>0.02</v>
      </c>
      <c r="E900" s="24">
        <f>162567.135*1.052</f>
        <v>171020.62602000003</v>
      </c>
      <c r="F900" s="25">
        <f t="shared" si="2"/>
        <v>3420</v>
      </c>
    </row>
    <row r="901" spans="1:6" x14ac:dyDescent="0.25">
      <c r="A901" s="20" t="s">
        <v>354</v>
      </c>
      <c r="B901" s="21" t="s">
        <v>355</v>
      </c>
      <c r="C901" s="22" t="s">
        <v>171</v>
      </c>
      <c r="D901" s="23">
        <v>1</v>
      </c>
      <c r="E901" s="24">
        <f>27190.63*1.052</f>
        <v>28604.542760000004</v>
      </c>
      <c r="F901" s="25">
        <f t="shared" si="2"/>
        <v>28605</v>
      </c>
    </row>
    <row r="902" spans="1:6" ht="27" x14ac:dyDescent="0.25">
      <c r="A902" s="20" t="s">
        <v>358</v>
      </c>
      <c r="B902" s="21" t="s">
        <v>317</v>
      </c>
      <c r="C902" s="22" t="s">
        <v>171</v>
      </c>
      <c r="D902" s="23">
        <v>0.18</v>
      </c>
      <c r="E902" s="24">
        <f>26962.05*1.052</f>
        <v>28364.0766</v>
      </c>
      <c r="F902" s="25">
        <f t="shared" si="2"/>
        <v>5106</v>
      </c>
    </row>
    <row r="903" spans="1:6" ht="14.25" thickBot="1" x14ac:dyDescent="0.3">
      <c r="A903" s="20" t="s">
        <v>350</v>
      </c>
      <c r="B903" s="21" t="s">
        <v>351</v>
      </c>
      <c r="C903" s="22" t="s">
        <v>171</v>
      </c>
      <c r="D903" s="23">
        <v>2</v>
      </c>
      <c r="E903" s="24">
        <f>4280.68*1.052</f>
        <v>4503.2753600000005</v>
      </c>
      <c r="F903" s="25">
        <f t="shared" si="2"/>
        <v>9007</v>
      </c>
    </row>
    <row r="904" spans="1:6" ht="14.25" thickBot="1" x14ac:dyDescent="0.3">
      <c r="A904" s="26" t="s">
        <v>175</v>
      </c>
      <c r="B904" s="27"/>
      <c r="C904" s="28">
        <v>69.950945472998598</v>
      </c>
      <c r="D904" s="27"/>
      <c r="E904" s="29" t="s">
        <v>148</v>
      </c>
      <c r="F904" s="30">
        <f>SUM(F892:F903)</f>
        <v>409623</v>
      </c>
    </row>
    <row r="905" spans="1:6" x14ac:dyDescent="0.25">
      <c r="A905" s="16" t="s">
        <v>139</v>
      </c>
      <c r="B905" s="17" t="s">
        <v>140</v>
      </c>
      <c r="C905" s="18" t="s">
        <v>3</v>
      </c>
      <c r="D905" s="18" t="s">
        <v>141</v>
      </c>
      <c r="E905" s="18" t="s">
        <v>142</v>
      </c>
      <c r="F905" s="19" t="s">
        <v>143</v>
      </c>
    </row>
    <row r="906" spans="1:6" ht="14.25" thickBot="1" x14ac:dyDescent="0.3">
      <c r="A906" s="20" t="s">
        <v>314</v>
      </c>
      <c r="B906" s="21" t="s">
        <v>315</v>
      </c>
      <c r="C906" s="22" t="s">
        <v>146</v>
      </c>
      <c r="D906" s="23">
        <v>0.73</v>
      </c>
      <c r="E906" s="24">
        <f>151633.089202223*1.1*$J$1</f>
        <v>188479.92987836318</v>
      </c>
      <c r="F906" s="25">
        <f>ROUND(D906*E906,0)</f>
        <v>137590</v>
      </c>
    </row>
    <row r="907" spans="1:6" ht="14.25" thickBot="1" x14ac:dyDescent="0.3">
      <c r="A907" s="26" t="s">
        <v>147</v>
      </c>
      <c r="B907" s="27"/>
      <c r="C907" s="28">
        <v>28.405882731329399</v>
      </c>
      <c r="D907" s="27"/>
      <c r="E907" s="29" t="s">
        <v>148</v>
      </c>
      <c r="F907" s="30">
        <f>SUM(F906)</f>
        <v>137590</v>
      </c>
    </row>
    <row r="908" spans="1:6" x14ac:dyDescent="0.25">
      <c r="A908" s="16" t="s">
        <v>139</v>
      </c>
      <c r="B908" s="17" t="s">
        <v>149</v>
      </c>
      <c r="C908" s="18" t="s">
        <v>3</v>
      </c>
      <c r="D908" s="18" t="s">
        <v>141</v>
      </c>
      <c r="E908" s="18" t="s">
        <v>142</v>
      </c>
      <c r="F908" s="19" t="s">
        <v>143</v>
      </c>
    </row>
    <row r="909" spans="1:6" ht="14.25" thickBot="1" x14ac:dyDescent="0.3">
      <c r="A909" s="20" t="s">
        <v>150</v>
      </c>
      <c r="B909" s="21" t="s">
        <v>151</v>
      </c>
      <c r="C909" s="22" t="s">
        <v>152</v>
      </c>
      <c r="D909" s="23">
        <v>0.05</v>
      </c>
      <c r="E909" s="24">
        <f>F907</f>
        <v>137590</v>
      </c>
      <c r="F909" s="25">
        <f>ROUND(D909*E909,0)</f>
        <v>6880</v>
      </c>
    </row>
    <row r="910" spans="1:6" ht="14.25" thickBot="1" x14ac:dyDescent="0.3">
      <c r="A910" s="26" t="s">
        <v>153</v>
      </c>
      <c r="B910" s="27"/>
      <c r="C910" s="28">
        <v>1.4204132587787099</v>
      </c>
      <c r="D910" s="27"/>
      <c r="E910" s="29" t="s">
        <v>148</v>
      </c>
      <c r="F910" s="30">
        <f>SUM(F909)</f>
        <v>6880</v>
      </c>
    </row>
    <row r="911" spans="1:6" x14ac:dyDescent="0.25">
      <c r="A911" s="16" t="s">
        <v>139</v>
      </c>
      <c r="B911" s="17" t="s">
        <v>161</v>
      </c>
      <c r="C911" s="18" t="s">
        <v>3</v>
      </c>
      <c r="D911" s="18" t="s">
        <v>141</v>
      </c>
      <c r="E911" s="18" t="s">
        <v>142</v>
      </c>
      <c r="F911" s="19" t="s">
        <v>143</v>
      </c>
    </row>
    <row r="912" spans="1:6" x14ac:dyDescent="0.25">
      <c r="A912" s="20" t="s">
        <v>184</v>
      </c>
      <c r="B912" s="21" t="s">
        <v>185</v>
      </c>
      <c r="C912" s="22" t="s">
        <v>171</v>
      </c>
      <c r="D912" s="23">
        <v>0.437</v>
      </c>
      <c r="E912" s="24">
        <f>3140*1.052</f>
        <v>3303.28</v>
      </c>
      <c r="F912" s="25">
        <f>ROUND(D912*E912,0)</f>
        <v>1444</v>
      </c>
    </row>
    <row r="913" spans="1:9" ht="14.25" thickBot="1" x14ac:dyDescent="0.3">
      <c r="A913" s="34" t="s">
        <v>191</v>
      </c>
      <c r="B913" s="35" t="s">
        <v>192</v>
      </c>
      <c r="C913" s="36" t="s">
        <v>193</v>
      </c>
      <c r="D913" s="37">
        <f>100/1000</f>
        <v>0.1</v>
      </c>
      <c r="E913" s="38">
        <f>196630*1.052</f>
        <v>206854.76</v>
      </c>
      <c r="F913" s="25">
        <f>ROUND(D913*E913,0)</f>
        <v>20685</v>
      </c>
    </row>
    <row r="914" spans="1:9" ht="14.25" thickBot="1" x14ac:dyDescent="0.3">
      <c r="A914" s="26"/>
      <c r="B914" s="27"/>
      <c r="C914" s="28"/>
      <c r="D914" s="27"/>
      <c r="E914" s="29" t="s">
        <v>148</v>
      </c>
      <c r="F914" s="30">
        <f>SUM(F912:F913)</f>
        <v>22129</v>
      </c>
    </row>
    <row r="915" spans="1:9" ht="15.75" thickBot="1" x14ac:dyDescent="0.3">
      <c r="A915" s="180" t="s">
        <v>168</v>
      </c>
      <c r="B915" s="181"/>
      <c r="C915" s="181"/>
      <c r="D915" s="181"/>
      <c r="E915" s="182">
        <f>F904+F907+F910+F914</f>
        <v>576222</v>
      </c>
      <c r="F915" s="183"/>
    </row>
    <row r="917" spans="1:9" x14ac:dyDescent="0.25">
      <c r="A917" s="198" t="s">
        <v>136</v>
      </c>
      <c r="B917" s="199"/>
      <c r="C917" s="199"/>
      <c r="D917" s="199"/>
      <c r="E917" s="199"/>
      <c r="F917" s="200"/>
      <c r="G917"/>
      <c r="H917"/>
      <c r="I917"/>
    </row>
    <row r="918" spans="1:9" x14ac:dyDescent="0.25">
      <c r="A918" s="174" t="str">
        <f>+'RESUMEN APUS'!B59</f>
        <v xml:space="preserve">Reinstalación de aparato sanitario, incluye el remplazo de los accesorios y todos los materiales necesarios para su correcta ejecución. </v>
      </c>
      <c r="B918" s="175"/>
      <c r="C918" s="175"/>
      <c r="D918" s="176"/>
      <c r="E918" s="12" t="s">
        <v>137</v>
      </c>
      <c r="F918" s="13" t="s">
        <v>3</v>
      </c>
      <c r="G918"/>
      <c r="H918"/>
      <c r="I918"/>
    </row>
    <row r="919" spans="1:9" x14ac:dyDescent="0.25">
      <c r="A919" s="177"/>
      <c r="B919" s="178"/>
      <c r="C919" s="178"/>
      <c r="D919" s="179"/>
      <c r="E919" s="14" t="s">
        <v>84</v>
      </c>
      <c r="F919" s="15" t="s">
        <v>171</v>
      </c>
      <c r="G919"/>
      <c r="H919"/>
      <c r="I919"/>
    </row>
    <row r="920" spans="1:9" x14ac:dyDescent="0.25">
      <c r="A920" s="20" t="s">
        <v>334</v>
      </c>
      <c r="B920" s="21" t="s">
        <v>335</v>
      </c>
      <c r="C920" s="22" t="s">
        <v>171</v>
      </c>
      <c r="D920" s="23">
        <v>1</v>
      </c>
      <c r="E920" s="24">
        <f>1958*1.052</f>
        <v>2059.8160000000003</v>
      </c>
      <c r="F920" s="40">
        <f>ROUND(D920*E920,0)</f>
        <v>2060</v>
      </c>
      <c r="G920"/>
      <c r="H920"/>
      <c r="I920"/>
    </row>
    <row r="921" spans="1:9" x14ac:dyDescent="0.25">
      <c r="A921" s="21" t="s">
        <v>316</v>
      </c>
      <c r="B921" s="21" t="s">
        <v>357</v>
      </c>
      <c r="C921" s="22" t="s">
        <v>171</v>
      </c>
      <c r="D921" s="23">
        <v>0.03</v>
      </c>
      <c r="E921" s="24">
        <f>77405.5*1.052</f>
        <v>81430.58600000001</v>
      </c>
      <c r="F921" s="40">
        <f t="shared" ref="F921:F925" si="3">ROUND(D921*E921,0)</f>
        <v>2443</v>
      </c>
      <c r="G921"/>
      <c r="H921"/>
      <c r="I921"/>
    </row>
    <row r="922" spans="1:9" ht="27" x14ac:dyDescent="0.25">
      <c r="A922" s="21" t="s">
        <v>358</v>
      </c>
      <c r="B922" s="21" t="s">
        <v>317</v>
      </c>
      <c r="C922" s="22" t="s">
        <v>171</v>
      </c>
      <c r="D922" s="23">
        <v>0.27890999999999999</v>
      </c>
      <c r="E922" s="24">
        <f>26962.05*1.052</f>
        <v>28364.0766</v>
      </c>
      <c r="F922" s="40">
        <f t="shared" si="3"/>
        <v>7911</v>
      </c>
      <c r="G922"/>
      <c r="H922"/>
      <c r="I922"/>
    </row>
    <row r="923" spans="1:9" x14ac:dyDescent="0.25">
      <c r="A923" s="21" t="s">
        <v>322</v>
      </c>
      <c r="B923" s="21" t="s">
        <v>323</v>
      </c>
      <c r="C923" s="22" t="s">
        <v>171</v>
      </c>
      <c r="D923" s="23">
        <v>0.03</v>
      </c>
      <c r="E923" s="24">
        <f>162567.135*1.052</f>
        <v>171020.62602000003</v>
      </c>
      <c r="F923" s="40">
        <f t="shared" si="3"/>
        <v>5131</v>
      </c>
      <c r="G923"/>
      <c r="H923"/>
      <c r="I923"/>
    </row>
    <row r="924" spans="1:9" x14ac:dyDescent="0.25">
      <c r="A924" s="21" t="s">
        <v>324</v>
      </c>
      <c r="B924" s="21" t="s">
        <v>325</v>
      </c>
      <c r="C924" s="22" t="s">
        <v>171</v>
      </c>
      <c r="D924" s="23">
        <v>1</v>
      </c>
      <c r="E924" s="24">
        <f>13507*1.052</f>
        <v>14209.364000000001</v>
      </c>
      <c r="F924" s="40">
        <f t="shared" si="3"/>
        <v>14209</v>
      </c>
      <c r="G924"/>
      <c r="H924"/>
      <c r="I924"/>
    </row>
    <row r="925" spans="1:9" ht="14.25" thickBot="1" x14ac:dyDescent="0.3">
      <c r="A925" s="56" t="s">
        <v>285</v>
      </c>
      <c r="B925" s="56" t="s">
        <v>286</v>
      </c>
      <c r="C925" s="57" t="s">
        <v>202</v>
      </c>
      <c r="D925" s="50">
        <v>0.1</v>
      </c>
      <c r="E925" s="51">
        <f>16520.1*1.052</f>
        <v>17379.145199999999</v>
      </c>
      <c r="F925" s="58">
        <f t="shared" si="3"/>
        <v>1738</v>
      </c>
      <c r="G925"/>
      <c r="H925"/>
      <c r="I925"/>
    </row>
    <row r="926" spans="1:9" ht="14.25" thickBot="1" x14ac:dyDescent="0.3">
      <c r="A926" s="26" t="s">
        <v>175</v>
      </c>
      <c r="B926" s="27"/>
      <c r="C926" s="28">
        <v>55.865436787845901</v>
      </c>
      <c r="D926" s="27"/>
      <c r="E926" s="29" t="s">
        <v>148</v>
      </c>
      <c r="F926" s="30">
        <f>SUM(F920:F925)</f>
        <v>33492</v>
      </c>
      <c r="G926"/>
      <c r="H926"/>
      <c r="I926"/>
    </row>
    <row r="927" spans="1:9" x14ac:dyDescent="0.25">
      <c r="A927" s="16" t="s">
        <v>139</v>
      </c>
      <c r="B927" s="17" t="s">
        <v>140</v>
      </c>
      <c r="C927" s="18" t="s">
        <v>3</v>
      </c>
      <c r="D927" s="18" t="s">
        <v>141</v>
      </c>
      <c r="E927" s="18" t="s">
        <v>142</v>
      </c>
      <c r="F927" s="19" t="s">
        <v>143</v>
      </c>
      <c r="G927"/>
      <c r="H927"/>
      <c r="I927"/>
    </row>
    <row r="928" spans="1:9" ht="14.25" thickBot="1" x14ac:dyDescent="0.3">
      <c r="A928" s="20" t="s">
        <v>314</v>
      </c>
      <c r="B928" s="21" t="s">
        <v>315</v>
      </c>
      <c r="C928" s="22" t="s">
        <v>146</v>
      </c>
      <c r="D928" s="23">
        <v>0.48565242978801731</v>
      </c>
      <c r="E928" s="24">
        <f>151633.089202223*1.1*$J$1</f>
        <v>188479.92987836318</v>
      </c>
      <c r="F928" s="40">
        <f>ROUND(D928*E928,0)</f>
        <v>91536</v>
      </c>
      <c r="G928"/>
      <c r="H928"/>
      <c r="I928"/>
    </row>
    <row r="929" spans="1:9" ht="14.25" thickBot="1" x14ac:dyDescent="0.3">
      <c r="A929" s="26" t="s">
        <v>147</v>
      </c>
      <c r="B929" s="27"/>
      <c r="C929" s="28">
        <v>35.372038343280899</v>
      </c>
      <c r="D929" s="27"/>
      <c r="E929" s="29" t="s">
        <v>148</v>
      </c>
      <c r="F929" s="30">
        <f>SUM(F928)</f>
        <v>91536</v>
      </c>
      <c r="G929"/>
      <c r="H929"/>
      <c r="I929"/>
    </row>
    <row r="930" spans="1:9" x14ac:dyDescent="0.25">
      <c r="A930" s="16" t="s">
        <v>139</v>
      </c>
      <c r="B930" s="17" t="s">
        <v>149</v>
      </c>
      <c r="C930" s="18" t="s">
        <v>3</v>
      </c>
      <c r="D930" s="18" t="s">
        <v>141</v>
      </c>
      <c r="E930" s="18" t="s">
        <v>142</v>
      </c>
      <c r="F930" s="19" t="s">
        <v>143</v>
      </c>
      <c r="G930"/>
      <c r="H930"/>
      <c r="I930"/>
    </row>
    <row r="931" spans="1:9" ht="14.25" thickBot="1" x14ac:dyDescent="0.3">
      <c r="A931" s="20" t="s">
        <v>150</v>
      </c>
      <c r="B931" s="21" t="s">
        <v>151</v>
      </c>
      <c r="C931" s="22" t="s">
        <v>152</v>
      </c>
      <c r="D931" s="23">
        <v>0.05</v>
      </c>
      <c r="E931" s="24">
        <f>+F928</f>
        <v>91536</v>
      </c>
      <c r="F931" s="40">
        <f>ROUND(D931*E931,0)</f>
        <v>4577</v>
      </c>
      <c r="G931"/>
      <c r="H931"/>
      <c r="I931"/>
    </row>
    <row r="932" spans="1:9" ht="14.25" thickBot="1" x14ac:dyDescent="0.3">
      <c r="A932" s="26" t="s">
        <v>153</v>
      </c>
      <c r="B932" s="27"/>
      <c r="C932" s="28">
        <v>1.7688551275094999</v>
      </c>
      <c r="D932" s="27"/>
      <c r="E932" s="29" t="s">
        <v>148</v>
      </c>
      <c r="F932" s="30">
        <f>SUM(F931)</f>
        <v>4577</v>
      </c>
      <c r="G932"/>
      <c r="H932"/>
      <c r="I932"/>
    </row>
    <row r="933" spans="1:9" x14ac:dyDescent="0.25">
      <c r="A933" s="16" t="s">
        <v>139</v>
      </c>
      <c r="B933" s="17" t="s">
        <v>161</v>
      </c>
      <c r="C933" s="18" t="s">
        <v>3</v>
      </c>
      <c r="D933" s="18" t="s">
        <v>141</v>
      </c>
      <c r="E933" s="18" t="s">
        <v>142</v>
      </c>
      <c r="F933" s="19" t="s">
        <v>143</v>
      </c>
      <c r="G933"/>
      <c r="H933"/>
      <c r="I933"/>
    </row>
    <row r="934" spans="1:9" x14ac:dyDescent="0.25">
      <c r="A934" s="20" t="s">
        <v>184</v>
      </c>
      <c r="B934" s="21" t="s">
        <v>185</v>
      </c>
      <c r="C934" s="22" t="s">
        <v>171</v>
      </c>
      <c r="D934" s="23">
        <v>0.1</v>
      </c>
      <c r="E934" s="24">
        <f>2140*1.052</f>
        <v>2251.2800000000002</v>
      </c>
      <c r="F934" s="40">
        <f>ROUND(D934*E934,0)</f>
        <v>225</v>
      </c>
      <c r="G934"/>
      <c r="H934"/>
      <c r="I934"/>
    </row>
    <row r="935" spans="1:9" ht="14.25" thickBot="1" x14ac:dyDescent="0.3">
      <c r="A935" s="34" t="s">
        <v>191</v>
      </c>
      <c r="B935" s="35" t="s">
        <v>192</v>
      </c>
      <c r="C935" s="36" t="s">
        <v>193</v>
      </c>
      <c r="D935" s="37">
        <f>5/1000</f>
        <v>5.0000000000000001E-3</v>
      </c>
      <c r="E935" s="38">
        <v>0</v>
      </c>
      <c r="F935" s="40">
        <f>ROUND(D935*E935,0)</f>
        <v>0</v>
      </c>
      <c r="G935"/>
      <c r="H935"/>
      <c r="I935"/>
    </row>
    <row r="936" spans="1:9" ht="14.25" thickBot="1" x14ac:dyDescent="0.3">
      <c r="A936" s="26"/>
      <c r="B936" s="27"/>
      <c r="C936" s="28"/>
      <c r="D936" s="27"/>
      <c r="E936" s="29" t="s">
        <v>148</v>
      </c>
      <c r="F936" s="30">
        <f>SUM(F934:F935)</f>
        <v>225</v>
      </c>
      <c r="G936"/>
      <c r="H936"/>
      <c r="I936"/>
    </row>
    <row r="937" spans="1:9" ht="14.25" thickBot="1" x14ac:dyDescent="0.3">
      <c r="A937" s="201" t="s">
        <v>168</v>
      </c>
      <c r="B937" s="202"/>
      <c r="C937" s="202"/>
      <c r="D937" s="202"/>
      <c r="E937" s="182">
        <f>+F926+F929+F932+F936</f>
        <v>129830</v>
      </c>
      <c r="F937" s="183"/>
      <c r="G937"/>
      <c r="H937"/>
      <c r="I937"/>
    </row>
    <row r="938" spans="1:9" x14ac:dyDescent="0.25">
      <c r="G938"/>
      <c r="H938"/>
      <c r="I938"/>
    </row>
    <row r="939" spans="1:9" x14ac:dyDescent="0.25">
      <c r="A939" s="198" t="s">
        <v>136</v>
      </c>
      <c r="B939" s="199"/>
      <c r="C939" s="199"/>
      <c r="D939" s="199"/>
      <c r="E939" s="199"/>
      <c r="F939" s="200"/>
      <c r="G939"/>
      <c r="H939"/>
      <c r="I939"/>
    </row>
    <row r="940" spans="1:9" x14ac:dyDescent="0.25">
      <c r="A940" s="174" t="str">
        <f>+'RESUMEN APUS'!B60</f>
        <v>Suministro, transporte y colocación de lavamanos de colgar tipo Acuacer o equivalente. Incluye Grifería galaxia, abasto metálico, sifón botella y todos los demás elementos necesarios para su correcta instalación y funcionamiento.</v>
      </c>
      <c r="B940" s="175"/>
      <c r="C940" s="175"/>
      <c r="D940" s="176"/>
      <c r="E940" s="12" t="s">
        <v>137</v>
      </c>
      <c r="F940" s="13" t="s">
        <v>3</v>
      </c>
      <c r="G940"/>
      <c r="H940"/>
      <c r="I940"/>
    </row>
    <row r="941" spans="1:9" x14ac:dyDescent="0.25">
      <c r="A941" s="177"/>
      <c r="B941" s="178"/>
      <c r="C941" s="178"/>
      <c r="D941" s="179"/>
      <c r="E941" s="14" t="s">
        <v>85</v>
      </c>
      <c r="F941" s="15" t="s">
        <v>171</v>
      </c>
      <c r="G941"/>
      <c r="H941"/>
      <c r="I941"/>
    </row>
    <row r="942" spans="1:9" x14ac:dyDescent="0.25">
      <c r="A942" s="16" t="s">
        <v>139</v>
      </c>
      <c r="B942" s="17" t="s">
        <v>172</v>
      </c>
      <c r="C942" s="18" t="s">
        <v>3</v>
      </c>
      <c r="D942" s="18" t="s">
        <v>141</v>
      </c>
      <c r="E942" s="18" t="s">
        <v>142</v>
      </c>
      <c r="F942" s="19" t="s">
        <v>143</v>
      </c>
      <c r="G942"/>
      <c r="H942"/>
      <c r="I942"/>
    </row>
    <row r="943" spans="1:9" x14ac:dyDescent="0.25">
      <c r="A943" s="20" t="s">
        <v>359</v>
      </c>
      <c r="B943" s="21" t="s">
        <v>580</v>
      </c>
      <c r="C943" s="22" t="s">
        <v>171</v>
      </c>
      <c r="D943" s="23">
        <v>1</v>
      </c>
      <c r="E943" s="24">
        <f>140473*1.052</f>
        <v>147777.59600000002</v>
      </c>
      <c r="F943" s="40">
        <f>ROUND(D943*E943,0)</f>
        <v>147778</v>
      </c>
      <c r="G943"/>
      <c r="H943"/>
      <c r="I943"/>
    </row>
    <row r="944" spans="1:9" x14ac:dyDescent="0.25">
      <c r="A944" s="20" t="s">
        <v>334</v>
      </c>
      <c r="B944" s="21" t="s">
        <v>335</v>
      </c>
      <c r="C944" s="22" t="s">
        <v>171</v>
      </c>
      <c r="D944" s="23">
        <v>1</v>
      </c>
      <c r="E944" s="24">
        <f>1958*1.052</f>
        <v>2059.8160000000003</v>
      </c>
      <c r="F944" s="40">
        <f>ROUND(D944*E944,0)</f>
        <v>2060</v>
      </c>
      <c r="G944"/>
      <c r="H944"/>
      <c r="I944"/>
    </row>
    <row r="945" spans="1:9" ht="27.75" thickBot="1" x14ac:dyDescent="0.3">
      <c r="A945" s="20" t="s">
        <v>360</v>
      </c>
      <c r="B945" s="21" t="s">
        <v>361</v>
      </c>
      <c r="C945" s="22" t="s">
        <v>171</v>
      </c>
      <c r="D945" s="23">
        <v>1</v>
      </c>
      <c r="E945" s="24">
        <f>50900*1.052</f>
        <v>53546.8</v>
      </c>
      <c r="F945" s="40">
        <f>ROUND(D945*E945,0)</f>
        <v>53547</v>
      </c>
      <c r="G945"/>
      <c r="H945"/>
      <c r="I945"/>
    </row>
    <row r="946" spans="1:9" ht="14.25" thickBot="1" x14ac:dyDescent="0.3">
      <c r="A946" s="26" t="s">
        <v>175</v>
      </c>
      <c r="B946" s="27"/>
      <c r="C946" s="28">
        <v>55.865436787845901</v>
      </c>
      <c r="D946" s="27"/>
      <c r="E946" s="29" t="s">
        <v>148</v>
      </c>
      <c r="F946" s="30">
        <f>SUM(F943:F945)</f>
        <v>203385</v>
      </c>
      <c r="G946"/>
      <c r="H946"/>
      <c r="I946"/>
    </row>
    <row r="947" spans="1:9" x14ac:dyDescent="0.25">
      <c r="A947" s="16" t="s">
        <v>139</v>
      </c>
      <c r="B947" s="17" t="s">
        <v>140</v>
      </c>
      <c r="C947" s="18" t="s">
        <v>3</v>
      </c>
      <c r="D947" s="18" t="s">
        <v>141</v>
      </c>
      <c r="E947" s="18" t="s">
        <v>142</v>
      </c>
      <c r="F947" s="19" t="s">
        <v>143</v>
      </c>
      <c r="G947"/>
      <c r="H947"/>
      <c r="I947"/>
    </row>
    <row r="948" spans="1:9" ht="14.25" thickBot="1" x14ac:dyDescent="0.3">
      <c r="A948" s="20" t="s">
        <v>314</v>
      </c>
      <c r="B948" s="21" t="s">
        <v>315</v>
      </c>
      <c r="C948" s="22" t="s">
        <v>146</v>
      </c>
      <c r="D948" s="23">
        <v>0.43</v>
      </c>
      <c r="E948" s="24">
        <f>166796.398122445*$J$1</f>
        <v>188479.92987836283</v>
      </c>
      <c r="F948" s="40">
        <f>ROUND(D948*E948,0)</f>
        <v>81046</v>
      </c>
      <c r="G948"/>
      <c r="H948"/>
      <c r="I948"/>
    </row>
    <row r="949" spans="1:9" ht="14.25" thickBot="1" x14ac:dyDescent="0.3">
      <c r="A949" s="26" t="s">
        <v>147</v>
      </c>
      <c r="B949" s="27"/>
      <c r="C949" s="28">
        <v>35.372038343280899</v>
      </c>
      <c r="D949" s="27"/>
      <c r="E949" s="29" t="s">
        <v>148</v>
      </c>
      <c r="F949" s="30">
        <f>SUM(F948)</f>
        <v>81046</v>
      </c>
      <c r="G949"/>
      <c r="H949"/>
      <c r="I949"/>
    </row>
    <row r="950" spans="1:9" x14ac:dyDescent="0.25">
      <c r="A950" s="16" t="s">
        <v>139</v>
      </c>
      <c r="B950" s="17" t="s">
        <v>149</v>
      </c>
      <c r="C950" s="18" t="s">
        <v>3</v>
      </c>
      <c r="D950" s="18" t="s">
        <v>141</v>
      </c>
      <c r="E950" s="18" t="s">
        <v>142</v>
      </c>
      <c r="F950" s="19" t="s">
        <v>143</v>
      </c>
      <c r="G950"/>
      <c r="H950"/>
      <c r="I950"/>
    </row>
    <row r="951" spans="1:9" ht="14.25" thickBot="1" x14ac:dyDescent="0.3">
      <c r="A951" s="20" t="s">
        <v>150</v>
      </c>
      <c r="B951" s="21" t="s">
        <v>151</v>
      </c>
      <c r="C951" s="22" t="s">
        <v>152</v>
      </c>
      <c r="D951" s="23">
        <v>0.05</v>
      </c>
      <c r="E951" s="24">
        <f>F949</f>
        <v>81046</v>
      </c>
      <c r="F951" s="40">
        <f>ROUND(D951*E951,0)</f>
        <v>4052</v>
      </c>
      <c r="G951"/>
      <c r="H951"/>
      <c r="I951"/>
    </row>
    <row r="952" spans="1:9" ht="14.25" thickBot="1" x14ac:dyDescent="0.3">
      <c r="A952" s="26" t="s">
        <v>153</v>
      </c>
      <c r="B952" s="27"/>
      <c r="C952" s="28">
        <v>1.7688551275094999</v>
      </c>
      <c r="D952" s="27"/>
      <c r="E952" s="29" t="s">
        <v>148</v>
      </c>
      <c r="F952" s="30">
        <f>SUM(F951)</f>
        <v>4052</v>
      </c>
      <c r="G952"/>
      <c r="H952"/>
      <c r="I952"/>
    </row>
    <row r="953" spans="1:9" x14ac:dyDescent="0.25">
      <c r="A953" s="16" t="s">
        <v>139</v>
      </c>
      <c r="B953" s="17" t="s">
        <v>161</v>
      </c>
      <c r="C953" s="18" t="s">
        <v>3</v>
      </c>
      <c r="D953" s="18" t="s">
        <v>141</v>
      </c>
      <c r="E953" s="18" t="s">
        <v>142</v>
      </c>
      <c r="F953" s="19" t="s">
        <v>143</v>
      </c>
      <c r="G953"/>
      <c r="H953"/>
      <c r="I953"/>
    </row>
    <row r="954" spans="1:9" x14ac:dyDescent="0.25">
      <c r="A954" s="20" t="s">
        <v>184</v>
      </c>
      <c r="B954" s="21" t="s">
        <v>185</v>
      </c>
      <c r="C954" s="22" t="s">
        <v>171</v>
      </c>
      <c r="D954" s="23">
        <v>0.1</v>
      </c>
      <c r="E954" s="24">
        <f>2140*1.052</f>
        <v>2251.2800000000002</v>
      </c>
      <c r="F954" s="40">
        <f>ROUND(D954*E954,0)</f>
        <v>225</v>
      </c>
      <c r="G954"/>
      <c r="H954"/>
      <c r="I954"/>
    </row>
    <row r="955" spans="1:9" ht="14.25" thickBot="1" x14ac:dyDescent="0.3">
      <c r="A955" s="34" t="s">
        <v>191</v>
      </c>
      <c r="B955" s="35" t="s">
        <v>192</v>
      </c>
      <c r="C955" s="36" t="s">
        <v>193</v>
      </c>
      <c r="D955" s="37">
        <f>5/1000</f>
        <v>5.0000000000000001E-3</v>
      </c>
      <c r="E955" s="38">
        <f>176630*1.052</f>
        <v>185814.76</v>
      </c>
      <c r="F955" s="40">
        <f>ROUND(D955*E955,0)</f>
        <v>929</v>
      </c>
      <c r="G955"/>
      <c r="H955"/>
      <c r="I955"/>
    </row>
    <row r="956" spans="1:9" ht="14.25" thickBot="1" x14ac:dyDescent="0.3">
      <c r="A956" s="26"/>
      <c r="B956" s="27"/>
      <c r="C956" s="28"/>
      <c r="D956" s="27"/>
      <c r="E956" s="29" t="s">
        <v>148</v>
      </c>
      <c r="F956" s="30">
        <f>SUM(F954:F955)</f>
        <v>1154</v>
      </c>
      <c r="G956"/>
      <c r="H956"/>
      <c r="I956"/>
    </row>
    <row r="957" spans="1:9" ht="14.25" thickBot="1" x14ac:dyDescent="0.3">
      <c r="A957" s="201" t="s">
        <v>168</v>
      </c>
      <c r="B957" s="202"/>
      <c r="C957" s="202"/>
      <c r="D957" s="202"/>
      <c r="E957" s="182">
        <f>+F946+F949+F952+F956</f>
        <v>289637</v>
      </c>
      <c r="F957" s="183"/>
      <c r="G957"/>
      <c r="H957"/>
      <c r="I957"/>
    </row>
    <row r="958" spans="1:9" x14ac:dyDescent="0.25">
      <c r="A958" s="31"/>
      <c r="F958" s="32"/>
      <c r="G958"/>
      <c r="H958"/>
      <c r="I958"/>
    </row>
    <row r="959" spans="1:9" x14ac:dyDescent="0.25">
      <c r="A959" s="31"/>
      <c r="F959" s="32"/>
    </row>
    <row r="960" spans="1:9" ht="15.75" x14ac:dyDescent="0.25">
      <c r="A960" s="184" t="s">
        <v>136</v>
      </c>
      <c r="B960" s="185"/>
      <c r="C960" s="185"/>
      <c r="D960" s="185"/>
      <c r="E960" s="185"/>
      <c r="F960" s="186"/>
    </row>
    <row r="961" spans="1:6" x14ac:dyDescent="0.25">
      <c r="A961" s="174" t="s">
        <v>582</v>
      </c>
      <c r="B961" s="175"/>
      <c r="C961" s="175"/>
      <c r="D961" s="176"/>
      <c r="E961" s="12" t="s">
        <v>137</v>
      </c>
      <c r="F961" s="13" t="s">
        <v>3</v>
      </c>
    </row>
    <row r="962" spans="1:6" x14ac:dyDescent="0.25">
      <c r="A962" s="177"/>
      <c r="B962" s="178"/>
      <c r="C962" s="178"/>
      <c r="D962" s="179"/>
      <c r="E962" s="14" t="s">
        <v>88</v>
      </c>
      <c r="F962" s="15" t="s">
        <v>171</v>
      </c>
    </row>
    <row r="963" spans="1:6" x14ac:dyDescent="0.25">
      <c r="A963" s="16" t="s">
        <v>139</v>
      </c>
      <c r="B963" s="17" t="s">
        <v>172</v>
      </c>
      <c r="C963" s="18" t="s">
        <v>3</v>
      </c>
      <c r="D963" s="18" t="s">
        <v>141</v>
      </c>
      <c r="E963" s="18" t="s">
        <v>142</v>
      </c>
      <c r="F963" s="19" t="s">
        <v>143</v>
      </c>
    </row>
    <row r="964" spans="1:6" x14ac:dyDescent="0.25">
      <c r="A964" s="20" t="s">
        <v>393</v>
      </c>
      <c r="B964" s="21" t="s">
        <v>394</v>
      </c>
      <c r="C964" s="22" t="s">
        <v>171</v>
      </c>
      <c r="D964" s="23">
        <v>3</v>
      </c>
      <c r="E964" s="24">
        <f>6306.73*1.052</f>
        <v>6634.6799599999995</v>
      </c>
      <c r="F964" s="25">
        <f>ROUND(D964*E964,0)</f>
        <v>19904</v>
      </c>
    </row>
    <row r="965" spans="1:6" x14ac:dyDescent="0.25">
      <c r="A965" s="20" t="s">
        <v>395</v>
      </c>
      <c r="B965" s="21" t="s">
        <v>396</v>
      </c>
      <c r="C965" s="22" t="s">
        <v>171</v>
      </c>
      <c r="D965" s="23">
        <v>1</v>
      </c>
      <c r="E965" s="24">
        <f>457026*1.052</f>
        <v>480791.35200000001</v>
      </c>
      <c r="F965" s="25">
        <f>ROUND(D965*E965,0)</f>
        <v>480791</v>
      </c>
    </row>
    <row r="966" spans="1:6" ht="27" x14ac:dyDescent="0.25">
      <c r="A966" s="20" t="s">
        <v>380</v>
      </c>
      <c r="B966" s="21" t="s">
        <v>381</v>
      </c>
      <c r="C966" s="22" t="s">
        <v>171</v>
      </c>
      <c r="D966" s="23">
        <v>0.27100000000000002</v>
      </c>
      <c r="E966" s="24">
        <f>12935.55*1.052</f>
        <v>13608.1986</v>
      </c>
      <c r="F966" s="25">
        <f>ROUND(D966*E966,0)</f>
        <v>3688</v>
      </c>
    </row>
    <row r="967" spans="1:6" ht="14.25" thickBot="1" x14ac:dyDescent="0.3">
      <c r="A967" s="20" t="s">
        <v>388</v>
      </c>
      <c r="B967" s="21" t="s">
        <v>542</v>
      </c>
      <c r="C967" s="22" t="s">
        <v>293</v>
      </c>
      <c r="D967" s="23">
        <v>0.27100000000000002</v>
      </c>
      <c r="E967" s="24">
        <f>42079.5*1.052</f>
        <v>44267.634000000005</v>
      </c>
      <c r="F967" s="25">
        <f>ROUND(D967*E967,0)</f>
        <v>11997</v>
      </c>
    </row>
    <row r="968" spans="1:6" ht="14.25" thickBot="1" x14ac:dyDescent="0.3">
      <c r="A968" s="26" t="s">
        <v>175</v>
      </c>
      <c r="B968" s="27"/>
      <c r="C968" s="28">
        <v>81.038936897848998</v>
      </c>
      <c r="D968" s="27"/>
      <c r="E968" s="29" t="s">
        <v>148</v>
      </c>
      <c r="F968" s="30">
        <f>SUM(F964:F967)</f>
        <v>516380</v>
      </c>
    </row>
    <row r="969" spans="1:6" x14ac:dyDescent="0.25">
      <c r="A969" s="16" t="s">
        <v>139</v>
      </c>
      <c r="B969" s="17" t="s">
        <v>140</v>
      </c>
      <c r="C969" s="18" t="s">
        <v>3</v>
      </c>
      <c r="D969" s="18" t="s">
        <v>141</v>
      </c>
      <c r="E969" s="18" t="s">
        <v>142</v>
      </c>
      <c r="F969" s="19" t="s">
        <v>143</v>
      </c>
    </row>
    <row r="970" spans="1:6" x14ac:dyDescent="0.25">
      <c r="A970" s="20" t="s">
        <v>289</v>
      </c>
      <c r="B970" s="21" t="s">
        <v>290</v>
      </c>
      <c r="C970" s="22" t="s">
        <v>146</v>
      </c>
      <c r="D970" s="23">
        <v>0.24328855987304268</v>
      </c>
      <c r="E970" s="24">
        <f>283800*$J$1</f>
        <v>320693.99999999994</v>
      </c>
      <c r="F970" s="25">
        <f>ROUND(D970*E970,0)</f>
        <v>78021</v>
      </c>
    </row>
    <row r="971" spans="1:6" ht="14.25" thickBot="1" x14ac:dyDescent="0.3">
      <c r="A971" s="20" t="s">
        <v>397</v>
      </c>
      <c r="B971" s="21" t="s">
        <v>398</v>
      </c>
      <c r="C971" s="22" t="s">
        <v>146</v>
      </c>
      <c r="D971" s="23">
        <v>0.23</v>
      </c>
      <c r="E971" s="24">
        <f>166796.398122445*$J$1</f>
        <v>188479.92987836283</v>
      </c>
      <c r="F971" s="25">
        <f>ROUND(D971*E971,0)</f>
        <v>43350</v>
      </c>
    </row>
    <row r="972" spans="1:6" ht="14.25" thickBot="1" x14ac:dyDescent="0.3">
      <c r="A972" s="26" t="s">
        <v>147</v>
      </c>
      <c r="B972" s="27"/>
      <c r="C972" s="28">
        <v>11.4732143800155</v>
      </c>
      <c r="D972" s="27"/>
      <c r="E972" s="29" t="s">
        <v>148</v>
      </c>
      <c r="F972" s="30">
        <f>SUM(F970:F971)</f>
        <v>121371</v>
      </c>
    </row>
    <row r="973" spans="1:6" x14ac:dyDescent="0.25">
      <c r="A973" s="16" t="s">
        <v>139</v>
      </c>
      <c r="B973" s="17" t="s">
        <v>149</v>
      </c>
      <c r="C973" s="18" t="s">
        <v>3</v>
      </c>
      <c r="D973" s="18" t="s">
        <v>141</v>
      </c>
      <c r="E973" s="18" t="s">
        <v>142</v>
      </c>
      <c r="F973" s="19" t="s">
        <v>143</v>
      </c>
    </row>
    <row r="974" spans="1:6" ht="14.25" thickBot="1" x14ac:dyDescent="0.3">
      <c r="A974" s="20" t="s">
        <v>150</v>
      </c>
      <c r="B974" s="21" t="s">
        <v>151</v>
      </c>
      <c r="C974" s="22" t="s">
        <v>152</v>
      </c>
      <c r="D974" s="23">
        <v>0.05</v>
      </c>
      <c r="E974" s="24">
        <f>F972</f>
        <v>121371</v>
      </c>
      <c r="F974" s="25">
        <f>ROUND(D974*E974,0)</f>
        <v>6069</v>
      </c>
    </row>
    <row r="975" spans="1:6" ht="14.25" thickBot="1" x14ac:dyDescent="0.3">
      <c r="A975" s="26" t="s">
        <v>153</v>
      </c>
      <c r="B975" s="27"/>
      <c r="C975" s="28">
        <v>0.57371352768336803</v>
      </c>
      <c r="D975" s="27"/>
      <c r="E975" s="29" t="s">
        <v>148</v>
      </c>
      <c r="F975" s="30">
        <f>SUM(F974)</f>
        <v>6069</v>
      </c>
    </row>
    <row r="976" spans="1:6" x14ac:dyDescent="0.25">
      <c r="A976" s="16" t="s">
        <v>139</v>
      </c>
      <c r="B976" s="17" t="s">
        <v>161</v>
      </c>
      <c r="C976" s="18" t="s">
        <v>3</v>
      </c>
      <c r="D976" s="18" t="s">
        <v>141</v>
      </c>
      <c r="E976" s="18" t="s">
        <v>142</v>
      </c>
      <c r="F976" s="19" t="s">
        <v>143</v>
      </c>
    </row>
    <row r="977" spans="1:6" x14ac:dyDescent="0.25">
      <c r="A977" s="20" t="s">
        <v>184</v>
      </c>
      <c r="B977" s="21" t="s">
        <v>185</v>
      </c>
      <c r="C977" s="22" t="s">
        <v>171</v>
      </c>
      <c r="D977" s="23">
        <v>2</v>
      </c>
      <c r="E977" s="24">
        <f>2140*1.052</f>
        <v>2251.2800000000002</v>
      </c>
      <c r="F977" s="25">
        <f>ROUND(D977*E977,0)</f>
        <v>4503</v>
      </c>
    </row>
    <row r="978" spans="1:6" ht="14.25" thickBot="1" x14ac:dyDescent="0.3">
      <c r="A978" s="34" t="s">
        <v>191</v>
      </c>
      <c r="B978" s="35" t="s">
        <v>192</v>
      </c>
      <c r="C978" s="36" t="s">
        <v>193</v>
      </c>
      <c r="D978" s="37">
        <f>50/1000</f>
        <v>0.05</v>
      </c>
      <c r="E978" s="38">
        <f>176630*1.052</f>
        <v>185814.76</v>
      </c>
      <c r="F978" s="25">
        <f>ROUND(D978*E978,0)</f>
        <v>9291</v>
      </c>
    </row>
    <row r="979" spans="1:6" ht="14.25" thickBot="1" x14ac:dyDescent="0.3">
      <c r="A979" s="26"/>
      <c r="B979" s="27"/>
      <c r="C979" s="28"/>
      <c r="D979" s="27"/>
      <c r="E979" s="29" t="s">
        <v>148</v>
      </c>
      <c r="F979" s="30">
        <f>SUM(F977:F978)</f>
        <v>13794</v>
      </c>
    </row>
    <row r="980" spans="1:6" ht="15.75" thickBot="1" x14ac:dyDescent="0.3">
      <c r="A980" s="180" t="s">
        <v>168</v>
      </c>
      <c r="B980" s="181"/>
      <c r="C980" s="181"/>
      <c r="D980" s="181"/>
      <c r="E980" s="182">
        <f>F968+F972+F975+F979</f>
        <v>657614</v>
      </c>
      <c r="F980" s="183"/>
    </row>
    <row r="981" spans="1:6" x14ac:dyDescent="0.25">
      <c r="A981" s="31"/>
      <c r="F981" s="32"/>
    </row>
    <row r="982" spans="1:6" ht="15.75" x14ac:dyDescent="0.25">
      <c r="A982" s="184" t="s">
        <v>136</v>
      </c>
      <c r="B982" s="185"/>
      <c r="C982" s="185"/>
      <c r="D982" s="185"/>
      <c r="E982" s="185"/>
      <c r="F982" s="186"/>
    </row>
    <row r="983" spans="1:6" x14ac:dyDescent="0.25">
      <c r="A983" s="174" t="s">
        <v>583</v>
      </c>
      <c r="B983" s="175"/>
      <c r="C983" s="175"/>
      <c r="D983" s="176"/>
      <c r="E983" s="12" t="s">
        <v>137</v>
      </c>
      <c r="F983" s="13" t="s">
        <v>3</v>
      </c>
    </row>
    <row r="984" spans="1:6" x14ac:dyDescent="0.25">
      <c r="A984" s="177"/>
      <c r="B984" s="178"/>
      <c r="C984" s="178"/>
      <c r="D984" s="179"/>
      <c r="E984" s="14" t="s">
        <v>89</v>
      </c>
      <c r="F984" s="15" t="s">
        <v>171</v>
      </c>
    </row>
    <row r="985" spans="1:6" x14ac:dyDescent="0.25">
      <c r="A985" s="16" t="s">
        <v>139</v>
      </c>
      <c r="B985" s="17" t="s">
        <v>172</v>
      </c>
      <c r="C985" s="18" t="s">
        <v>3</v>
      </c>
      <c r="D985" s="18" t="s">
        <v>141</v>
      </c>
      <c r="E985" s="18" t="s">
        <v>142</v>
      </c>
      <c r="F985" s="19" t="s">
        <v>143</v>
      </c>
    </row>
    <row r="986" spans="1:6" x14ac:dyDescent="0.25">
      <c r="A986" s="20" t="s">
        <v>393</v>
      </c>
      <c r="B986" s="21" t="s">
        <v>394</v>
      </c>
      <c r="C986" s="22" t="s">
        <v>171</v>
      </c>
      <c r="D986" s="23">
        <v>3</v>
      </c>
      <c r="E986" s="24">
        <f>6306.73*1.052</f>
        <v>6634.6799599999995</v>
      </c>
      <c r="F986" s="25">
        <f>ROUND(D986*E986,0)</f>
        <v>19904</v>
      </c>
    </row>
    <row r="987" spans="1:6" x14ac:dyDescent="0.25">
      <c r="A987" s="20" t="s">
        <v>399</v>
      </c>
      <c r="B987" s="21" t="s">
        <v>400</v>
      </c>
      <c r="C987" s="22" t="s">
        <v>171</v>
      </c>
      <c r="D987" s="23">
        <v>1</v>
      </c>
      <c r="E987" s="24">
        <f>457025.75234375*1.052</f>
        <v>480791.09146562498</v>
      </c>
      <c r="F987" s="25">
        <f>ROUND(D987*E987,0)</f>
        <v>480791</v>
      </c>
    </row>
    <row r="988" spans="1:6" ht="27" x14ac:dyDescent="0.25">
      <c r="A988" s="20" t="s">
        <v>380</v>
      </c>
      <c r="B988" s="21" t="s">
        <v>381</v>
      </c>
      <c r="C988" s="22" t="s">
        <v>171</v>
      </c>
      <c r="D988" s="23">
        <v>0.27100000000000002</v>
      </c>
      <c r="E988" s="24">
        <f>12935.55*1.052</f>
        <v>13608.1986</v>
      </c>
      <c r="F988" s="25">
        <f>ROUND(D988*E988,0)</f>
        <v>3688</v>
      </c>
    </row>
    <row r="989" spans="1:6" ht="14.25" thickBot="1" x14ac:dyDescent="0.3">
      <c r="A989" s="20" t="s">
        <v>388</v>
      </c>
      <c r="B989" s="21" t="s">
        <v>542</v>
      </c>
      <c r="C989" s="22" t="s">
        <v>293</v>
      </c>
      <c r="D989" s="23">
        <v>0.27100000000000002</v>
      </c>
      <c r="E989" s="24">
        <f>42079.5*1.052</f>
        <v>44267.634000000005</v>
      </c>
      <c r="F989" s="25">
        <f>ROUND(D989*E989,0)</f>
        <v>11997</v>
      </c>
    </row>
    <row r="990" spans="1:6" ht="14.25" thickBot="1" x14ac:dyDescent="0.3">
      <c r="A990" s="26" t="s">
        <v>175</v>
      </c>
      <c r="B990" s="27"/>
      <c r="C990" s="28">
        <v>81.038936897848998</v>
      </c>
      <c r="D990" s="27"/>
      <c r="E990" s="29" t="s">
        <v>148</v>
      </c>
      <c r="F990" s="30">
        <f>SUM(F986:F989)</f>
        <v>516380</v>
      </c>
    </row>
    <row r="991" spans="1:6" x14ac:dyDescent="0.25">
      <c r="A991" s="16" t="s">
        <v>139</v>
      </c>
      <c r="B991" s="17" t="s">
        <v>140</v>
      </c>
      <c r="C991" s="18" t="s">
        <v>3</v>
      </c>
      <c r="D991" s="18" t="s">
        <v>141</v>
      </c>
      <c r="E991" s="18" t="s">
        <v>142</v>
      </c>
      <c r="F991" s="19" t="s">
        <v>143</v>
      </c>
    </row>
    <row r="992" spans="1:6" x14ac:dyDescent="0.25">
      <c r="A992" s="20" t="s">
        <v>289</v>
      </c>
      <c r="B992" s="21" t="s">
        <v>290</v>
      </c>
      <c r="C992" s="22" t="s">
        <v>146</v>
      </c>
      <c r="D992" s="23">
        <v>0.24328855987304268</v>
      </c>
      <c r="E992" s="24">
        <f>283800*$J$1</f>
        <v>320693.99999999994</v>
      </c>
      <c r="F992" s="25">
        <f>ROUND(D992*E992,0)</f>
        <v>78021</v>
      </c>
    </row>
    <row r="993" spans="1:6" ht="14.25" thickBot="1" x14ac:dyDescent="0.3">
      <c r="A993" s="20" t="s">
        <v>397</v>
      </c>
      <c r="B993" s="21" t="s">
        <v>398</v>
      </c>
      <c r="C993" s="22" t="s">
        <v>146</v>
      </c>
      <c r="D993" s="23">
        <v>0.23</v>
      </c>
      <c r="E993" s="24">
        <f>166796.398122445*$J$1</f>
        <v>188479.92987836283</v>
      </c>
      <c r="F993" s="25">
        <f>ROUND(D993*E993,0)</f>
        <v>43350</v>
      </c>
    </row>
    <row r="994" spans="1:6" ht="14.25" thickBot="1" x14ac:dyDescent="0.3">
      <c r="A994" s="26" t="s">
        <v>147</v>
      </c>
      <c r="B994" s="27"/>
      <c r="C994" s="28">
        <v>11.4732143800155</v>
      </c>
      <c r="D994" s="27"/>
      <c r="E994" s="29" t="s">
        <v>148</v>
      </c>
      <c r="F994" s="30">
        <f>SUM(F992:F993)</f>
        <v>121371</v>
      </c>
    </row>
    <row r="995" spans="1:6" x14ac:dyDescent="0.25">
      <c r="A995" s="16" t="s">
        <v>139</v>
      </c>
      <c r="B995" s="17" t="s">
        <v>149</v>
      </c>
      <c r="C995" s="18" t="s">
        <v>3</v>
      </c>
      <c r="D995" s="18" t="s">
        <v>141</v>
      </c>
      <c r="E995" s="18" t="s">
        <v>142</v>
      </c>
      <c r="F995" s="19" t="s">
        <v>143</v>
      </c>
    </row>
    <row r="996" spans="1:6" ht="14.25" thickBot="1" x14ac:dyDescent="0.3">
      <c r="A996" s="20" t="s">
        <v>150</v>
      </c>
      <c r="B996" s="21" t="s">
        <v>151</v>
      </c>
      <c r="C996" s="22" t="s">
        <v>152</v>
      </c>
      <c r="D996" s="23">
        <v>0.05</v>
      </c>
      <c r="E996" s="24">
        <f>F994</f>
        <v>121371</v>
      </c>
      <c r="F996" s="25">
        <f>ROUND(D996*E996,0)</f>
        <v>6069</v>
      </c>
    </row>
    <row r="997" spans="1:6" ht="14.25" thickBot="1" x14ac:dyDescent="0.3">
      <c r="A997" s="26" t="s">
        <v>153</v>
      </c>
      <c r="B997" s="27"/>
      <c r="C997" s="28">
        <v>0.57371352768336803</v>
      </c>
      <c r="D997" s="27"/>
      <c r="E997" s="29" t="s">
        <v>148</v>
      </c>
      <c r="F997" s="30">
        <f>SUM(F996)</f>
        <v>6069</v>
      </c>
    </row>
    <row r="998" spans="1:6" x14ac:dyDescent="0.25">
      <c r="A998" s="16" t="s">
        <v>139</v>
      </c>
      <c r="B998" s="17" t="s">
        <v>161</v>
      </c>
      <c r="C998" s="18" t="s">
        <v>3</v>
      </c>
      <c r="D998" s="18" t="s">
        <v>141</v>
      </c>
      <c r="E998" s="18" t="s">
        <v>142</v>
      </c>
      <c r="F998" s="19" t="s">
        <v>143</v>
      </c>
    </row>
    <row r="999" spans="1:6" x14ac:dyDescent="0.25">
      <c r="A999" s="20" t="s">
        <v>184</v>
      </c>
      <c r="B999" s="21" t="s">
        <v>185</v>
      </c>
      <c r="C999" s="22" t="s">
        <v>171</v>
      </c>
      <c r="D999" s="23">
        <v>2</v>
      </c>
      <c r="E999" s="24">
        <f>2140*1.052</f>
        <v>2251.2800000000002</v>
      </c>
      <c r="F999" s="25">
        <f>ROUND(D999*E999,0)</f>
        <v>4503</v>
      </c>
    </row>
    <row r="1000" spans="1:6" ht="14.25" thickBot="1" x14ac:dyDescent="0.3">
      <c r="A1000" s="34" t="s">
        <v>191</v>
      </c>
      <c r="B1000" s="35" t="s">
        <v>192</v>
      </c>
      <c r="C1000" s="36" t="s">
        <v>193</v>
      </c>
      <c r="D1000" s="37">
        <f>50/1000</f>
        <v>0.05</v>
      </c>
      <c r="E1000" s="38">
        <f>176630*1.052</f>
        <v>185814.76</v>
      </c>
      <c r="F1000" s="25">
        <f>ROUND(D1000*E1000,0)</f>
        <v>9291</v>
      </c>
    </row>
    <row r="1001" spans="1:6" ht="14.25" thickBot="1" x14ac:dyDescent="0.3">
      <c r="A1001" s="26"/>
      <c r="B1001" s="27"/>
      <c r="C1001" s="28"/>
      <c r="D1001" s="27"/>
      <c r="E1001" s="29" t="s">
        <v>148</v>
      </c>
      <c r="F1001" s="30">
        <f>SUM(F999:F1000)</f>
        <v>13794</v>
      </c>
    </row>
    <row r="1002" spans="1:6" ht="15.75" thickBot="1" x14ac:dyDescent="0.3">
      <c r="A1002" s="180" t="s">
        <v>168</v>
      </c>
      <c r="B1002" s="181"/>
      <c r="C1002" s="181"/>
      <c r="D1002" s="181"/>
      <c r="E1002" s="182">
        <f>+F990+F994+F997+F1001</f>
        <v>657614</v>
      </c>
      <c r="F1002" s="183"/>
    </row>
    <row r="1003" spans="1:6" x14ac:dyDescent="0.25">
      <c r="A1003" s="31"/>
      <c r="F1003" s="32"/>
    </row>
    <row r="1004" spans="1:6" ht="15.75" x14ac:dyDescent="0.25">
      <c r="A1004" s="184" t="s">
        <v>136</v>
      </c>
      <c r="B1004" s="185"/>
      <c r="C1004" s="185"/>
      <c r="D1004" s="185"/>
      <c r="E1004" s="185"/>
      <c r="F1004" s="186"/>
    </row>
    <row r="1005" spans="1:6" x14ac:dyDescent="0.25">
      <c r="A1005" s="174" t="s">
        <v>584</v>
      </c>
      <c r="B1005" s="175"/>
      <c r="C1005" s="175"/>
      <c r="D1005" s="176"/>
      <c r="E1005" s="12" t="s">
        <v>137</v>
      </c>
      <c r="F1005" s="13" t="s">
        <v>3</v>
      </c>
    </row>
    <row r="1006" spans="1:6" x14ac:dyDescent="0.25">
      <c r="A1006" s="177"/>
      <c r="B1006" s="178"/>
      <c r="C1006" s="178"/>
      <c r="D1006" s="179"/>
      <c r="E1006" s="14" t="s">
        <v>90</v>
      </c>
      <c r="F1006" s="15" t="s">
        <v>171</v>
      </c>
    </row>
    <row r="1007" spans="1:6" x14ac:dyDescent="0.25">
      <c r="A1007" s="16" t="s">
        <v>139</v>
      </c>
      <c r="B1007" s="17" t="s">
        <v>172</v>
      </c>
      <c r="C1007" s="18" t="s">
        <v>3</v>
      </c>
      <c r="D1007" s="18" t="s">
        <v>141</v>
      </c>
      <c r="E1007" s="18" t="s">
        <v>142</v>
      </c>
      <c r="F1007" s="19" t="s">
        <v>143</v>
      </c>
    </row>
    <row r="1008" spans="1:6" x14ac:dyDescent="0.25">
      <c r="A1008" s="20" t="s">
        <v>393</v>
      </c>
      <c r="B1008" s="21" t="s">
        <v>394</v>
      </c>
      <c r="C1008" s="22" t="s">
        <v>171</v>
      </c>
      <c r="D1008" s="23">
        <v>3</v>
      </c>
      <c r="E1008" s="24">
        <f>6306.73*1.052</f>
        <v>6634.6799599999995</v>
      </c>
      <c r="F1008" s="25">
        <f>ROUND(D1008*E1008,0)</f>
        <v>19904</v>
      </c>
    </row>
    <row r="1009" spans="1:6" x14ac:dyDescent="0.25">
      <c r="A1009" s="20" t="s">
        <v>401</v>
      </c>
      <c r="B1009" s="21" t="s">
        <v>402</v>
      </c>
      <c r="C1009" s="22" t="s">
        <v>171</v>
      </c>
      <c r="D1009" s="23">
        <v>1</v>
      </c>
      <c r="E1009" s="24">
        <f>510681.35347059*1.052</f>
        <v>537236.78385106078</v>
      </c>
      <c r="F1009" s="25">
        <f>ROUND(D1009*E1009,0)</f>
        <v>537237</v>
      </c>
    </row>
    <row r="1010" spans="1:6" ht="27" x14ac:dyDescent="0.25">
      <c r="A1010" s="20" t="s">
        <v>380</v>
      </c>
      <c r="B1010" s="21" t="s">
        <v>381</v>
      </c>
      <c r="C1010" s="22" t="s">
        <v>171</v>
      </c>
      <c r="D1010" s="23">
        <v>0.27100000000000002</v>
      </c>
      <c r="E1010" s="24">
        <f>12935.55*1.052</f>
        <v>13608.1986</v>
      </c>
      <c r="F1010" s="25">
        <f>ROUND(D1010*E1010,0)</f>
        <v>3688</v>
      </c>
    </row>
    <row r="1011" spans="1:6" ht="14.25" thickBot="1" x14ac:dyDescent="0.3">
      <c r="A1011" s="20" t="s">
        <v>388</v>
      </c>
      <c r="B1011" s="21" t="s">
        <v>542</v>
      </c>
      <c r="C1011" s="22" t="s">
        <v>293</v>
      </c>
      <c r="D1011" s="23">
        <v>0.27100000000000002</v>
      </c>
      <c r="E1011" s="24">
        <f>42079.5*1.052</f>
        <v>44267.634000000005</v>
      </c>
      <c r="F1011" s="25">
        <f>ROUND(D1011*E1011,0)</f>
        <v>11997</v>
      </c>
    </row>
    <row r="1012" spans="1:6" ht="14.25" thickBot="1" x14ac:dyDescent="0.3">
      <c r="A1012" s="26" t="s">
        <v>175</v>
      </c>
      <c r="B1012" s="27"/>
      <c r="C1012" s="28">
        <v>85.1239710510485</v>
      </c>
      <c r="D1012" s="27"/>
      <c r="E1012" s="29" t="s">
        <v>148</v>
      </c>
      <c r="F1012" s="30">
        <f>SUM(F1008:F1011)</f>
        <v>572826</v>
      </c>
    </row>
    <row r="1013" spans="1:6" x14ac:dyDescent="0.25">
      <c r="A1013" s="16" t="s">
        <v>139</v>
      </c>
      <c r="B1013" s="17" t="s">
        <v>140</v>
      </c>
      <c r="C1013" s="18" t="s">
        <v>3</v>
      </c>
      <c r="D1013" s="18" t="s">
        <v>141</v>
      </c>
      <c r="E1013" s="18" t="s">
        <v>142</v>
      </c>
      <c r="F1013" s="19" t="s">
        <v>143</v>
      </c>
    </row>
    <row r="1014" spans="1:6" x14ac:dyDescent="0.25">
      <c r="A1014" s="20" t="s">
        <v>289</v>
      </c>
      <c r="B1014" s="21" t="s">
        <v>290</v>
      </c>
      <c r="C1014" s="22" t="s">
        <v>146</v>
      </c>
      <c r="D1014" s="23">
        <v>0.24328855987304268</v>
      </c>
      <c r="E1014" s="24">
        <f>283800*$J$1</f>
        <v>320693.99999999994</v>
      </c>
      <c r="F1014" s="25">
        <f>ROUND(D1014*E1014,0)</f>
        <v>78021</v>
      </c>
    </row>
    <row r="1015" spans="1:6" ht="14.25" thickBot="1" x14ac:dyDescent="0.3">
      <c r="A1015" s="20" t="s">
        <v>397</v>
      </c>
      <c r="B1015" s="21" t="s">
        <v>398</v>
      </c>
      <c r="C1015" s="22" t="s">
        <v>146</v>
      </c>
      <c r="D1015" s="23">
        <v>0.23</v>
      </c>
      <c r="E1015" s="24">
        <f>166796.398122445*$J$1</f>
        <v>188479.92987836283</v>
      </c>
      <c r="F1015" s="25">
        <f>ROUND(D1015*E1015,0)</f>
        <v>43350</v>
      </c>
    </row>
    <row r="1016" spans="1:6" ht="14.25" thickBot="1" x14ac:dyDescent="0.3">
      <c r="A1016" s="26" t="s">
        <v>147</v>
      </c>
      <c r="B1016" s="27"/>
      <c r="C1016" s="28">
        <v>9.0013871234506695</v>
      </c>
      <c r="D1016" s="27"/>
      <c r="E1016" s="29" t="s">
        <v>148</v>
      </c>
      <c r="F1016" s="30">
        <f>SUM(F1014:F1015)</f>
        <v>121371</v>
      </c>
    </row>
    <row r="1017" spans="1:6" x14ac:dyDescent="0.25">
      <c r="A1017" s="16" t="s">
        <v>139</v>
      </c>
      <c r="B1017" s="17" t="s">
        <v>149</v>
      </c>
      <c r="C1017" s="18" t="s">
        <v>3</v>
      </c>
      <c r="D1017" s="18" t="s">
        <v>141</v>
      </c>
      <c r="E1017" s="18" t="s">
        <v>142</v>
      </c>
      <c r="F1017" s="19" t="s">
        <v>143</v>
      </c>
    </row>
    <row r="1018" spans="1:6" ht="14.25" thickBot="1" x14ac:dyDescent="0.3">
      <c r="A1018" s="20" t="s">
        <v>150</v>
      </c>
      <c r="B1018" s="21" t="s">
        <v>151</v>
      </c>
      <c r="C1018" s="22" t="s">
        <v>152</v>
      </c>
      <c r="D1018" s="23">
        <v>0.05</v>
      </c>
      <c r="E1018" s="24">
        <f>F1016</f>
        <v>121371</v>
      </c>
      <c r="F1018" s="25">
        <f>ROUND(D1018*E1018,0)</f>
        <v>6069</v>
      </c>
    </row>
    <row r="1019" spans="1:6" ht="14.25" thickBot="1" x14ac:dyDescent="0.3">
      <c r="A1019" s="26" t="s">
        <v>153</v>
      </c>
      <c r="B1019" s="27"/>
      <c r="C1019" s="28">
        <v>0.45011078757786999</v>
      </c>
      <c r="D1019" s="27"/>
      <c r="E1019" s="29" t="s">
        <v>148</v>
      </c>
      <c r="F1019" s="30">
        <f>SUM(F1018)</f>
        <v>6069</v>
      </c>
    </row>
    <row r="1020" spans="1:6" x14ac:dyDescent="0.25">
      <c r="A1020" s="16" t="s">
        <v>139</v>
      </c>
      <c r="B1020" s="17" t="s">
        <v>161</v>
      </c>
      <c r="C1020" s="18" t="s">
        <v>3</v>
      </c>
      <c r="D1020" s="18" t="s">
        <v>141</v>
      </c>
      <c r="E1020" s="18" t="s">
        <v>142</v>
      </c>
      <c r="F1020" s="19" t="s">
        <v>143</v>
      </c>
    </row>
    <row r="1021" spans="1:6" x14ac:dyDescent="0.25">
      <c r="A1021" s="20" t="s">
        <v>184</v>
      </c>
      <c r="B1021" s="21" t="s">
        <v>185</v>
      </c>
      <c r="C1021" s="22" t="s">
        <v>171</v>
      </c>
      <c r="D1021" s="23">
        <v>2</v>
      </c>
      <c r="E1021" s="24">
        <f>2140*1.052</f>
        <v>2251.2800000000002</v>
      </c>
      <c r="F1021" s="25">
        <f>ROUND(D1021*E1021,0)</f>
        <v>4503</v>
      </c>
    </row>
    <row r="1022" spans="1:6" ht="14.25" thickBot="1" x14ac:dyDescent="0.3">
      <c r="A1022" s="34" t="s">
        <v>191</v>
      </c>
      <c r="B1022" s="35" t="s">
        <v>192</v>
      </c>
      <c r="C1022" s="36" t="s">
        <v>193</v>
      </c>
      <c r="D1022" s="37">
        <f>50/1000</f>
        <v>0.05</v>
      </c>
      <c r="E1022" s="38">
        <f>176630*1.052</f>
        <v>185814.76</v>
      </c>
      <c r="F1022" s="25">
        <f>ROUND(D1022*E1022,0)</f>
        <v>9291</v>
      </c>
    </row>
    <row r="1023" spans="1:6" ht="14.25" thickBot="1" x14ac:dyDescent="0.3">
      <c r="A1023" s="26"/>
      <c r="B1023" s="27"/>
      <c r="C1023" s="28"/>
      <c r="D1023" s="27"/>
      <c r="E1023" s="29" t="s">
        <v>148</v>
      </c>
      <c r="F1023" s="30">
        <f>SUM(F1021:F1022)</f>
        <v>13794</v>
      </c>
    </row>
    <row r="1024" spans="1:6" ht="15.75" thickBot="1" x14ac:dyDescent="0.3">
      <c r="A1024" s="180" t="s">
        <v>168</v>
      </c>
      <c r="B1024" s="181"/>
      <c r="C1024" s="181"/>
      <c r="D1024" s="181"/>
      <c r="E1024" s="182">
        <f>+F1012+F1016+F1019+F1023</f>
        <v>714060</v>
      </c>
      <c r="F1024" s="183"/>
    </row>
    <row r="1025" spans="1:6" x14ac:dyDescent="0.25">
      <c r="A1025" s="31"/>
      <c r="F1025" s="32"/>
    </row>
    <row r="1026" spans="1:6" ht="15.75" x14ac:dyDescent="0.25">
      <c r="A1026" s="184" t="s">
        <v>136</v>
      </c>
      <c r="B1026" s="185"/>
      <c r="C1026" s="185"/>
      <c r="D1026" s="185"/>
      <c r="E1026" s="185"/>
      <c r="F1026" s="186"/>
    </row>
    <row r="1027" spans="1:6" x14ac:dyDescent="0.25">
      <c r="A1027" s="174" t="str">
        <f>+'RESUMEN APUS'!B65</f>
        <v>Suministro e instalación de puerta para baño de 0,70 a 0,90 m, incluye, marco en aluminio, ala perfil en acrílico blanco 2,8 mm y todos los materiales para su correcta ejecución, batiente.</v>
      </c>
      <c r="B1027" s="175"/>
      <c r="C1027" s="175"/>
      <c r="D1027" s="176"/>
      <c r="E1027" s="12" t="s">
        <v>137</v>
      </c>
      <c r="F1027" s="13" t="s">
        <v>3</v>
      </c>
    </row>
    <row r="1028" spans="1:6" x14ac:dyDescent="0.25">
      <c r="A1028" s="177"/>
      <c r="B1028" s="178"/>
      <c r="C1028" s="178"/>
      <c r="D1028" s="179"/>
      <c r="E1028" s="14" t="s">
        <v>91</v>
      </c>
      <c r="F1028" s="15" t="s">
        <v>171</v>
      </c>
    </row>
    <row r="1029" spans="1:6" x14ac:dyDescent="0.25">
      <c r="A1029" s="16" t="s">
        <v>139</v>
      </c>
      <c r="B1029" s="17" t="s">
        <v>172</v>
      </c>
      <c r="C1029" s="18" t="s">
        <v>3</v>
      </c>
      <c r="D1029" s="18" t="s">
        <v>141</v>
      </c>
      <c r="E1029" s="18" t="s">
        <v>142</v>
      </c>
      <c r="F1029" s="19" t="s">
        <v>143</v>
      </c>
    </row>
    <row r="1030" spans="1:6" ht="27" x14ac:dyDescent="0.25">
      <c r="A1030" s="20" t="s">
        <v>403</v>
      </c>
      <c r="B1030" s="21" t="s">
        <v>404</v>
      </c>
      <c r="C1030" s="22" t="s">
        <v>171</v>
      </c>
      <c r="D1030" s="23">
        <v>1</v>
      </c>
      <c r="E1030" s="24">
        <f>594330*1.052</f>
        <v>625235.16</v>
      </c>
      <c r="F1030" s="25">
        <f>ROUND(D1030*E1030,0)</f>
        <v>625235</v>
      </c>
    </row>
    <row r="1031" spans="1:6" x14ac:dyDescent="0.25">
      <c r="A1031" s="20" t="s">
        <v>389</v>
      </c>
      <c r="B1031" s="21" t="s">
        <v>390</v>
      </c>
      <c r="C1031" s="22" t="s">
        <v>171</v>
      </c>
      <c r="D1031" s="23">
        <v>8</v>
      </c>
      <c r="E1031" s="24">
        <f>168.318*1.052</f>
        <v>177.07053600000003</v>
      </c>
      <c r="F1031" s="25">
        <f>ROUND(D1031*E1031,0)</f>
        <v>1417</v>
      </c>
    </row>
    <row r="1032" spans="1:6" ht="14.25" thickBot="1" x14ac:dyDescent="0.3">
      <c r="A1032" s="20" t="s">
        <v>405</v>
      </c>
      <c r="B1032" s="21" t="s">
        <v>406</v>
      </c>
      <c r="C1032" s="22" t="s">
        <v>171</v>
      </c>
      <c r="D1032" s="23">
        <v>8</v>
      </c>
      <c r="E1032" s="24">
        <f>80.003*1.052</f>
        <v>84.163156000000001</v>
      </c>
      <c r="F1032" s="25">
        <f>ROUND(D1032*E1032,0)</f>
        <v>673</v>
      </c>
    </row>
    <row r="1033" spans="1:6" ht="14.25" thickBot="1" x14ac:dyDescent="0.3">
      <c r="A1033" s="26" t="s">
        <v>175</v>
      </c>
      <c r="B1033" s="27"/>
      <c r="C1033" s="28">
        <v>87.218117629115198</v>
      </c>
      <c r="D1033" s="27"/>
      <c r="E1033" s="29" t="s">
        <v>148</v>
      </c>
      <c r="F1033" s="30">
        <f>SUM(F1030:F1032)</f>
        <v>627325</v>
      </c>
    </row>
    <row r="1034" spans="1:6" x14ac:dyDescent="0.25">
      <c r="A1034" s="16" t="s">
        <v>139</v>
      </c>
      <c r="B1034" s="17" t="s">
        <v>140</v>
      </c>
      <c r="C1034" s="18" t="s">
        <v>3</v>
      </c>
      <c r="D1034" s="18" t="s">
        <v>141</v>
      </c>
      <c r="E1034" s="18" t="s">
        <v>142</v>
      </c>
      <c r="F1034" s="19" t="s">
        <v>143</v>
      </c>
    </row>
    <row r="1035" spans="1:6" ht="14.25" thickBot="1" x14ac:dyDescent="0.3">
      <c r="A1035" s="20" t="s">
        <v>289</v>
      </c>
      <c r="B1035" s="21" t="s">
        <v>290</v>
      </c>
      <c r="C1035" s="22" t="s">
        <v>146</v>
      </c>
      <c r="D1035" s="23">
        <v>0.2</v>
      </c>
      <c r="E1035" s="24">
        <f>283800*$J$1</f>
        <v>320693.99999999994</v>
      </c>
      <c r="F1035" s="25">
        <f>ROUND(D1035*E1035,0)</f>
        <v>64139</v>
      </c>
    </row>
    <row r="1036" spans="1:6" ht="14.25" thickBot="1" x14ac:dyDescent="0.3">
      <c r="A1036" s="26" t="s">
        <v>147</v>
      </c>
      <c r="B1036" s="27"/>
      <c r="C1036" s="28">
        <v>5.1812076924112098</v>
      </c>
      <c r="D1036" s="27"/>
      <c r="E1036" s="29" t="s">
        <v>148</v>
      </c>
      <c r="F1036" s="30">
        <f>SUM(F1035)</f>
        <v>64139</v>
      </c>
    </row>
    <row r="1037" spans="1:6" x14ac:dyDescent="0.25">
      <c r="A1037" s="16" t="s">
        <v>139</v>
      </c>
      <c r="B1037" s="17" t="s">
        <v>149</v>
      </c>
      <c r="C1037" s="18" t="s">
        <v>3</v>
      </c>
      <c r="D1037" s="18" t="s">
        <v>141</v>
      </c>
      <c r="E1037" s="18" t="s">
        <v>142</v>
      </c>
      <c r="F1037" s="19" t="s">
        <v>143</v>
      </c>
    </row>
    <row r="1038" spans="1:6" ht="14.25" thickBot="1" x14ac:dyDescent="0.3">
      <c r="A1038" s="20" t="s">
        <v>150</v>
      </c>
      <c r="B1038" s="21" t="s">
        <v>151</v>
      </c>
      <c r="C1038" s="22" t="s">
        <v>152</v>
      </c>
      <c r="D1038" s="23">
        <v>0.05</v>
      </c>
      <c r="E1038" s="24">
        <f>F1036</f>
        <v>64139</v>
      </c>
      <c r="F1038" s="25">
        <f>ROUND(D1038*E1038,0)</f>
        <v>3207</v>
      </c>
    </row>
    <row r="1039" spans="1:6" ht="14.25" thickBot="1" x14ac:dyDescent="0.3">
      <c r="A1039" s="26" t="s">
        <v>153</v>
      </c>
      <c r="B1039" s="27"/>
      <c r="C1039" s="28">
        <v>0.25906038462056102</v>
      </c>
      <c r="D1039" s="27"/>
      <c r="E1039" s="29" t="s">
        <v>148</v>
      </c>
      <c r="F1039" s="30">
        <f>SUM(F1038)</f>
        <v>3207</v>
      </c>
    </row>
    <row r="1040" spans="1:6" x14ac:dyDescent="0.25">
      <c r="A1040" s="16" t="s">
        <v>139</v>
      </c>
      <c r="B1040" s="17" t="s">
        <v>161</v>
      </c>
      <c r="C1040" s="18" t="s">
        <v>3</v>
      </c>
      <c r="D1040" s="18" t="s">
        <v>141</v>
      </c>
      <c r="E1040" s="18" t="s">
        <v>142</v>
      </c>
      <c r="F1040" s="19" t="s">
        <v>143</v>
      </c>
    </row>
    <row r="1041" spans="1:6" x14ac:dyDescent="0.25">
      <c r="A1041" s="20" t="s">
        <v>184</v>
      </c>
      <c r="B1041" s="21" t="s">
        <v>185</v>
      </c>
      <c r="C1041" s="22" t="s">
        <v>171</v>
      </c>
      <c r="D1041" s="23">
        <v>2</v>
      </c>
      <c r="E1041" s="24">
        <f>2140*1.052</f>
        <v>2251.2800000000002</v>
      </c>
      <c r="F1041" s="25">
        <f>ROUND(D1041*E1041,0)</f>
        <v>4503</v>
      </c>
    </row>
    <row r="1042" spans="1:6" ht="14.25" thickBot="1" x14ac:dyDescent="0.3">
      <c r="A1042" s="34" t="s">
        <v>191</v>
      </c>
      <c r="B1042" s="35" t="s">
        <v>192</v>
      </c>
      <c r="C1042" s="36" t="s">
        <v>193</v>
      </c>
      <c r="D1042" s="37">
        <f>50/1000</f>
        <v>0.05</v>
      </c>
      <c r="E1042" s="38">
        <f>176630*1.052</f>
        <v>185814.76</v>
      </c>
      <c r="F1042" s="25">
        <f>ROUND(D1042*E1042,0)</f>
        <v>9291</v>
      </c>
    </row>
    <row r="1043" spans="1:6" ht="14.25" thickBot="1" x14ac:dyDescent="0.3">
      <c r="A1043" s="26"/>
      <c r="B1043" s="27"/>
      <c r="C1043" s="28"/>
      <c r="D1043" s="27"/>
      <c r="E1043" s="29" t="s">
        <v>148</v>
      </c>
      <c r="F1043" s="30">
        <f>SUM(F1041:F1042)</f>
        <v>13794</v>
      </c>
    </row>
    <row r="1044" spans="1:6" ht="15.75" thickBot="1" x14ac:dyDescent="0.3">
      <c r="A1044" s="180" t="s">
        <v>168</v>
      </c>
      <c r="B1044" s="181"/>
      <c r="C1044" s="181"/>
      <c r="D1044" s="181"/>
      <c r="E1044" s="182">
        <f>+F1033+F1036+F1039+F1043</f>
        <v>708465</v>
      </c>
      <c r="F1044" s="183"/>
    </row>
    <row r="1045" spans="1:6" x14ac:dyDescent="0.25">
      <c r="A1045" s="31"/>
      <c r="F1045" s="32"/>
    </row>
    <row r="1046" spans="1:6" ht="15.75" x14ac:dyDescent="0.25">
      <c r="A1046" s="184" t="s">
        <v>136</v>
      </c>
      <c r="B1046" s="185"/>
      <c r="C1046" s="185"/>
      <c r="D1046" s="185"/>
      <c r="E1046" s="185"/>
      <c r="F1046" s="186"/>
    </row>
    <row r="1047" spans="1:6" x14ac:dyDescent="0.25">
      <c r="A1047" s="174" t="str">
        <f>+'RESUMEN APUS'!B66</f>
        <v>Suministro e instalación de puerta en madera de 0.70 x 2.10 m a 0.90 x 2.10 m, incluye, marco en madera, ala en triplex, cerradura de pomo y todos los elementos para su  ejecución.</v>
      </c>
      <c r="B1047" s="175"/>
      <c r="C1047" s="175"/>
      <c r="D1047" s="176"/>
      <c r="E1047" s="12" t="s">
        <v>137</v>
      </c>
      <c r="F1047" s="13" t="s">
        <v>3</v>
      </c>
    </row>
    <row r="1048" spans="1:6" x14ac:dyDescent="0.25">
      <c r="A1048" s="177"/>
      <c r="B1048" s="178"/>
      <c r="C1048" s="178"/>
      <c r="D1048" s="179"/>
      <c r="E1048" s="14" t="s">
        <v>93</v>
      </c>
      <c r="F1048" s="15" t="s">
        <v>171</v>
      </c>
    </row>
    <row r="1049" spans="1:6" x14ac:dyDescent="0.25">
      <c r="A1049" s="16" t="s">
        <v>139</v>
      </c>
      <c r="B1049" s="17" t="s">
        <v>172</v>
      </c>
      <c r="C1049" s="18" t="s">
        <v>3</v>
      </c>
      <c r="D1049" s="18" t="s">
        <v>141</v>
      </c>
      <c r="E1049" s="18" t="s">
        <v>142</v>
      </c>
      <c r="F1049" s="19" t="s">
        <v>143</v>
      </c>
    </row>
    <row r="1050" spans="1:6" ht="27" x14ac:dyDescent="0.25">
      <c r="A1050" s="20" t="s">
        <v>407</v>
      </c>
      <c r="B1050" s="21" t="s">
        <v>408</v>
      </c>
      <c r="C1050" s="22" t="s">
        <v>171</v>
      </c>
      <c r="D1050" s="23">
        <v>1.08</v>
      </c>
      <c r="E1050" s="24">
        <f>333440.740740741*1.052</f>
        <v>350779.65925925958</v>
      </c>
      <c r="F1050" s="25">
        <f>ROUND(D1050*E1050,0)</f>
        <v>378842</v>
      </c>
    </row>
    <row r="1051" spans="1:6" x14ac:dyDescent="0.25">
      <c r="A1051" s="20" t="s">
        <v>389</v>
      </c>
      <c r="B1051" s="21" t="s">
        <v>390</v>
      </c>
      <c r="C1051" s="22" t="s">
        <v>171</v>
      </c>
      <c r="D1051" s="23">
        <v>8</v>
      </c>
      <c r="E1051" s="24">
        <f>168.318*1.052</f>
        <v>177.07053600000003</v>
      </c>
      <c r="F1051" s="25">
        <f>ROUND(D1051*E1051,0)</f>
        <v>1417</v>
      </c>
    </row>
    <row r="1052" spans="1:6" ht="14.25" thickBot="1" x14ac:dyDescent="0.3">
      <c r="A1052" s="20" t="s">
        <v>405</v>
      </c>
      <c r="B1052" s="21" t="s">
        <v>406</v>
      </c>
      <c r="C1052" s="22" t="s">
        <v>171</v>
      </c>
      <c r="D1052" s="23">
        <v>8</v>
      </c>
      <c r="E1052" s="24">
        <f>80.003*1.052</f>
        <v>84.163156000000001</v>
      </c>
      <c r="F1052" s="25">
        <f>ROUND(D1052*E1052,0)</f>
        <v>673</v>
      </c>
    </row>
    <row r="1053" spans="1:6" ht="14.25" thickBot="1" x14ac:dyDescent="0.3">
      <c r="A1053" s="26" t="s">
        <v>175</v>
      </c>
      <c r="B1053" s="27"/>
      <c r="C1053" s="28">
        <v>81.776297311014602</v>
      </c>
      <c r="D1053" s="27"/>
      <c r="E1053" s="29" t="s">
        <v>148</v>
      </c>
      <c r="F1053" s="30">
        <f>SUM(F1050:F1052)</f>
        <v>380932</v>
      </c>
    </row>
    <row r="1054" spans="1:6" x14ac:dyDescent="0.25">
      <c r="A1054" s="16" t="s">
        <v>139</v>
      </c>
      <c r="B1054" s="17" t="s">
        <v>140</v>
      </c>
      <c r="C1054" s="18" t="s">
        <v>3</v>
      </c>
      <c r="D1054" s="18" t="s">
        <v>141</v>
      </c>
      <c r="E1054" s="18" t="s">
        <v>142</v>
      </c>
      <c r="F1054" s="19" t="s">
        <v>143</v>
      </c>
    </row>
    <row r="1055" spans="1:6" ht="14.25" thickBot="1" x14ac:dyDescent="0.3">
      <c r="A1055" s="20" t="s">
        <v>289</v>
      </c>
      <c r="B1055" s="21" t="s">
        <v>290</v>
      </c>
      <c r="C1055" s="22" t="s">
        <v>146</v>
      </c>
      <c r="D1055" s="23">
        <v>0.17</v>
      </c>
      <c r="E1055" s="24">
        <f>283800*$J$1</f>
        <v>320693.99999999994</v>
      </c>
      <c r="F1055" s="25">
        <f>ROUND(D1055*E1055,0)</f>
        <v>54518</v>
      </c>
    </row>
    <row r="1056" spans="1:6" ht="14.25" thickBot="1" x14ac:dyDescent="0.3">
      <c r="A1056" s="26" t="s">
        <v>147</v>
      </c>
      <c r="B1056" s="27"/>
      <c r="C1056" s="28">
        <v>9.6753211556181906</v>
      </c>
      <c r="D1056" s="27"/>
      <c r="E1056" s="29" t="s">
        <v>148</v>
      </c>
      <c r="F1056" s="30">
        <f>SUM(F1055)</f>
        <v>54518</v>
      </c>
    </row>
    <row r="1057" spans="1:6" x14ac:dyDescent="0.25">
      <c r="A1057" s="16" t="s">
        <v>139</v>
      </c>
      <c r="B1057" s="17" t="s">
        <v>149</v>
      </c>
      <c r="C1057" s="18" t="s">
        <v>3</v>
      </c>
      <c r="D1057" s="18" t="s">
        <v>141</v>
      </c>
      <c r="E1057" s="18" t="s">
        <v>142</v>
      </c>
      <c r="F1057" s="19" t="s">
        <v>143</v>
      </c>
    </row>
    <row r="1058" spans="1:6" ht="14.25" thickBot="1" x14ac:dyDescent="0.3">
      <c r="A1058" s="20" t="s">
        <v>150</v>
      </c>
      <c r="B1058" s="21" t="s">
        <v>151</v>
      </c>
      <c r="C1058" s="22" t="s">
        <v>152</v>
      </c>
      <c r="D1058" s="23">
        <v>0.05</v>
      </c>
      <c r="E1058" s="24">
        <f>F1056</f>
        <v>54518</v>
      </c>
      <c r="F1058" s="25">
        <f>ROUND(D1058*E1058,0)</f>
        <v>2726</v>
      </c>
    </row>
    <row r="1059" spans="1:6" ht="14.25" thickBot="1" x14ac:dyDescent="0.3">
      <c r="A1059" s="26" t="s">
        <v>153</v>
      </c>
      <c r="B1059" s="27"/>
      <c r="C1059" s="28">
        <v>0.48388924750787199</v>
      </c>
      <c r="D1059" s="27"/>
      <c r="E1059" s="29" t="s">
        <v>148</v>
      </c>
      <c r="F1059" s="30">
        <f>SUM(F1058)</f>
        <v>2726</v>
      </c>
    </row>
    <row r="1060" spans="1:6" x14ac:dyDescent="0.25">
      <c r="A1060" s="16" t="s">
        <v>139</v>
      </c>
      <c r="B1060" s="17" t="s">
        <v>161</v>
      </c>
      <c r="C1060" s="18" t="s">
        <v>3</v>
      </c>
      <c r="D1060" s="18" t="s">
        <v>141</v>
      </c>
      <c r="E1060" s="18" t="s">
        <v>142</v>
      </c>
      <c r="F1060" s="19" t="s">
        <v>143</v>
      </c>
    </row>
    <row r="1061" spans="1:6" x14ac:dyDescent="0.25">
      <c r="A1061" s="20" t="s">
        <v>184</v>
      </c>
      <c r="B1061" s="21" t="s">
        <v>185</v>
      </c>
      <c r="C1061" s="22" t="s">
        <v>171</v>
      </c>
      <c r="D1061" s="23">
        <v>2</v>
      </c>
      <c r="E1061" s="24">
        <f>2140*1.052</f>
        <v>2251.2800000000002</v>
      </c>
      <c r="F1061" s="25">
        <f>ROUND(D1061*E1061,0)</f>
        <v>4503</v>
      </c>
    </row>
    <row r="1062" spans="1:6" ht="14.25" thickBot="1" x14ac:dyDescent="0.3">
      <c r="A1062" s="34" t="s">
        <v>191</v>
      </c>
      <c r="B1062" s="35" t="s">
        <v>192</v>
      </c>
      <c r="C1062" s="36" t="s">
        <v>193</v>
      </c>
      <c r="D1062" s="37">
        <f>50/1000</f>
        <v>0.05</v>
      </c>
      <c r="E1062" s="38">
        <f>176630*1.052</f>
        <v>185814.76</v>
      </c>
      <c r="F1062" s="25">
        <f>ROUND(D1062*E1062,0)</f>
        <v>9291</v>
      </c>
    </row>
    <row r="1063" spans="1:6" ht="14.25" thickBot="1" x14ac:dyDescent="0.3">
      <c r="A1063" s="26"/>
      <c r="B1063" s="27"/>
      <c r="C1063" s="28"/>
      <c r="D1063" s="27"/>
      <c r="E1063" s="29" t="s">
        <v>148</v>
      </c>
      <c r="F1063" s="30">
        <f>SUM(F1061:F1062)</f>
        <v>13794</v>
      </c>
    </row>
    <row r="1064" spans="1:6" ht="15.75" thickBot="1" x14ac:dyDescent="0.3">
      <c r="A1064" s="180" t="s">
        <v>168</v>
      </c>
      <c r="B1064" s="181"/>
      <c r="C1064" s="181"/>
      <c r="D1064" s="181"/>
      <c r="E1064" s="182">
        <f>+F1053+F1056+F1059+F1063</f>
        <v>451970</v>
      </c>
      <c r="F1064" s="183"/>
    </row>
    <row r="1065" spans="1:6" x14ac:dyDescent="0.25">
      <c r="A1065" s="31"/>
      <c r="F1065" s="32"/>
    </row>
    <row r="1066" spans="1:6" ht="15.75" x14ac:dyDescent="0.25">
      <c r="A1066" s="184" t="s">
        <v>136</v>
      </c>
      <c r="B1066" s="185"/>
      <c r="C1066" s="185"/>
      <c r="D1066" s="185"/>
      <c r="E1066" s="185"/>
      <c r="F1066" s="186"/>
    </row>
    <row r="1067" spans="1:6" x14ac:dyDescent="0.25">
      <c r="A1067" s="174" t="str">
        <f>+'RESUMEN APUS'!B67</f>
        <v>Suministro e instalación de mueble Inferior para cocina, en lamina RH; entre muros (Incluye 2 puertas, 3 cajones, divisorios, entrepaños y todos los elementros para el corrrecto funcionamiento)</v>
      </c>
      <c r="B1067" s="175"/>
      <c r="C1067" s="175"/>
      <c r="D1067" s="176"/>
      <c r="E1067" s="12" t="s">
        <v>137</v>
      </c>
      <c r="F1067" s="13" t="s">
        <v>3</v>
      </c>
    </row>
    <row r="1068" spans="1:6" ht="30.6" customHeight="1" x14ac:dyDescent="0.25">
      <c r="A1068" s="177"/>
      <c r="B1068" s="178"/>
      <c r="C1068" s="178"/>
      <c r="D1068" s="179"/>
      <c r="E1068" s="14" t="s">
        <v>95</v>
      </c>
      <c r="F1068" s="15" t="s">
        <v>411</v>
      </c>
    </row>
    <row r="1069" spans="1:6" x14ac:dyDescent="0.25">
      <c r="A1069" s="16" t="s">
        <v>139</v>
      </c>
      <c r="B1069" s="17" t="s">
        <v>172</v>
      </c>
      <c r="C1069" s="18" t="s">
        <v>3</v>
      </c>
      <c r="D1069" s="18" t="s">
        <v>141</v>
      </c>
      <c r="E1069" s="18" t="s">
        <v>142</v>
      </c>
      <c r="F1069" s="19" t="s">
        <v>143</v>
      </c>
    </row>
    <row r="1070" spans="1:6" x14ac:dyDescent="0.25">
      <c r="A1070" s="20" t="s">
        <v>389</v>
      </c>
      <c r="B1070" s="21" t="s">
        <v>390</v>
      </c>
      <c r="C1070" s="22" t="s">
        <v>171</v>
      </c>
      <c r="D1070" s="23">
        <v>8</v>
      </c>
      <c r="E1070" s="24">
        <v>168.31799999999998</v>
      </c>
      <c r="F1070" s="25">
        <f>ROUND(D1070*E1070,0)</f>
        <v>1347</v>
      </c>
    </row>
    <row r="1071" spans="1:6" x14ac:dyDescent="0.25">
      <c r="A1071" s="20" t="s">
        <v>405</v>
      </c>
      <c r="B1071" s="21" t="s">
        <v>406</v>
      </c>
      <c r="C1071" s="22" t="s">
        <v>171</v>
      </c>
      <c r="D1071" s="23">
        <v>8</v>
      </c>
      <c r="E1071" s="24">
        <v>80.003</v>
      </c>
      <c r="F1071" s="25">
        <f>ROUND(D1071*E1071,0)</f>
        <v>640</v>
      </c>
    </row>
    <row r="1072" spans="1:6" x14ac:dyDescent="0.25">
      <c r="A1072" s="20" t="s">
        <v>409</v>
      </c>
      <c r="B1072" s="21" t="s">
        <v>410</v>
      </c>
      <c r="C1072" s="22" t="s">
        <v>411</v>
      </c>
      <c r="D1072" s="23">
        <v>1</v>
      </c>
      <c r="E1072" s="24">
        <v>571708.2385140945</v>
      </c>
      <c r="F1072" s="25">
        <f>ROUND(D1072*E1072,0)</f>
        <v>571708</v>
      </c>
    </row>
    <row r="1073" spans="1:6" ht="27" x14ac:dyDescent="0.25">
      <c r="A1073" s="20" t="s">
        <v>543</v>
      </c>
      <c r="B1073" s="21" t="s">
        <v>544</v>
      </c>
      <c r="C1073" s="22" t="s">
        <v>138</v>
      </c>
      <c r="D1073" s="23">
        <v>0.6</v>
      </c>
      <c r="E1073" s="24">
        <f>1.08*39900</f>
        <v>43092</v>
      </c>
      <c r="F1073" s="25">
        <f t="shared" ref="F1073:F1080" si="4">ROUND(D1073*E1073,0)</f>
        <v>25855</v>
      </c>
    </row>
    <row r="1074" spans="1:6" x14ac:dyDescent="0.25">
      <c r="A1074" s="20" t="s">
        <v>545</v>
      </c>
      <c r="B1074" s="21" t="s">
        <v>546</v>
      </c>
      <c r="C1074" s="22" t="s">
        <v>202</v>
      </c>
      <c r="D1074" s="23">
        <v>1</v>
      </c>
      <c r="E1074" s="24">
        <f>1.039*1530</f>
        <v>1589.6699999999998</v>
      </c>
      <c r="F1074" s="25">
        <f t="shared" si="4"/>
        <v>1590</v>
      </c>
    </row>
    <row r="1075" spans="1:6" ht="27" x14ac:dyDescent="0.25">
      <c r="A1075" s="20" t="s">
        <v>264</v>
      </c>
      <c r="B1075" s="21" t="s">
        <v>265</v>
      </c>
      <c r="C1075" s="22" t="s">
        <v>202</v>
      </c>
      <c r="D1075" s="23">
        <v>0.16</v>
      </c>
      <c r="E1075" s="24">
        <f>1.039*5500</f>
        <v>5714.5</v>
      </c>
      <c r="F1075" s="25">
        <f t="shared" si="4"/>
        <v>914</v>
      </c>
    </row>
    <row r="1076" spans="1:6" x14ac:dyDescent="0.25">
      <c r="A1076" s="20" t="s">
        <v>266</v>
      </c>
      <c r="B1076" s="21" t="s">
        <v>267</v>
      </c>
      <c r="C1076" s="22" t="s">
        <v>171</v>
      </c>
      <c r="D1076" s="23">
        <v>0.1</v>
      </c>
      <c r="E1076" s="24">
        <f>1.039*1650</f>
        <v>1714.35</v>
      </c>
      <c r="F1076" s="25">
        <f t="shared" si="4"/>
        <v>171</v>
      </c>
    </row>
    <row r="1077" spans="1:6" x14ac:dyDescent="0.25">
      <c r="A1077" s="20" t="s">
        <v>298</v>
      </c>
      <c r="B1077" s="21" t="s">
        <v>299</v>
      </c>
      <c r="C1077" s="22" t="s">
        <v>293</v>
      </c>
      <c r="D1077" s="23">
        <v>1.2E-2</v>
      </c>
      <c r="E1077" s="24">
        <f>1.25*50400</f>
        <v>63000</v>
      </c>
      <c r="F1077" s="25">
        <f t="shared" si="4"/>
        <v>756</v>
      </c>
    </row>
    <row r="1078" spans="1:6" x14ac:dyDescent="0.25">
      <c r="A1078" s="20" t="s">
        <v>300</v>
      </c>
      <c r="B1078" s="55" t="s">
        <v>301</v>
      </c>
      <c r="C1078" s="22" t="s">
        <v>202</v>
      </c>
      <c r="D1078" s="23">
        <v>0.1</v>
      </c>
      <c r="E1078" s="24">
        <f>1.039*1461</f>
        <v>1517.9789999999998</v>
      </c>
      <c r="F1078" s="25">
        <f t="shared" si="4"/>
        <v>152</v>
      </c>
    </row>
    <row r="1079" spans="1:6" x14ac:dyDescent="0.25">
      <c r="A1079" s="20" t="s">
        <v>285</v>
      </c>
      <c r="B1079" s="21" t="s">
        <v>286</v>
      </c>
      <c r="C1079" s="22" t="s">
        <v>202</v>
      </c>
      <c r="D1079" s="23">
        <v>0.05</v>
      </c>
      <c r="E1079" s="24">
        <f>1.039*15900</f>
        <v>16520.099999999999</v>
      </c>
      <c r="F1079" s="25">
        <f t="shared" si="4"/>
        <v>826</v>
      </c>
    </row>
    <row r="1080" spans="1:6" ht="14.25" thickBot="1" x14ac:dyDescent="0.3">
      <c r="A1080" s="20" t="s">
        <v>302</v>
      </c>
      <c r="B1080" s="21" t="s">
        <v>303</v>
      </c>
      <c r="C1080" s="22" t="s">
        <v>171</v>
      </c>
      <c r="D1080" s="23">
        <v>0.5</v>
      </c>
      <c r="E1080" s="24">
        <f>1.039*1310</f>
        <v>1361.09</v>
      </c>
      <c r="F1080" s="25">
        <f t="shared" si="4"/>
        <v>681</v>
      </c>
    </row>
    <row r="1081" spans="1:6" ht="14.25" thickBot="1" x14ac:dyDescent="0.3">
      <c r="A1081" s="26" t="s">
        <v>175</v>
      </c>
      <c r="B1081" s="27"/>
      <c r="C1081" s="28">
        <v>75.172619916125797</v>
      </c>
      <c r="D1081" s="27"/>
      <c r="E1081" s="29" t="s">
        <v>148</v>
      </c>
      <c r="F1081" s="30">
        <f>SUM(F1070:F1080)</f>
        <v>604640</v>
      </c>
    </row>
    <row r="1082" spans="1:6" x14ac:dyDescent="0.25">
      <c r="A1082" s="16" t="s">
        <v>139</v>
      </c>
      <c r="B1082" s="17" t="s">
        <v>140</v>
      </c>
      <c r="C1082" s="18" t="s">
        <v>3</v>
      </c>
      <c r="D1082" s="18" t="s">
        <v>141</v>
      </c>
      <c r="E1082" s="18" t="s">
        <v>142</v>
      </c>
      <c r="F1082" s="19" t="s">
        <v>143</v>
      </c>
    </row>
    <row r="1083" spans="1:6" ht="14.25" thickBot="1" x14ac:dyDescent="0.3">
      <c r="A1083" s="20" t="s">
        <v>289</v>
      </c>
      <c r="B1083" s="21" t="s">
        <v>290</v>
      </c>
      <c r="C1083" s="22" t="s">
        <v>146</v>
      </c>
      <c r="D1083" s="23">
        <v>0.30631999999999998</v>
      </c>
      <c r="E1083" s="24">
        <f>283800*$J$1</f>
        <v>320693.99999999994</v>
      </c>
      <c r="F1083" s="25">
        <f>ROUND(D1083*E1083,0)</f>
        <v>98235</v>
      </c>
    </row>
    <row r="1084" spans="1:6" ht="14.25" thickBot="1" x14ac:dyDescent="0.3">
      <c r="A1084" s="26" t="s">
        <v>147</v>
      </c>
      <c r="B1084" s="27"/>
      <c r="C1084" s="28">
        <v>16.308875511270301</v>
      </c>
      <c r="D1084" s="27"/>
      <c r="E1084" s="29" t="s">
        <v>148</v>
      </c>
      <c r="F1084" s="30">
        <f>SUM(F1083)</f>
        <v>98235</v>
      </c>
    </row>
    <row r="1085" spans="1:6" x14ac:dyDescent="0.25">
      <c r="A1085" s="16" t="s">
        <v>139</v>
      </c>
      <c r="B1085" s="17" t="s">
        <v>149</v>
      </c>
      <c r="C1085" s="18" t="s">
        <v>3</v>
      </c>
      <c r="D1085" s="18" t="s">
        <v>141</v>
      </c>
      <c r="E1085" s="18" t="s">
        <v>142</v>
      </c>
      <c r="F1085" s="19" t="s">
        <v>143</v>
      </c>
    </row>
    <row r="1086" spans="1:6" ht="14.25" thickBot="1" x14ac:dyDescent="0.3">
      <c r="A1086" s="20" t="s">
        <v>150</v>
      </c>
      <c r="B1086" s="21" t="s">
        <v>151</v>
      </c>
      <c r="C1086" s="22" t="s">
        <v>152</v>
      </c>
      <c r="D1086" s="23">
        <v>0.05</v>
      </c>
      <c r="E1086" s="24">
        <v>69300</v>
      </c>
      <c r="F1086" s="25">
        <f>ROUND(D1086*E1086,0)</f>
        <v>3465</v>
      </c>
    </row>
    <row r="1087" spans="1:6" ht="14.25" thickBot="1" x14ac:dyDescent="0.3">
      <c r="A1087" s="26" t="s">
        <v>153</v>
      </c>
      <c r="B1087" s="27"/>
      <c r="C1087" s="28">
        <v>0.81544377556351499</v>
      </c>
      <c r="D1087" s="27"/>
      <c r="E1087" s="29" t="s">
        <v>148</v>
      </c>
      <c r="F1087" s="30">
        <f>SUM(F1086)</f>
        <v>3465</v>
      </c>
    </row>
    <row r="1088" spans="1:6" x14ac:dyDescent="0.25">
      <c r="A1088" s="16" t="s">
        <v>139</v>
      </c>
      <c r="B1088" s="17" t="s">
        <v>161</v>
      </c>
      <c r="C1088" s="18" t="s">
        <v>3</v>
      </c>
      <c r="D1088" s="18" t="s">
        <v>141</v>
      </c>
      <c r="E1088" s="18" t="s">
        <v>142</v>
      </c>
      <c r="F1088" s="19" t="s">
        <v>143</v>
      </c>
    </row>
    <row r="1089" spans="1:6" ht="14.25" thickBot="1" x14ac:dyDescent="0.3">
      <c r="A1089" s="20" t="s">
        <v>184</v>
      </c>
      <c r="B1089" s="21" t="s">
        <v>185</v>
      </c>
      <c r="C1089" s="22" t="s">
        <v>171</v>
      </c>
      <c r="D1089" s="23">
        <v>2</v>
      </c>
      <c r="E1089" s="24">
        <v>4140</v>
      </c>
      <c r="F1089" s="25">
        <f>ROUND(D1089*E1089,0)</f>
        <v>8280</v>
      </c>
    </row>
    <row r="1090" spans="1:6" ht="14.25" thickBot="1" x14ac:dyDescent="0.3">
      <c r="A1090" s="26"/>
      <c r="B1090" s="27"/>
      <c r="C1090" s="28"/>
      <c r="D1090" s="27"/>
      <c r="E1090" s="29" t="s">
        <v>148</v>
      </c>
      <c r="F1090" s="30">
        <f>SUM(F1089:F1089)</f>
        <v>8280</v>
      </c>
    </row>
    <row r="1091" spans="1:6" ht="15.75" thickBot="1" x14ac:dyDescent="0.3">
      <c r="A1091" s="180" t="s">
        <v>168</v>
      </c>
      <c r="B1091" s="181"/>
      <c r="C1091" s="181"/>
      <c r="D1091" s="181"/>
      <c r="E1091" s="182">
        <f>+F1081+F1084+F1087+F1090</f>
        <v>714620</v>
      </c>
      <c r="F1091" s="183"/>
    </row>
    <row r="1092" spans="1:6" x14ac:dyDescent="0.25">
      <c r="A1092" s="31"/>
      <c r="F1092" s="32"/>
    </row>
    <row r="1093" spans="1:6" ht="15.75" x14ac:dyDescent="0.25">
      <c r="A1093" s="184" t="s">
        <v>136</v>
      </c>
      <c r="B1093" s="185"/>
      <c r="C1093" s="185"/>
      <c r="D1093" s="185"/>
      <c r="E1093" s="185"/>
      <c r="F1093" s="186"/>
    </row>
    <row r="1094" spans="1:6" x14ac:dyDescent="0.25">
      <c r="A1094" s="174" t="str">
        <f>+'RESUMEN APUS'!B68</f>
        <v>Suministro e instalación de mueble Superior para cocina, en lamina RH, (Incluye 2 niveles de rejilla metalica para losa-platos-pocillos-vasos y  todos los elementros para el corrrecto funcionamiento)</v>
      </c>
      <c r="B1094" s="175"/>
      <c r="C1094" s="175"/>
      <c r="D1094" s="176"/>
      <c r="E1094" s="12" t="s">
        <v>137</v>
      </c>
      <c r="F1094" s="13" t="s">
        <v>3</v>
      </c>
    </row>
    <row r="1095" spans="1:6" x14ac:dyDescent="0.25">
      <c r="A1095" s="177"/>
      <c r="B1095" s="178"/>
      <c r="C1095" s="178"/>
      <c r="D1095" s="179"/>
      <c r="E1095" s="14" t="s">
        <v>96</v>
      </c>
      <c r="F1095" s="15" t="s">
        <v>411</v>
      </c>
    </row>
    <row r="1096" spans="1:6" x14ac:dyDescent="0.25">
      <c r="A1096" s="16" t="s">
        <v>139</v>
      </c>
      <c r="B1096" s="17" t="s">
        <v>172</v>
      </c>
      <c r="C1096" s="18" t="s">
        <v>3</v>
      </c>
      <c r="D1096" s="18" t="s">
        <v>141</v>
      </c>
      <c r="E1096" s="18" t="s">
        <v>142</v>
      </c>
      <c r="F1096" s="19" t="s">
        <v>143</v>
      </c>
    </row>
    <row r="1097" spans="1:6" x14ac:dyDescent="0.25">
      <c r="A1097" s="20" t="s">
        <v>389</v>
      </c>
      <c r="B1097" s="21" t="s">
        <v>390</v>
      </c>
      <c r="C1097" s="22" t="s">
        <v>171</v>
      </c>
      <c r="D1097" s="23">
        <v>8</v>
      </c>
      <c r="E1097" s="24">
        <v>168.31799999999998</v>
      </c>
      <c r="F1097" s="25">
        <f>ROUND(D1097*E1097,0)</f>
        <v>1347</v>
      </c>
    </row>
    <row r="1098" spans="1:6" x14ac:dyDescent="0.25">
      <c r="A1098" s="20" t="s">
        <v>405</v>
      </c>
      <c r="B1098" s="21" t="s">
        <v>406</v>
      </c>
      <c r="C1098" s="22" t="s">
        <v>171</v>
      </c>
      <c r="D1098" s="23">
        <v>8</v>
      </c>
      <c r="E1098" s="24">
        <v>80.003</v>
      </c>
      <c r="F1098" s="25">
        <f>ROUND(D1098*E1098,0)</f>
        <v>640</v>
      </c>
    </row>
    <row r="1099" spans="1:6" ht="14.25" thickBot="1" x14ac:dyDescent="0.3">
      <c r="A1099" s="20" t="s">
        <v>409</v>
      </c>
      <c r="B1099" s="21" t="s">
        <v>412</v>
      </c>
      <c r="C1099" s="22" t="s">
        <v>411</v>
      </c>
      <c r="D1099" s="23">
        <v>1</v>
      </c>
      <c r="E1099" s="24">
        <v>582953.27401049901</v>
      </c>
      <c r="F1099" s="25">
        <f>ROUND(D1099*E1099,0)</f>
        <v>582953</v>
      </c>
    </row>
    <row r="1100" spans="1:6" ht="14.25" thickBot="1" x14ac:dyDescent="0.3">
      <c r="A1100" s="26" t="s">
        <v>175</v>
      </c>
      <c r="B1100" s="27"/>
      <c r="C1100" s="28">
        <v>75.172619916125797</v>
      </c>
      <c r="D1100" s="27"/>
      <c r="E1100" s="29" t="s">
        <v>148</v>
      </c>
      <c r="F1100" s="30">
        <f>SUM(F1097:F1099)</f>
        <v>584940</v>
      </c>
    </row>
    <row r="1101" spans="1:6" x14ac:dyDescent="0.25">
      <c r="A1101" s="16" t="s">
        <v>139</v>
      </c>
      <c r="B1101" s="17" t="s">
        <v>140</v>
      </c>
      <c r="C1101" s="18" t="s">
        <v>3</v>
      </c>
      <c r="D1101" s="18" t="s">
        <v>141</v>
      </c>
      <c r="E1101" s="18" t="s">
        <v>142</v>
      </c>
      <c r="F1101" s="19" t="s">
        <v>143</v>
      </c>
    </row>
    <row r="1102" spans="1:6" ht="14.25" thickBot="1" x14ac:dyDescent="0.3">
      <c r="A1102" s="20" t="s">
        <v>289</v>
      </c>
      <c r="B1102" s="21" t="s">
        <v>290</v>
      </c>
      <c r="C1102" s="22" t="s">
        <v>146</v>
      </c>
      <c r="D1102" s="23">
        <v>0.30631999999999998</v>
      </c>
      <c r="E1102" s="24">
        <f>283800*$J$1</f>
        <v>320693.99999999994</v>
      </c>
      <c r="F1102" s="25">
        <f>ROUND(D1102*E1102,0)</f>
        <v>98235</v>
      </c>
    </row>
    <row r="1103" spans="1:6" ht="14.25" thickBot="1" x14ac:dyDescent="0.3">
      <c r="A1103" s="26" t="s">
        <v>147</v>
      </c>
      <c r="B1103" s="27"/>
      <c r="C1103" s="28">
        <v>16.308875511270301</v>
      </c>
      <c r="D1103" s="27"/>
      <c r="E1103" s="29" t="s">
        <v>148</v>
      </c>
      <c r="F1103" s="30">
        <f>SUM(F1102)</f>
        <v>98235</v>
      </c>
    </row>
    <row r="1104" spans="1:6" x14ac:dyDescent="0.25">
      <c r="A1104" s="16" t="s">
        <v>139</v>
      </c>
      <c r="B1104" s="17" t="s">
        <v>149</v>
      </c>
      <c r="C1104" s="18" t="s">
        <v>3</v>
      </c>
      <c r="D1104" s="18" t="s">
        <v>141</v>
      </c>
      <c r="E1104" s="18" t="s">
        <v>142</v>
      </c>
      <c r="F1104" s="19" t="s">
        <v>143</v>
      </c>
    </row>
    <row r="1105" spans="1:6" ht="14.25" thickBot="1" x14ac:dyDescent="0.3">
      <c r="A1105" s="20" t="s">
        <v>150</v>
      </c>
      <c r="B1105" s="21" t="s">
        <v>151</v>
      </c>
      <c r="C1105" s="22" t="s">
        <v>152</v>
      </c>
      <c r="D1105" s="23">
        <v>0.05</v>
      </c>
      <c r="E1105" s="24">
        <v>69300</v>
      </c>
      <c r="F1105" s="25">
        <f>ROUND(D1105*E1105,0)</f>
        <v>3465</v>
      </c>
    </row>
    <row r="1106" spans="1:6" ht="14.25" thickBot="1" x14ac:dyDescent="0.3">
      <c r="A1106" s="26" t="s">
        <v>153</v>
      </c>
      <c r="B1106" s="27"/>
      <c r="C1106" s="28">
        <v>0.81544377556351499</v>
      </c>
      <c r="D1106" s="27"/>
      <c r="E1106" s="29" t="s">
        <v>148</v>
      </c>
      <c r="F1106" s="30">
        <f>SUM(F1105)</f>
        <v>3465</v>
      </c>
    </row>
    <row r="1107" spans="1:6" x14ac:dyDescent="0.25">
      <c r="A1107" s="16" t="s">
        <v>139</v>
      </c>
      <c r="B1107" s="17" t="s">
        <v>161</v>
      </c>
      <c r="C1107" s="18" t="s">
        <v>3</v>
      </c>
      <c r="D1107" s="18" t="s">
        <v>141</v>
      </c>
      <c r="E1107" s="18" t="s">
        <v>142</v>
      </c>
      <c r="F1107" s="19" t="s">
        <v>143</v>
      </c>
    </row>
    <row r="1108" spans="1:6" ht="14.25" thickBot="1" x14ac:dyDescent="0.3">
      <c r="A1108" s="20" t="s">
        <v>184</v>
      </c>
      <c r="B1108" s="21" t="s">
        <v>185</v>
      </c>
      <c r="C1108" s="22" t="s">
        <v>171</v>
      </c>
      <c r="D1108" s="23">
        <v>2</v>
      </c>
      <c r="E1108" s="24">
        <v>4140</v>
      </c>
      <c r="F1108" s="25">
        <f>ROUND(D1108*E1108,0)</f>
        <v>8280</v>
      </c>
    </row>
    <row r="1109" spans="1:6" ht="14.25" thickBot="1" x14ac:dyDescent="0.3">
      <c r="A1109" s="26"/>
      <c r="B1109" s="27"/>
      <c r="C1109" s="28"/>
      <c r="D1109" s="27"/>
      <c r="E1109" s="29" t="s">
        <v>148</v>
      </c>
      <c r="F1109" s="30">
        <f>SUM(F1108:F1108)</f>
        <v>8280</v>
      </c>
    </row>
    <row r="1110" spans="1:6" ht="15.75" thickBot="1" x14ac:dyDescent="0.3">
      <c r="A1110" s="180" t="s">
        <v>168</v>
      </c>
      <c r="B1110" s="181"/>
      <c r="C1110" s="181"/>
      <c r="D1110" s="181"/>
      <c r="E1110" s="182">
        <f>+F1100+F1103+F1106+F1109</f>
        <v>694920</v>
      </c>
      <c r="F1110" s="183"/>
    </row>
    <row r="1112" spans="1:6" ht="15.75" x14ac:dyDescent="0.25">
      <c r="A1112" s="184" t="s">
        <v>136</v>
      </c>
      <c r="B1112" s="185"/>
      <c r="C1112" s="185"/>
      <c r="D1112" s="185"/>
      <c r="E1112" s="185"/>
      <c r="F1112" s="186"/>
    </row>
    <row r="1113" spans="1:6" x14ac:dyDescent="0.25">
      <c r="A1113" s="174" t="str">
        <f>+'RESUMEN APUS'!B69</f>
        <v>Reinstalación de puertas y/o ventanas. Incluye canchas, resane y  todo lo necesario para su correcta instalación y funcionamiento.</v>
      </c>
      <c r="B1113" s="175"/>
      <c r="C1113" s="175"/>
      <c r="D1113" s="176"/>
      <c r="E1113" s="12" t="s">
        <v>137</v>
      </c>
      <c r="F1113" s="13" t="s">
        <v>3</v>
      </c>
    </row>
    <row r="1114" spans="1:6" x14ac:dyDescent="0.25">
      <c r="A1114" s="177"/>
      <c r="B1114" s="178"/>
      <c r="C1114" s="178"/>
      <c r="D1114" s="179"/>
      <c r="E1114" s="14" t="s">
        <v>560</v>
      </c>
      <c r="F1114" s="15" t="s">
        <v>566</v>
      </c>
    </row>
    <row r="1115" spans="1:6" x14ac:dyDescent="0.25">
      <c r="A1115" s="16" t="s">
        <v>139</v>
      </c>
      <c r="B1115" s="17" t="s">
        <v>172</v>
      </c>
      <c r="C1115" s="18" t="s">
        <v>3</v>
      </c>
      <c r="D1115" s="18" t="s">
        <v>141</v>
      </c>
      <c r="E1115" s="18" t="s">
        <v>142</v>
      </c>
      <c r="F1115" s="19" t="s">
        <v>143</v>
      </c>
    </row>
    <row r="1116" spans="1:6" x14ac:dyDescent="0.25">
      <c r="A1116" s="20" t="s">
        <v>389</v>
      </c>
      <c r="B1116" s="21" t="s">
        <v>390</v>
      </c>
      <c r="C1116" s="22" t="s">
        <v>171</v>
      </c>
      <c r="D1116" s="23">
        <v>8</v>
      </c>
      <c r="E1116" s="24">
        <f>109*1.052</f>
        <v>114.66800000000001</v>
      </c>
      <c r="F1116" s="25">
        <f>ROUND(D1116*E1116,0)</f>
        <v>917</v>
      </c>
    </row>
    <row r="1117" spans="1:6" x14ac:dyDescent="0.25">
      <c r="A1117" s="20" t="s">
        <v>405</v>
      </c>
      <c r="B1117" s="21" t="s">
        <v>406</v>
      </c>
      <c r="C1117" s="22" t="s">
        <v>171</v>
      </c>
      <c r="D1117" s="23">
        <v>8</v>
      </c>
      <c r="E1117" s="24">
        <f>90*1.052</f>
        <v>94.68</v>
      </c>
      <c r="F1117" s="25">
        <f>ROUND(D1117*E1117,0)</f>
        <v>757</v>
      </c>
    </row>
    <row r="1118" spans="1:6" x14ac:dyDescent="0.25">
      <c r="A1118" s="20" t="s">
        <v>233</v>
      </c>
      <c r="B1118" s="21" t="s">
        <v>234</v>
      </c>
      <c r="C1118" s="22" t="s">
        <v>164</v>
      </c>
      <c r="D1118" s="23">
        <v>2.3E-2</v>
      </c>
      <c r="E1118" s="24">
        <f>520052.51360067*1.052</f>
        <v>547095.24430790485</v>
      </c>
      <c r="F1118" s="25">
        <f>ROUND(D1118*E1118,0)</f>
        <v>12583</v>
      </c>
    </row>
    <row r="1119" spans="1:6" ht="27.75" thickBot="1" x14ac:dyDescent="0.3">
      <c r="A1119" s="20" t="s">
        <v>358</v>
      </c>
      <c r="B1119" s="21" t="s">
        <v>317</v>
      </c>
      <c r="C1119" s="22" t="s">
        <v>171</v>
      </c>
      <c r="D1119" s="23">
        <v>0.25</v>
      </c>
      <c r="E1119" s="24">
        <f>23900*1.052</f>
        <v>25142.800000000003</v>
      </c>
      <c r="F1119" s="25">
        <f t="shared" ref="F1119" si="5">ROUND(D1119*E1119,0)</f>
        <v>6286</v>
      </c>
    </row>
    <row r="1120" spans="1:6" ht="14.25" thickBot="1" x14ac:dyDescent="0.3">
      <c r="A1120" s="26" t="s">
        <v>175</v>
      </c>
      <c r="B1120" s="27"/>
      <c r="C1120" s="28">
        <v>75.172619916125797</v>
      </c>
      <c r="D1120" s="27"/>
      <c r="E1120" s="29" t="s">
        <v>148</v>
      </c>
      <c r="F1120" s="30">
        <f>SUM(F1116:F1119)</f>
        <v>20543</v>
      </c>
    </row>
    <row r="1121" spans="1:10" x14ac:dyDescent="0.25">
      <c r="A1121" s="16" t="s">
        <v>139</v>
      </c>
      <c r="B1121" s="17" t="s">
        <v>140</v>
      </c>
      <c r="C1121" s="18" t="s">
        <v>3</v>
      </c>
      <c r="D1121" s="18" t="s">
        <v>141</v>
      </c>
      <c r="E1121" s="18" t="s">
        <v>142</v>
      </c>
      <c r="F1121" s="19" t="s">
        <v>143</v>
      </c>
    </row>
    <row r="1122" spans="1:10" ht="14.25" thickBot="1" x14ac:dyDescent="0.3">
      <c r="A1122" s="20" t="s">
        <v>289</v>
      </c>
      <c r="B1122" s="21" t="s">
        <v>290</v>
      </c>
      <c r="C1122" s="22" t="s">
        <v>146</v>
      </c>
      <c r="D1122" s="23">
        <v>0.31789544612105436</v>
      </c>
      <c r="E1122" s="24">
        <f>283800*$J$1</f>
        <v>320693.99999999994</v>
      </c>
      <c r="F1122" s="25">
        <f>ROUND(D1122*E1122,0)</f>
        <v>101947</v>
      </c>
    </row>
    <row r="1123" spans="1:10" ht="14.25" thickBot="1" x14ac:dyDescent="0.3">
      <c r="A1123" s="26" t="s">
        <v>147</v>
      </c>
      <c r="B1123" s="27"/>
      <c r="C1123" s="28">
        <v>16.308875511270301</v>
      </c>
      <c r="D1123" s="27"/>
      <c r="E1123" s="29" t="s">
        <v>148</v>
      </c>
      <c r="F1123" s="30">
        <f>SUM(F1122)</f>
        <v>101947</v>
      </c>
    </row>
    <row r="1124" spans="1:10" x14ac:dyDescent="0.25">
      <c r="A1124" s="16" t="s">
        <v>139</v>
      </c>
      <c r="B1124" s="17" t="s">
        <v>149</v>
      </c>
      <c r="C1124" s="18" t="s">
        <v>3</v>
      </c>
      <c r="D1124" s="18" t="s">
        <v>141</v>
      </c>
      <c r="E1124" s="18" t="s">
        <v>142</v>
      </c>
      <c r="F1124" s="19" t="s">
        <v>143</v>
      </c>
    </row>
    <row r="1125" spans="1:10" ht="14.25" thickBot="1" x14ac:dyDescent="0.3">
      <c r="A1125" s="20" t="s">
        <v>150</v>
      </c>
      <c r="B1125" s="21" t="s">
        <v>151</v>
      </c>
      <c r="C1125" s="22" t="s">
        <v>152</v>
      </c>
      <c r="D1125" s="23">
        <v>0.05</v>
      </c>
      <c r="E1125" s="24">
        <f>+F1123</f>
        <v>101947</v>
      </c>
      <c r="F1125" s="25">
        <f>ROUND(D1125*E1125,0)</f>
        <v>5097</v>
      </c>
    </row>
    <row r="1126" spans="1:10" ht="14.25" thickBot="1" x14ac:dyDescent="0.3">
      <c r="A1126" s="26" t="s">
        <v>153</v>
      </c>
      <c r="B1126" s="27"/>
      <c r="C1126" s="28">
        <v>0.81544377556351499</v>
      </c>
      <c r="D1126" s="27"/>
      <c r="E1126" s="29" t="s">
        <v>148</v>
      </c>
      <c r="F1126" s="30">
        <f>SUM(F1125)</f>
        <v>5097</v>
      </c>
    </row>
    <row r="1127" spans="1:10" x14ac:dyDescent="0.25">
      <c r="A1127" s="16" t="s">
        <v>139</v>
      </c>
      <c r="B1127" s="17" t="s">
        <v>161</v>
      </c>
      <c r="C1127" s="18" t="s">
        <v>3</v>
      </c>
      <c r="D1127" s="18" t="s">
        <v>141</v>
      </c>
      <c r="E1127" s="18" t="s">
        <v>142</v>
      </c>
      <c r="F1127" s="19" t="s">
        <v>143</v>
      </c>
    </row>
    <row r="1128" spans="1:10" ht="14.25" thickBot="1" x14ac:dyDescent="0.3">
      <c r="A1128" s="20" t="s">
        <v>184</v>
      </c>
      <c r="B1128" s="21" t="s">
        <v>185</v>
      </c>
      <c r="C1128" s="22" t="s">
        <v>171</v>
      </c>
      <c r="D1128" s="23"/>
      <c r="E1128" s="24"/>
      <c r="F1128" s="25">
        <f>ROUND(D1128*E1128,0)</f>
        <v>0</v>
      </c>
    </row>
    <row r="1129" spans="1:10" ht="14.25" thickBot="1" x14ac:dyDescent="0.3">
      <c r="A1129" s="26"/>
      <c r="B1129" s="27"/>
      <c r="C1129" s="28"/>
      <c r="D1129" s="27"/>
      <c r="E1129" s="29" t="s">
        <v>148</v>
      </c>
      <c r="F1129" s="30">
        <f>SUM(F1128:F1128)</f>
        <v>0</v>
      </c>
    </row>
    <row r="1130" spans="1:10" ht="15.75" thickBot="1" x14ac:dyDescent="0.3">
      <c r="A1130" s="180" t="s">
        <v>168</v>
      </c>
      <c r="B1130" s="181"/>
      <c r="C1130" s="181"/>
      <c r="D1130" s="181"/>
      <c r="E1130" s="182">
        <f>+F1120+F1123+F1126+F1129</f>
        <v>127587</v>
      </c>
      <c r="F1130" s="183"/>
    </row>
    <row r="1131" spans="1:10" x14ac:dyDescent="0.25">
      <c r="A1131" s="31"/>
      <c r="F1131" s="32"/>
    </row>
    <row r="1132" spans="1:10" ht="14.25" thickBot="1" x14ac:dyDescent="0.3">
      <c r="A1132" s="31"/>
      <c r="F1132" s="32"/>
    </row>
    <row r="1133" spans="1:10" s="61" customFormat="1" ht="16.5" thickBot="1" x14ac:dyDescent="0.3">
      <c r="A1133" s="146" t="s">
        <v>136</v>
      </c>
      <c r="B1133" s="147"/>
      <c r="C1133" s="147"/>
      <c r="D1133" s="147"/>
      <c r="E1133" s="147"/>
      <c r="F1133" s="148"/>
      <c r="J1133" s="11"/>
    </row>
    <row r="1134" spans="1:10" s="61" customFormat="1" ht="15.75" x14ac:dyDescent="0.25">
      <c r="A1134" s="160" t="str">
        <f>+'RESUMEN APUS'!B70</f>
        <v>Suministro e instalación de mesón prefabricado en acero inoxidable 1.5 x 0.52 m socoda o similar, incluye machón de soporte acabados con revoque y pintura, pozuelo, grifería y todos los materiales necesarios para su correcta ejecución.</v>
      </c>
      <c r="B1134" s="161"/>
      <c r="C1134" s="161"/>
      <c r="D1134" s="162"/>
      <c r="E1134" s="62" t="s">
        <v>137</v>
      </c>
      <c r="F1134" s="63" t="s">
        <v>3</v>
      </c>
      <c r="J1134" s="11"/>
    </row>
    <row r="1135" spans="1:10" s="61" customFormat="1" ht="16.5" thickBot="1" x14ac:dyDescent="0.3">
      <c r="A1135" s="163"/>
      <c r="B1135" s="164"/>
      <c r="C1135" s="164"/>
      <c r="D1135" s="165"/>
      <c r="E1135" s="64" t="str">
        <f>+'RESUMEN APUS'!A70</f>
        <v>10.14</v>
      </c>
      <c r="F1135" s="65" t="s">
        <v>561</v>
      </c>
      <c r="J1135" s="11"/>
    </row>
    <row r="1136" spans="1:10" s="61" customFormat="1" ht="16.5" thickBot="1" x14ac:dyDescent="0.3">
      <c r="A1136" s="26" t="s">
        <v>139</v>
      </c>
      <c r="B1136" s="66" t="s">
        <v>172</v>
      </c>
      <c r="C1136" s="67" t="s">
        <v>3</v>
      </c>
      <c r="D1136" s="67" t="s">
        <v>141</v>
      </c>
      <c r="E1136" s="67" t="s">
        <v>142</v>
      </c>
      <c r="F1136" s="68" t="s">
        <v>143</v>
      </c>
      <c r="J1136" s="11"/>
    </row>
    <row r="1137" spans="1:10" x14ac:dyDescent="0.25">
      <c r="A1137" s="20"/>
      <c r="B1137" s="70" t="s">
        <v>617</v>
      </c>
      <c r="C1137" s="71" t="s">
        <v>171</v>
      </c>
      <c r="D1137" s="71">
        <v>12.6</v>
      </c>
      <c r="E1137" s="72">
        <f>1771.495*1.052</f>
        <v>1863.61274</v>
      </c>
      <c r="F1137" s="73">
        <f t="shared" ref="F1137:F1139" si="6">ROUND(D1137*E1137,0)</f>
        <v>23482</v>
      </c>
    </row>
    <row r="1138" spans="1:10" x14ac:dyDescent="0.25">
      <c r="A1138" s="20"/>
      <c r="B1138" s="70" t="s">
        <v>633</v>
      </c>
      <c r="C1138" s="71" t="s">
        <v>164</v>
      </c>
      <c r="D1138" s="71">
        <v>2.8000000000000001E-2</v>
      </c>
      <c r="E1138" s="72">
        <f>475000*1.052</f>
        <v>499700</v>
      </c>
      <c r="F1138" s="73">
        <f t="shared" si="6"/>
        <v>13992</v>
      </c>
    </row>
    <row r="1139" spans="1:10" x14ac:dyDescent="0.25">
      <c r="A1139" s="20"/>
      <c r="B1139" s="70" t="s">
        <v>224</v>
      </c>
      <c r="C1139" s="71" t="s">
        <v>164</v>
      </c>
      <c r="D1139" s="71">
        <v>6.3E-2</v>
      </c>
      <c r="E1139" s="72">
        <f>427169.6*1.052</f>
        <v>449382.4192</v>
      </c>
      <c r="F1139" s="73">
        <f t="shared" si="6"/>
        <v>28311</v>
      </c>
    </row>
    <row r="1140" spans="1:10" s="61" customFormat="1" ht="15.75" x14ac:dyDescent="0.25">
      <c r="A1140" s="69"/>
      <c r="B1140" s="70" t="s">
        <v>325</v>
      </c>
      <c r="C1140" s="71" t="s">
        <v>171</v>
      </c>
      <c r="D1140" s="71">
        <v>1</v>
      </c>
      <c r="E1140" s="72">
        <f>22800*1.052</f>
        <v>23985.600000000002</v>
      </c>
      <c r="F1140" s="73">
        <f>+E1140*D1140</f>
        <v>23985.600000000002</v>
      </c>
      <c r="J1140" s="11"/>
    </row>
    <row r="1141" spans="1:10" s="61" customFormat="1" ht="15.75" x14ac:dyDescent="0.25">
      <c r="A1141" s="69"/>
      <c r="B1141" s="70" t="s">
        <v>391</v>
      </c>
      <c r="C1141" s="71" t="s">
        <v>171</v>
      </c>
      <c r="D1141" s="71">
        <v>1</v>
      </c>
      <c r="E1141" s="72">
        <f>125000*1.052</f>
        <v>131500</v>
      </c>
      <c r="F1141" s="73">
        <f t="shared" ref="F1141:F1142" si="7">+E1141*D1141</f>
        <v>131500</v>
      </c>
      <c r="J1141" s="11"/>
    </row>
    <row r="1142" spans="1:10" s="61" customFormat="1" ht="26.25" thickBot="1" x14ac:dyDescent="0.3">
      <c r="A1142" s="69"/>
      <c r="B1142" s="70" t="s">
        <v>562</v>
      </c>
      <c r="C1142" s="71" t="s">
        <v>171</v>
      </c>
      <c r="D1142" s="71">
        <v>1</v>
      </c>
      <c r="E1142" s="72">
        <f>490800*1.052</f>
        <v>516321.60000000003</v>
      </c>
      <c r="F1142" s="73">
        <f t="shared" si="7"/>
        <v>516321.60000000003</v>
      </c>
      <c r="J1142" s="11"/>
    </row>
    <row r="1143" spans="1:10" s="61" customFormat="1" ht="16.5" thickBot="1" x14ac:dyDescent="0.3">
      <c r="A1143" s="74" t="s">
        <v>175</v>
      </c>
      <c r="B1143" s="75"/>
      <c r="C1143" s="76"/>
      <c r="D1143" s="75"/>
      <c r="E1143" s="77" t="s">
        <v>148</v>
      </c>
      <c r="F1143" s="78">
        <f>F1140+F1141+F1142+F1137+F1139+F1138</f>
        <v>737592.20000000007</v>
      </c>
      <c r="J1143" s="11"/>
    </row>
    <row r="1144" spans="1:10" s="61" customFormat="1" ht="15.75" x14ac:dyDescent="0.25">
      <c r="A1144" s="79" t="s">
        <v>139</v>
      </c>
      <c r="B1144" s="80" t="s">
        <v>140</v>
      </c>
      <c r="C1144" s="81" t="s">
        <v>3</v>
      </c>
      <c r="D1144" s="81" t="s">
        <v>141</v>
      </c>
      <c r="E1144" s="81" t="s">
        <v>142</v>
      </c>
      <c r="F1144" s="82" t="s">
        <v>143</v>
      </c>
      <c r="J1144" s="11"/>
    </row>
    <row r="1145" spans="1:10" s="61" customFormat="1" ht="16.5" thickBot="1" x14ac:dyDescent="0.3">
      <c r="A1145" s="69"/>
      <c r="B1145" s="70" t="s">
        <v>315</v>
      </c>
      <c r="C1145" s="71" t="s">
        <v>146</v>
      </c>
      <c r="D1145" s="71">
        <v>0.68654999999999999</v>
      </c>
      <c r="E1145" s="72">
        <f>151633.089202223*1.1*$J$1</f>
        <v>188479.92987836318</v>
      </c>
      <c r="F1145" s="73">
        <f>+E1145*D1145</f>
        <v>129400.89585799024</v>
      </c>
      <c r="J1145" s="11"/>
    </row>
    <row r="1146" spans="1:10" s="61" customFormat="1" ht="16.5" thickBot="1" x14ac:dyDescent="0.3">
      <c r="A1146" s="74" t="s">
        <v>147</v>
      </c>
      <c r="B1146" s="75"/>
      <c r="C1146" s="76"/>
      <c r="D1146" s="75"/>
      <c r="E1146" s="77" t="s">
        <v>148</v>
      </c>
      <c r="F1146" s="78">
        <f>F1145</f>
        <v>129400.89585799024</v>
      </c>
      <c r="J1146" s="11"/>
    </row>
    <row r="1147" spans="1:10" s="61" customFormat="1" ht="15.75" x14ac:dyDescent="0.25">
      <c r="A1147" s="79" t="s">
        <v>139</v>
      </c>
      <c r="B1147" s="80" t="s">
        <v>149</v>
      </c>
      <c r="C1147" s="81" t="s">
        <v>3</v>
      </c>
      <c r="D1147" s="81" t="s">
        <v>141</v>
      </c>
      <c r="E1147" s="81" t="s">
        <v>142</v>
      </c>
      <c r="F1147" s="82" t="s">
        <v>143</v>
      </c>
      <c r="J1147" s="11"/>
    </row>
    <row r="1148" spans="1:10" s="61" customFormat="1" ht="16.5" thickBot="1" x14ac:dyDescent="0.3">
      <c r="A1148" s="69"/>
      <c r="B1148" s="70" t="s">
        <v>151</v>
      </c>
      <c r="C1148" s="71" t="s">
        <v>152</v>
      </c>
      <c r="D1148" s="71">
        <v>0.05</v>
      </c>
      <c r="E1148" s="72">
        <f>+F1146</f>
        <v>129400.89585799024</v>
      </c>
      <c r="F1148" s="73">
        <f>+E1148*D1148</f>
        <v>6470.0447928995127</v>
      </c>
      <c r="J1148" s="11"/>
    </row>
    <row r="1149" spans="1:10" s="61" customFormat="1" ht="16.5" thickBot="1" x14ac:dyDescent="0.3">
      <c r="A1149" s="74" t="s">
        <v>153</v>
      </c>
      <c r="B1149" s="75"/>
      <c r="C1149" s="76"/>
      <c r="D1149" s="75"/>
      <c r="E1149" s="77" t="s">
        <v>148</v>
      </c>
      <c r="F1149" s="78">
        <f>F1148</f>
        <v>6470.0447928995127</v>
      </c>
      <c r="J1149" s="11"/>
    </row>
    <row r="1150" spans="1:10" s="61" customFormat="1" ht="15.75" x14ac:dyDescent="0.25">
      <c r="A1150" s="79" t="s">
        <v>139</v>
      </c>
      <c r="B1150" s="80" t="s">
        <v>161</v>
      </c>
      <c r="C1150" s="81" t="s">
        <v>3</v>
      </c>
      <c r="D1150" s="81" t="s">
        <v>141</v>
      </c>
      <c r="E1150" s="81" t="s">
        <v>142</v>
      </c>
      <c r="F1150" s="82" t="s">
        <v>143</v>
      </c>
      <c r="J1150" s="11"/>
    </row>
    <row r="1151" spans="1:10" s="61" customFormat="1" ht="15.75" x14ac:dyDescent="0.25">
      <c r="A1151" s="69"/>
      <c r="B1151" s="70" t="s">
        <v>185</v>
      </c>
      <c r="C1151" s="71" t="s">
        <v>171</v>
      </c>
      <c r="D1151" s="110">
        <v>0.8</v>
      </c>
      <c r="E1151" s="72">
        <v>2223.46</v>
      </c>
      <c r="F1151" s="73">
        <f>+E1151*D1151</f>
        <v>1778.768</v>
      </c>
      <c r="J1151" s="11"/>
    </row>
    <row r="1152" spans="1:10" s="61" customFormat="1" ht="16.5" thickBot="1" x14ac:dyDescent="0.3">
      <c r="A1152" s="83"/>
      <c r="B1152" s="84" t="s">
        <v>192</v>
      </c>
      <c r="C1152" s="85" t="s">
        <v>193</v>
      </c>
      <c r="D1152" s="85">
        <v>2.8979999999999995E-2</v>
      </c>
      <c r="E1152" s="86">
        <v>176630</v>
      </c>
      <c r="F1152" s="73">
        <f>+E1152*D1152</f>
        <v>5118.7373999999991</v>
      </c>
      <c r="J1152" s="11"/>
    </row>
    <row r="1153" spans="1:10" s="61" customFormat="1" ht="16.5" thickBot="1" x14ac:dyDescent="0.3">
      <c r="A1153" s="74"/>
      <c r="B1153" s="75"/>
      <c r="C1153" s="76"/>
      <c r="D1153" s="75"/>
      <c r="E1153" s="77" t="s">
        <v>148</v>
      </c>
      <c r="F1153" s="78">
        <f>SUM(F1151:F1152)</f>
        <v>6897.5053999999991</v>
      </c>
      <c r="J1153" s="11"/>
    </row>
    <row r="1154" spans="1:10" s="61" customFormat="1" ht="16.5" thickBot="1" x14ac:dyDescent="0.3">
      <c r="A1154" s="166" t="s">
        <v>168</v>
      </c>
      <c r="B1154" s="167"/>
      <c r="C1154" s="167"/>
      <c r="D1154" s="168"/>
      <c r="E1154" s="169">
        <f>F1153+F1149+F1146+F1143</f>
        <v>880360.64605088986</v>
      </c>
      <c r="F1154" s="170"/>
      <c r="J1154" s="11"/>
    </row>
    <row r="1155" spans="1:10" s="61" customFormat="1" ht="16.5" thickBot="1" x14ac:dyDescent="0.3">
      <c r="J1155" s="11"/>
    </row>
    <row r="1156" spans="1:10" s="61" customFormat="1" ht="16.5" thickBot="1" x14ac:dyDescent="0.3">
      <c r="A1156" s="146" t="s">
        <v>136</v>
      </c>
      <c r="B1156" s="147"/>
      <c r="C1156" s="147"/>
      <c r="D1156" s="147"/>
      <c r="E1156" s="147"/>
      <c r="F1156" s="148"/>
      <c r="J1156" s="11"/>
    </row>
    <row r="1157" spans="1:10" s="61" customFormat="1" ht="15.75" x14ac:dyDescent="0.25">
      <c r="A1157" s="160" t="str">
        <f>+'RESUMEN APUS'!B71</f>
        <v>Suministro e instalación de mesón prefabricado en acero inoxidable 1.5 x 0.52 m socoda o similar,  incluye machón de soporte acabados con revoque y pintura,  pozuelo, cubierta en acero inox. cuatro quemadores a gas, grifería y todos los materiales necesarios para su correcta ejecución</v>
      </c>
      <c r="B1157" s="161"/>
      <c r="C1157" s="161"/>
      <c r="D1157" s="162"/>
      <c r="E1157" s="62" t="s">
        <v>137</v>
      </c>
      <c r="F1157" s="63" t="s">
        <v>3</v>
      </c>
      <c r="J1157" s="11"/>
    </row>
    <row r="1158" spans="1:10" s="61" customFormat="1" ht="16.5" thickBot="1" x14ac:dyDescent="0.3">
      <c r="A1158" s="163"/>
      <c r="B1158" s="164"/>
      <c r="C1158" s="164"/>
      <c r="D1158" s="165"/>
      <c r="E1158" s="64" t="str">
        <f>+'RESUMEN APUS'!A71</f>
        <v>10.15</v>
      </c>
      <c r="F1158" s="65" t="s">
        <v>561</v>
      </c>
      <c r="J1158" s="11"/>
    </row>
    <row r="1159" spans="1:10" s="61" customFormat="1" ht="16.5" thickBot="1" x14ac:dyDescent="0.3">
      <c r="A1159" s="26" t="s">
        <v>139</v>
      </c>
      <c r="B1159" s="66" t="s">
        <v>172</v>
      </c>
      <c r="C1159" s="67" t="s">
        <v>3</v>
      </c>
      <c r="D1159" s="67" t="s">
        <v>141</v>
      </c>
      <c r="E1159" s="67" t="s">
        <v>142</v>
      </c>
      <c r="F1159" s="68" t="s">
        <v>143</v>
      </c>
      <c r="J1159" s="11"/>
    </row>
    <row r="1160" spans="1:10" x14ac:dyDescent="0.25">
      <c r="A1160" s="20"/>
      <c r="B1160" s="70" t="s">
        <v>617</v>
      </c>
      <c r="C1160" s="71" t="s">
        <v>171</v>
      </c>
      <c r="D1160" s="71">
        <v>12.6</v>
      </c>
      <c r="E1160" s="72">
        <f>1771.495*1.052</f>
        <v>1863.61274</v>
      </c>
      <c r="F1160" s="73">
        <f t="shared" ref="F1160:F1162" si="8">ROUND(D1160*E1160,0)</f>
        <v>23482</v>
      </c>
    </row>
    <row r="1161" spans="1:10" x14ac:dyDescent="0.25">
      <c r="A1161" s="20"/>
      <c r="B1161" s="70" t="s">
        <v>633</v>
      </c>
      <c r="C1161" s="71" t="s">
        <v>164</v>
      </c>
      <c r="D1161" s="71">
        <v>2.8000000000000001E-2</v>
      </c>
      <c r="E1161" s="72">
        <f>475000*1.052</f>
        <v>499700</v>
      </c>
      <c r="F1161" s="73">
        <f t="shared" si="8"/>
        <v>13992</v>
      </c>
    </row>
    <row r="1162" spans="1:10" x14ac:dyDescent="0.25">
      <c r="A1162" s="20"/>
      <c r="B1162" s="70" t="s">
        <v>224</v>
      </c>
      <c r="C1162" s="71" t="s">
        <v>164</v>
      </c>
      <c r="D1162" s="71">
        <v>6.3E-2</v>
      </c>
      <c r="E1162" s="72">
        <f>427169.6*1.052</f>
        <v>449382.4192</v>
      </c>
      <c r="F1162" s="73">
        <f t="shared" si="8"/>
        <v>28311</v>
      </c>
    </row>
    <row r="1163" spans="1:10" s="61" customFormat="1" ht="15.75" x14ac:dyDescent="0.25">
      <c r="A1163" s="69"/>
      <c r="B1163" s="70" t="s">
        <v>392</v>
      </c>
      <c r="C1163" s="71" t="s">
        <v>171</v>
      </c>
      <c r="D1163" s="71">
        <v>1</v>
      </c>
      <c r="E1163" s="72">
        <f>495000*1.052</f>
        <v>520740</v>
      </c>
      <c r="F1163" s="73">
        <f>+D1163*E1163</f>
        <v>520740</v>
      </c>
      <c r="J1163" s="11"/>
    </row>
    <row r="1164" spans="1:10" s="61" customFormat="1" ht="15.75" x14ac:dyDescent="0.25">
      <c r="A1164" s="69"/>
      <c r="B1164" s="70" t="s">
        <v>325</v>
      </c>
      <c r="C1164" s="71" t="s">
        <v>171</v>
      </c>
      <c r="D1164" s="71">
        <v>1</v>
      </c>
      <c r="E1164" s="72">
        <f>+E1140</f>
        <v>23985.600000000002</v>
      </c>
      <c r="F1164" s="73">
        <f>+D1164*E1164</f>
        <v>23985.600000000002</v>
      </c>
      <c r="J1164" s="11"/>
    </row>
    <row r="1165" spans="1:10" s="61" customFormat="1" ht="15.75" x14ac:dyDescent="0.25">
      <c r="A1165" s="69"/>
      <c r="B1165" s="70" t="s">
        <v>391</v>
      </c>
      <c r="C1165" s="71" t="s">
        <v>171</v>
      </c>
      <c r="D1165" s="71">
        <v>1</v>
      </c>
      <c r="E1165" s="72">
        <f>+E1141</f>
        <v>131500</v>
      </c>
      <c r="F1165" s="73">
        <f t="shared" ref="F1165:F1166" si="9">+D1165*E1165</f>
        <v>131500</v>
      </c>
      <c r="J1165" s="11"/>
    </row>
    <row r="1166" spans="1:10" s="61" customFormat="1" ht="26.25" thickBot="1" x14ac:dyDescent="0.3">
      <c r="A1166" s="69"/>
      <c r="B1166" s="70" t="s">
        <v>562</v>
      </c>
      <c r="C1166" s="71" t="s">
        <v>171</v>
      </c>
      <c r="D1166" s="71">
        <v>1</v>
      </c>
      <c r="E1166" s="72">
        <f>+E1142</f>
        <v>516321.60000000003</v>
      </c>
      <c r="F1166" s="73">
        <f t="shared" si="9"/>
        <v>516321.60000000003</v>
      </c>
      <c r="J1166" s="11"/>
    </row>
    <row r="1167" spans="1:10" s="61" customFormat="1" ht="16.5" thickBot="1" x14ac:dyDescent="0.3">
      <c r="A1167" s="74" t="s">
        <v>175</v>
      </c>
      <c r="B1167" s="75"/>
      <c r="C1167" s="76"/>
      <c r="D1167" s="75"/>
      <c r="E1167" s="77" t="s">
        <v>148</v>
      </c>
      <c r="F1167" s="78">
        <f>SUM(F1160:F1166)</f>
        <v>1258332.2</v>
      </c>
      <c r="J1167" s="11"/>
    </row>
    <row r="1168" spans="1:10" s="61" customFormat="1" ht="15.75" x14ac:dyDescent="0.25">
      <c r="A1168" s="79" t="s">
        <v>139</v>
      </c>
      <c r="B1168" s="80" t="s">
        <v>140</v>
      </c>
      <c r="C1168" s="81" t="s">
        <v>3</v>
      </c>
      <c r="D1168" s="81" t="s">
        <v>141</v>
      </c>
      <c r="E1168" s="81" t="s">
        <v>142</v>
      </c>
      <c r="F1168" s="82" t="s">
        <v>143</v>
      </c>
      <c r="J1168" s="11"/>
    </row>
    <row r="1169" spans="1:10" s="61" customFormat="1" ht="16.5" thickBot="1" x14ac:dyDescent="0.3">
      <c r="A1169" s="69"/>
      <c r="B1169" s="70" t="s">
        <v>315</v>
      </c>
      <c r="C1169" s="71" t="s">
        <v>146</v>
      </c>
      <c r="D1169" s="71">
        <v>0.68654999999999999</v>
      </c>
      <c r="E1169" s="72">
        <f>151633.089202223*1.1*$J$1</f>
        <v>188479.92987836318</v>
      </c>
      <c r="F1169" s="73">
        <v>104103.69739178597</v>
      </c>
      <c r="J1169" s="11"/>
    </row>
    <row r="1170" spans="1:10" s="61" customFormat="1" ht="16.5" thickBot="1" x14ac:dyDescent="0.3">
      <c r="A1170" s="74" t="s">
        <v>147</v>
      </c>
      <c r="B1170" s="75"/>
      <c r="C1170" s="76"/>
      <c r="D1170" s="75"/>
      <c r="E1170" s="77" t="s">
        <v>148</v>
      </c>
      <c r="F1170" s="78">
        <f>SUM(F1169)</f>
        <v>104103.69739178597</v>
      </c>
      <c r="J1170" s="11"/>
    </row>
    <row r="1171" spans="1:10" s="61" customFormat="1" ht="15.75" x14ac:dyDescent="0.25">
      <c r="A1171" s="79" t="s">
        <v>139</v>
      </c>
      <c r="B1171" s="80" t="s">
        <v>149</v>
      </c>
      <c r="C1171" s="81" t="s">
        <v>3</v>
      </c>
      <c r="D1171" s="81" t="s">
        <v>141</v>
      </c>
      <c r="E1171" s="81" t="s">
        <v>142</v>
      </c>
      <c r="F1171" s="82" t="s">
        <v>143</v>
      </c>
      <c r="J1171" s="11"/>
    </row>
    <row r="1172" spans="1:10" s="61" customFormat="1" ht="16.5" thickBot="1" x14ac:dyDescent="0.3">
      <c r="A1172" s="69"/>
      <c r="B1172" s="70" t="s">
        <v>151</v>
      </c>
      <c r="C1172" s="71" t="s">
        <v>152</v>
      </c>
      <c r="D1172" s="71">
        <v>0.05</v>
      </c>
      <c r="E1172" s="72">
        <f>+F1170</f>
        <v>104103.69739178597</v>
      </c>
      <c r="F1172" s="73">
        <f>+E1172*D1172</f>
        <v>5205.1848695892986</v>
      </c>
      <c r="J1172" s="11"/>
    </row>
    <row r="1173" spans="1:10" s="61" customFormat="1" ht="16.5" thickBot="1" x14ac:dyDescent="0.3">
      <c r="A1173" s="74" t="s">
        <v>153</v>
      </c>
      <c r="B1173" s="75"/>
      <c r="C1173" s="76"/>
      <c r="D1173" s="75"/>
      <c r="E1173" s="77" t="s">
        <v>148</v>
      </c>
      <c r="F1173" s="78">
        <f>SUM(F1172)</f>
        <v>5205.1848695892986</v>
      </c>
      <c r="J1173" s="11"/>
    </row>
    <row r="1174" spans="1:10" s="61" customFormat="1" ht="15.75" x14ac:dyDescent="0.25">
      <c r="A1174" s="79" t="s">
        <v>139</v>
      </c>
      <c r="B1174" s="80" t="s">
        <v>161</v>
      </c>
      <c r="C1174" s="81" t="s">
        <v>3</v>
      </c>
      <c r="D1174" s="81" t="s">
        <v>141</v>
      </c>
      <c r="E1174" s="81" t="s">
        <v>142</v>
      </c>
      <c r="F1174" s="82" t="s">
        <v>143</v>
      </c>
      <c r="J1174" s="11"/>
    </row>
    <row r="1175" spans="1:10" s="61" customFormat="1" ht="15.75" x14ac:dyDescent="0.25">
      <c r="A1175" s="69"/>
      <c r="B1175" s="70" t="s">
        <v>185</v>
      </c>
      <c r="C1175" s="71" t="s">
        <v>171</v>
      </c>
      <c r="D1175" s="71">
        <v>0.8</v>
      </c>
      <c r="E1175" s="72">
        <v>2223.46</v>
      </c>
      <c r="F1175" s="73">
        <f>+E1175*D1175</f>
        <v>1778.768</v>
      </c>
      <c r="J1175" s="11"/>
    </row>
    <row r="1176" spans="1:10" s="61" customFormat="1" ht="16.5" thickBot="1" x14ac:dyDescent="0.3">
      <c r="A1176" s="83"/>
      <c r="B1176" s="84" t="s">
        <v>192</v>
      </c>
      <c r="C1176" s="85" t="s">
        <v>193</v>
      </c>
      <c r="D1176" s="85">
        <v>2.8979999999999995E-2</v>
      </c>
      <c r="E1176" s="86">
        <v>176630</v>
      </c>
      <c r="F1176" s="73">
        <f>+E1176*D1176</f>
        <v>5118.7373999999991</v>
      </c>
      <c r="J1176" s="11"/>
    </row>
    <row r="1177" spans="1:10" s="61" customFormat="1" ht="16.5" thickBot="1" x14ac:dyDescent="0.3">
      <c r="A1177" s="74"/>
      <c r="B1177" s="75"/>
      <c r="C1177" s="76"/>
      <c r="D1177" s="75"/>
      <c r="E1177" s="77" t="s">
        <v>148</v>
      </c>
      <c r="F1177" s="78">
        <f>SUM(F1175:F1176)</f>
        <v>6897.5053999999991</v>
      </c>
      <c r="J1177" s="11"/>
    </row>
    <row r="1178" spans="1:10" s="61" customFormat="1" ht="16.5" thickBot="1" x14ac:dyDescent="0.3">
      <c r="A1178" s="166" t="s">
        <v>168</v>
      </c>
      <c r="B1178" s="167"/>
      <c r="C1178" s="167"/>
      <c r="D1178" s="168"/>
      <c r="E1178" s="169">
        <f>F1177+F1173+F1170+F1167</f>
        <v>1374538.5876613753</v>
      </c>
      <c r="F1178" s="170"/>
      <c r="J1178" s="11"/>
    </row>
    <row r="1179" spans="1:10" s="61" customFormat="1" ht="16.5" thickBot="1" x14ac:dyDescent="0.3">
      <c r="A1179" s="87"/>
      <c r="B1179" s="88"/>
      <c r="C1179" s="88"/>
      <c r="D1179" s="88"/>
      <c r="E1179" s="89"/>
      <c r="F1179" s="90"/>
      <c r="J1179" s="11"/>
    </row>
    <row r="1180" spans="1:10" s="61" customFormat="1" ht="16.5" thickBot="1" x14ac:dyDescent="0.3">
      <c r="A1180" s="146" t="s">
        <v>136</v>
      </c>
      <c r="B1180" s="147"/>
      <c r="C1180" s="147"/>
      <c r="D1180" s="147"/>
      <c r="E1180" s="147"/>
      <c r="F1180" s="148"/>
      <c r="J1180" s="11"/>
    </row>
    <row r="1181" spans="1:10" s="61" customFormat="1" ht="15.75" x14ac:dyDescent="0.25">
      <c r="A1181" s="160" t="str">
        <f>+'RESUMEN APUS'!B72</f>
        <v>Suministro e instalación de mesón prefabricado en acero inoxidable 1.8 x 0.52 m socoda o similar,  incluye tres machones de soporte acabados con revoque y pintura, pozuelo, grifería y todos los materiales necesarios para su correcta ejecución.</v>
      </c>
      <c r="B1181" s="161"/>
      <c r="C1181" s="161"/>
      <c r="D1181" s="162"/>
      <c r="E1181" s="62" t="s">
        <v>137</v>
      </c>
      <c r="F1181" s="63" t="s">
        <v>3</v>
      </c>
      <c r="J1181" s="11"/>
    </row>
    <row r="1182" spans="1:10" s="61" customFormat="1" ht="16.5" thickBot="1" x14ac:dyDescent="0.3">
      <c r="A1182" s="163"/>
      <c r="B1182" s="164"/>
      <c r="C1182" s="164"/>
      <c r="D1182" s="165"/>
      <c r="E1182" s="64" t="str">
        <f>+'RESUMEN APUS'!A72</f>
        <v>10.16</v>
      </c>
      <c r="F1182" s="65" t="s">
        <v>561</v>
      </c>
      <c r="J1182" s="11"/>
    </row>
    <row r="1183" spans="1:10" s="61" customFormat="1" ht="16.5" thickBot="1" x14ac:dyDescent="0.3">
      <c r="A1183" s="26" t="s">
        <v>139</v>
      </c>
      <c r="B1183" s="66" t="s">
        <v>172</v>
      </c>
      <c r="C1183" s="67" t="s">
        <v>3</v>
      </c>
      <c r="D1183" s="67" t="s">
        <v>141</v>
      </c>
      <c r="E1183" s="67" t="s">
        <v>142</v>
      </c>
      <c r="F1183" s="68" t="s">
        <v>143</v>
      </c>
      <c r="J1183" s="11"/>
    </row>
    <row r="1184" spans="1:10" x14ac:dyDescent="0.25">
      <c r="A1184" s="20"/>
      <c r="B1184" s="70" t="s">
        <v>617</v>
      </c>
      <c r="C1184" s="71" t="s">
        <v>171</v>
      </c>
      <c r="D1184" s="71">
        <f>12.6*3</f>
        <v>37.799999999999997</v>
      </c>
      <c r="E1184" s="126">
        <f>1771.495*1.052</f>
        <v>1863.61274</v>
      </c>
      <c r="F1184" s="125">
        <f t="shared" ref="F1184:F1186" si="10">ROUND(D1184*E1184,0)</f>
        <v>70445</v>
      </c>
    </row>
    <row r="1185" spans="1:10" x14ac:dyDescent="0.25">
      <c r="A1185" s="20"/>
      <c r="B1185" s="70" t="s">
        <v>633</v>
      </c>
      <c r="C1185" s="71" t="s">
        <v>164</v>
      </c>
      <c r="D1185" s="71">
        <v>2.8000000000000001E-2</v>
      </c>
      <c r="E1185" s="72">
        <f>475000*1.052</f>
        <v>499700</v>
      </c>
      <c r="F1185" s="73">
        <f t="shared" ref="F1185" si="11">ROUND(D1185*E1185,0)</f>
        <v>13992</v>
      </c>
    </row>
    <row r="1186" spans="1:10" x14ac:dyDescent="0.25">
      <c r="A1186" s="20"/>
      <c r="B1186" s="70" t="s">
        <v>224</v>
      </c>
      <c r="C1186" s="71" t="s">
        <v>164</v>
      </c>
      <c r="D1186" s="71">
        <f>0.063*3</f>
        <v>0.189</v>
      </c>
      <c r="E1186" s="72">
        <f>427169.6*1.052</f>
        <v>449382.4192</v>
      </c>
      <c r="F1186" s="73">
        <f t="shared" si="10"/>
        <v>84933</v>
      </c>
    </row>
    <row r="1187" spans="1:10" s="61" customFormat="1" ht="15.75" x14ac:dyDescent="0.25">
      <c r="A1187" s="69"/>
      <c r="B1187" s="70" t="s">
        <v>325</v>
      </c>
      <c r="C1187" s="71" t="s">
        <v>171</v>
      </c>
      <c r="D1187" s="71">
        <v>1</v>
      </c>
      <c r="E1187" s="72">
        <f>+E1140</f>
        <v>23985.600000000002</v>
      </c>
      <c r="F1187" s="73">
        <f>+D1187*E1187</f>
        <v>23985.600000000002</v>
      </c>
      <c r="J1187" s="11"/>
    </row>
    <row r="1188" spans="1:10" s="61" customFormat="1" ht="15.75" x14ac:dyDescent="0.25">
      <c r="A1188" s="69"/>
      <c r="B1188" s="70" t="s">
        <v>391</v>
      </c>
      <c r="C1188" s="71" t="s">
        <v>171</v>
      </c>
      <c r="D1188" s="71">
        <v>1</v>
      </c>
      <c r="E1188" s="72">
        <f>+E1141</f>
        <v>131500</v>
      </c>
      <c r="F1188" s="73">
        <f>+D1188*E1188</f>
        <v>131500</v>
      </c>
      <c r="J1188" s="11"/>
    </row>
    <row r="1189" spans="1:10" s="61" customFormat="1" ht="26.25" thickBot="1" x14ac:dyDescent="0.3">
      <c r="A1189" s="69"/>
      <c r="B1189" s="70" t="s">
        <v>563</v>
      </c>
      <c r="C1189" s="71" t="s">
        <v>171</v>
      </c>
      <c r="D1189" s="71">
        <v>1</v>
      </c>
      <c r="E1189" s="72">
        <f>630000*1.052</f>
        <v>662760</v>
      </c>
      <c r="F1189" s="73">
        <f>+D1189*E1189</f>
        <v>662760</v>
      </c>
      <c r="J1189" s="11"/>
    </row>
    <row r="1190" spans="1:10" s="61" customFormat="1" ht="16.5" thickBot="1" x14ac:dyDescent="0.3">
      <c r="A1190" s="74" t="s">
        <v>175</v>
      </c>
      <c r="B1190" s="75"/>
      <c r="C1190" s="76"/>
      <c r="D1190" s="75"/>
      <c r="E1190" s="77" t="s">
        <v>148</v>
      </c>
      <c r="F1190" s="78">
        <f>F1187+F1188+F1189+F1184+F1186+F1185</f>
        <v>987615.6</v>
      </c>
      <c r="J1190" s="11"/>
    </row>
    <row r="1191" spans="1:10" s="61" customFormat="1" ht="15.75" x14ac:dyDescent="0.25">
      <c r="A1191" s="79" t="s">
        <v>139</v>
      </c>
      <c r="B1191" s="80" t="s">
        <v>140</v>
      </c>
      <c r="C1191" s="81" t="s">
        <v>3</v>
      </c>
      <c r="D1191" s="81" t="s">
        <v>141</v>
      </c>
      <c r="E1191" s="81" t="s">
        <v>142</v>
      </c>
      <c r="F1191" s="82" t="s">
        <v>143</v>
      </c>
      <c r="J1191" s="11"/>
    </row>
    <row r="1192" spans="1:10" s="61" customFormat="1" ht="16.5" thickBot="1" x14ac:dyDescent="0.3">
      <c r="A1192" s="69"/>
      <c r="B1192" s="70" t="s">
        <v>315</v>
      </c>
      <c r="C1192" s="71" t="s">
        <v>146</v>
      </c>
      <c r="D1192" s="71">
        <v>0.68654999999999999</v>
      </c>
      <c r="E1192" s="72">
        <f>151633.089202223*1.1*$J$1</f>
        <v>188479.92987836318</v>
      </c>
      <c r="F1192" s="73">
        <f>+E1192*D1192</f>
        <v>129400.89585799024</v>
      </c>
      <c r="J1192" s="11"/>
    </row>
    <row r="1193" spans="1:10" s="61" customFormat="1" ht="16.5" thickBot="1" x14ac:dyDescent="0.3">
      <c r="A1193" s="74" t="s">
        <v>147</v>
      </c>
      <c r="B1193" s="75"/>
      <c r="C1193" s="76"/>
      <c r="D1193" s="75"/>
      <c r="E1193" s="77" t="s">
        <v>148</v>
      </c>
      <c r="F1193" s="78">
        <f>F1192</f>
        <v>129400.89585799024</v>
      </c>
      <c r="J1193" s="11"/>
    </row>
    <row r="1194" spans="1:10" s="61" customFormat="1" ht="15.75" x14ac:dyDescent="0.25">
      <c r="A1194" s="79" t="s">
        <v>139</v>
      </c>
      <c r="B1194" s="80" t="s">
        <v>149</v>
      </c>
      <c r="C1194" s="81" t="s">
        <v>3</v>
      </c>
      <c r="D1194" s="81" t="s">
        <v>141</v>
      </c>
      <c r="E1194" s="81" t="s">
        <v>142</v>
      </c>
      <c r="F1194" s="82" t="s">
        <v>143</v>
      </c>
      <c r="J1194" s="11"/>
    </row>
    <row r="1195" spans="1:10" s="61" customFormat="1" ht="16.5" thickBot="1" x14ac:dyDescent="0.3">
      <c r="A1195" s="69"/>
      <c r="B1195" s="70" t="s">
        <v>151</v>
      </c>
      <c r="C1195" s="71" t="s">
        <v>152</v>
      </c>
      <c r="D1195" s="71">
        <v>0.05</v>
      </c>
      <c r="E1195" s="72">
        <f>+F1192</f>
        <v>129400.89585799024</v>
      </c>
      <c r="F1195" s="73">
        <f>+E1195*D1195</f>
        <v>6470.0447928995127</v>
      </c>
      <c r="J1195" s="11"/>
    </row>
    <row r="1196" spans="1:10" s="61" customFormat="1" ht="16.5" thickBot="1" x14ac:dyDescent="0.3">
      <c r="A1196" s="74" t="s">
        <v>153</v>
      </c>
      <c r="B1196" s="75"/>
      <c r="C1196" s="76"/>
      <c r="D1196" s="75"/>
      <c r="E1196" s="77" t="s">
        <v>148</v>
      </c>
      <c r="F1196" s="78">
        <f>F1195</f>
        <v>6470.0447928995127</v>
      </c>
      <c r="J1196" s="11"/>
    </row>
    <row r="1197" spans="1:10" s="61" customFormat="1" ht="15.75" x14ac:dyDescent="0.25">
      <c r="A1197" s="79" t="s">
        <v>139</v>
      </c>
      <c r="B1197" s="80" t="s">
        <v>161</v>
      </c>
      <c r="C1197" s="81" t="s">
        <v>3</v>
      </c>
      <c r="D1197" s="81" t="s">
        <v>141</v>
      </c>
      <c r="E1197" s="81" t="s">
        <v>142</v>
      </c>
      <c r="F1197" s="82" t="s">
        <v>143</v>
      </c>
      <c r="J1197" s="11"/>
    </row>
    <row r="1198" spans="1:10" s="61" customFormat="1" ht="15.75" x14ac:dyDescent="0.25">
      <c r="A1198" s="69"/>
      <c r="B1198" s="70" t="s">
        <v>185</v>
      </c>
      <c r="C1198" s="71" t="s">
        <v>171</v>
      </c>
      <c r="D1198" s="71">
        <v>0.8</v>
      </c>
      <c r="E1198" s="72">
        <v>2223.46</v>
      </c>
      <c r="F1198" s="73">
        <f>+E1198*D1198</f>
        <v>1778.768</v>
      </c>
      <c r="J1198" s="11"/>
    </row>
    <row r="1199" spans="1:10" s="61" customFormat="1" ht="16.5" thickBot="1" x14ac:dyDescent="0.3">
      <c r="A1199" s="83"/>
      <c r="B1199" s="84" t="s">
        <v>192</v>
      </c>
      <c r="C1199" s="85" t="s">
        <v>193</v>
      </c>
      <c r="D1199" s="85">
        <v>2.8979999999999995E-2</v>
      </c>
      <c r="E1199" s="86">
        <v>176630</v>
      </c>
      <c r="F1199" s="73">
        <f>+E1199*D1199</f>
        <v>5118.7373999999991</v>
      </c>
      <c r="J1199" s="11"/>
    </row>
    <row r="1200" spans="1:10" s="61" customFormat="1" ht="16.5" thickBot="1" x14ac:dyDescent="0.3">
      <c r="A1200" s="74"/>
      <c r="B1200" s="75"/>
      <c r="C1200" s="76"/>
      <c r="D1200" s="75"/>
      <c r="E1200" s="77" t="s">
        <v>148</v>
      </c>
      <c r="F1200" s="78">
        <f>SUM(F1198:F1199)</f>
        <v>6897.5053999999991</v>
      </c>
      <c r="J1200" s="11"/>
    </row>
    <row r="1201" spans="1:10" s="61" customFormat="1" ht="16.5" thickBot="1" x14ac:dyDescent="0.3">
      <c r="A1201" s="166" t="s">
        <v>168</v>
      </c>
      <c r="B1201" s="167"/>
      <c r="C1201" s="167"/>
      <c r="D1201" s="168"/>
      <c r="E1201" s="169">
        <f>F1200+F1196+F1193+F1190</f>
        <v>1130384.0460508897</v>
      </c>
      <c r="F1201" s="170"/>
      <c r="J1201" s="11"/>
    </row>
    <row r="1202" spans="1:10" s="61" customFormat="1" ht="16.5" thickBot="1" x14ac:dyDescent="0.3">
      <c r="J1202" s="11"/>
    </row>
    <row r="1203" spans="1:10" s="61" customFormat="1" ht="16.5" thickBot="1" x14ac:dyDescent="0.3">
      <c r="A1203" s="146" t="s">
        <v>136</v>
      </c>
      <c r="B1203" s="147"/>
      <c r="C1203" s="147"/>
      <c r="D1203" s="147"/>
      <c r="E1203" s="147"/>
      <c r="F1203" s="148"/>
      <c r="J1203" s="11"/>
    </row>
    <row r="1204" spans="1:10" s="61" customFormat="1" ht="15.75" x14ac:dyDescent="0.25">
      <c r="A1204" s="160" t="str">
        <f>+'RESUMEN APUS'!B73</f>
        <v>Suministro e instalación de mesón prefabricado en acero inoxidable 1.8 x 0.52 m socoda o similar,  incluye tres machones de soporte acabados con revoque y pintura, pozuelo, cubierta en acero inox. cuatro quemadores a gas, grifería y todos los materiales necesarios para su correcta ejecución.</v>
      </c>
      <c r="B1204" s="161"/>
      <c r="C1204" s="161"/>
      <c r="D1204" s="162"/>
      <c r="E1204" s="62" t="s">
        <v>137</v>
      </c>
      <c r="F1204" s="63" t="s">
        <v>3</v>
      </c>
      <c r="J1204" s="11"/>
    </row>
    <row r="1205" spans="1:10" s="61" customFormat="1" ht="16.5" thickBot="1" x14ac:dyDescent="0.3">
      <c r="A1205" s="163"/>
      <c r="B1205" s="164"/>
      <c r="C1205" s="164"/>
      <c r="D1205" s="165"/>
      <c r="E1205" s="64" t="str">
        <f>+'RESUMEN APUS'!A73</f>
        <v>10.17</v>
      </c>
      <c r="F1205" s="65" t="s">
        <v>561</v>
      </c>
      <c r="J1205" s="11"/>
    </row>
    <row r="1206" spans="1:10" s="61" customFormat="1" ht="16.5" thickBot="1" x14ac:dyDescent="0.3">
      <c r="A1206" s="26" t="s">
        <v>139</v>
      </c>
      <c r="B1206" s="66" t="s">
        <v>172</v>
      </c>
      <c r="C1206" s="67" t="s">
        <v>3</v>
      </c>
      <c r="D1206" s="67" t="s">
        <v>141</v>
      </c>
      <c r="E1206" s="67" t="s">
        <v>142</v>
      </c>
      <c r="F1206" s="68" t="s">
        <v>143</v>
      </c>
      <c r="J1206" s="11"/>
    </row>
    <row r="1207" spans="1:10" x14ac:dyDescent="0.25">
      <c r="A1207" s="20"/>
      <c r="B1207" s="70" t="s">
        <v>617</v>
      </c>
      <c r="C1207" s="71" t="s">
        <v>171</v>
      </c>
      <c r="D1207" s="71">
        <f>12.6*3</f>
        <v>37.799999999999997</v>
      </c>
      <c r="E1207" s="72">
        <f>1771.495*1.052</f>
        <v>1863.61274</v>
      </c>
      <c r="F1207" s="73">
        <f t="shared" ref="F1207:F1209" si="12">ROUND(D1207*E1207,0)</f>
        <v>70445</v>
      </c>
    </row>
    <row r="1208" spans="1:10" x14ac:dyDescent="0.25">
      <c r="A1208" s="20"/>
      <c r="B1208" s="70" t="s">
        <v>633</v>
      </c>
      <c r="C1208" s="71" t="s">
        <v>164</v>
      </c>
      <c r="D1208" s="71">
        <v>2.8000000000000001E-2</v>
      </c>
      <c r="E1208" s="72">
        <f>475000*1.052</f>
        <v>499700</v>
      </c>
      <c r="F1208" s="73">
        <f t="shared" si="12"/>
        <v>13992</v>
      </c>
    </row>
    <row r="1209" spans="1:10" x14ac:dyDescent="0.25">
      <c r="A1209" s="20"/>
      <c r="B1209" s="70" t="s">
        <v>224</v>
      </c>
      <c r="C1209" s="71" t="s">
        <v>164</v>
      </c>
      <c r="D1209" s="71">
        <f>0.063*3</f>
        <v>0.189</v>
      </c>
      <c r="E1209" s="72">
        <f>427169.6*1.052</f>
        <v>449382.4192</v>
      </c>
      <c r="F1209" s="73">
        <f t="shared" si="12"/>
        <v>84933</v>
      </c>
    </row>
    <row r="1210" spans="1:10" s="61" customFormat="1" ht="15.75" x14ac:dyDescent="0.25">
      <c r="A1210" s="69"/>
      <c r="B1210" s="70" t="s">
        <v>392</v>
      </c>
      <c r="C1210" s="71" t="s">
        <v>171</v>
      </c>
      <c r="D1210" s="71">
        <v>1</v>
      </c>
      <c r="E1210" s="72">
        <f>495000*1.052</f>
        <v>520740</v>
      </c>
      <c r="F1210" s="73">
        <f>+D1210*E1210</f>
        <v>520740</v>
      </c>
      <c r="J1210" s="11"/>
    </row>
    <row r="1211" spans="1:10" s="61" customFormat="1" ht="15.75" x14ac:dyDescent="0.25">
      <c r="A1211" s="69"/>
      <c r="B1211" s="70" t="s">
        <v>325</v>
      </c>
      <c r="C1211" s="71" t="s">
        <v>171</v>
      </c>
      <c r="D1211" s="71">
        <v>1</v>
      </c>
      <c r="E1211" s="72">
        <f>+E1140</f>
        <v>23985.600000000002</v>
      </c>
      <c r="F1211" s="73">
        <f>+D1211*E1211</f>
        <v>23985.600000000002</v>
      </c>
      <c r="J1211" s="11"/>
    </row>
    <row r="1212" spans="1:10" s="61" customFormat="1" ht="15.75" x14ac:dyDescent="0.25">
      <c r="A1212" s="69"/>
      <c r="B1212" s="70" t="s">
        <v>391</v>
      </c>
      <c r="C1212" s="71" t="s">
        <v>171</v>
      </c>
      <c r="D1212" s="71">
        <v>1</v>
      </c>
      <c r="E1212" s="72">
        <f>+E1141</f>
        <v>131500</v>
      </c>
      <c r="F1212" s="73">
        <f>+D1212*E1212</f>
        <v>131500</v>
      </c>
      <c r="J1212" s="11"/>
    </row>
    <row r="1213" spans="1:10" s="61" customFormat="1" ht="26.25" thickBot="1" x14ac:dyDescent="0.3">
      <c r="A1213" s="69"/>
      <c r="B1213" s="70" t="s">
        <v>563</v>
      </c>
      <c r="C1213" s="71" t="s">
        <v>171</v>
      </c>
      <c r="D1213" s="71">
        <v>1</v>
      </c>
      <c r="E1213" s="72">
        <f>630000*1.052</f>
        <v>662760</v>
      </c>
      <c r="F1213" s="73">
        <f>+D1213*E1213</f>
        <v>662760</v>
      </c>
      <c r="J1213" s="11"/>
    </row>
    <row r="1214" spans="1:10" s="61" customFormat="1" ht="16.5" thickBot="1" x14ac:dyDescent="0.3">
      <c r="A1214" s="74" t="s">
        <v>175</v>
      </c>
      <c r="B1214" s="75"/>
      <c r="C1214" s="76"/>
      <c r="D1214" s="75"/>
      <c r="E1214" s="77" t="s">
        <v>148</v>
      </c>
      <c r="F1214" s="78">
        <f>SUM(F1207:F1213)</f>
        <v>1508355.6</v>
      </c>
      <c r="J1214" s="11"/>
    </row>
    <row r="1215" spans="1:10" s="61" customFormat="1" ht="15.75" x14ac:dyDescent="0.25">
      <c r="A1215" s="79" t="s">
        <v>139</v>
      </c>
      <c r="B1215" s="80" t="s">
        <v>140</v>
      </c>
      <c r="C1215" s="81" t="s">
        <v>3</v>
      </c>
      <c r="D1215" s="81" t="s">
        <v>141</v>
      </c>
      <c r="E1215" s="81" t="s">
        <v>142</v>
      </c>
      <c r="F1215" s="82" t="s">
        <v>143</v>
      </c>
      <c r="J1215" s="11"/>
    </row>
    <row r="1216" spans="1:10" s="61" customFormat="1" ht="16.5" thickBot="1" x14ac:dyDescent="0.3">
      <c r="A1216" s="69"/>
      <c r="B1216" s="70" t="s">
        <v>315</v>
      </c>
      <c r="C1216" s="71" t="s">
        <v>146</v>
      </c>
      <c r="D1216" s="71">
        <v>0.68654999999999999</v>
      </c>
      <c r="E1216" s="72">
        <f>151633.089202223*1.1*$J$1</f>
        <v>188479.92987836318</v>
      </c>
      <c r="F1216" s="73">
        <f>+E1216*D1216</f>
        <v>129400.89585799024</v>
      </c>
      <c r="J1216" s="11"/>
    </row>
    <row r="1217" spans="1:10" s="61" customFormat="1" ht="16.5" thickBot="1" x14ac:dyDescent="0.3">
      <c r="A1217" s="74" t="s">
        <v>147</v>
      </c>
      <c r="B1217" s="75"/>
      <c r="C1217" s="76"/>
      <c r="D1217" s="75"/>
      <c r="E1217" s="77" t="s">
        <v>148</v>
      </c>
      <c r="F1217" s="78">
        <f>SUM(F1216)</f>
        <v>129400.89585799024</v>
      </c>
      <c r="J1217" s="11"/>
    </row>
    <row r="1218" spans="1:10" s="61" customFormat="1" ht="15.75" x14ac:dyDescent="0.25">
      <c r="A1218" s="79" t="s">
        <v>139</v>
      </c>
      <c r="B1218" s="80" t="s">
        <v>149</v>
      </c>
      <c r="C1218" s="81" t="s">
        <v>3</v>
      </c>
      <c r="D1218" s="81" t="s">
        <v>141</v>
      </c>
      <c r="E1218" s="81" t="s">
        <v>142</v>
      </c>
      <c r="F1218" s="82" t="s">
        <v>143</v>
      </c>
      <c r="J1218" s="11"/>
    </row>
    <row r="1219" spans="1:10" s="61" customFormat="1" ht="16.5" thickBot="1" x14ac:dyDescent="0.3">
      <c r="A1219" s="69"/>
      <c r="B1219" s="70" t="s">
        <v>151</v>
      </c>
      <c r="C1219" s="71" t="s">
        <v>152</v>
      </c>
      <c r="D1219" s="71">
        <v>0.05</v>
      </c>
      <c r="E1219" s="72">
        <f>+F1216</f>
        <v>129400.89585799024</v>
      </c>
      <c r="F1219" s="73">
        <f>+E1219*D1219</f>
        <v>6470.0447928995127</v>
      </c>
      <c r="J1219" s="11"/>
    </row>
    <row r="1220" spans="1:10" s="61" customFormat="1" ht="16.5" thickBot="1" x14ac:dyDescent="0.3">
      <c r="A1220" s="74" t="s">
        <v>153</v>
      </c>
      <c r="B1220" s="75"/>
      <c r="C1220" s="76"/>
      <c r="D1220" s="75"/>
      <c r="E1220" s="77" t="s">
        <v>148</v>
      </c>
      <c r="F1220" s="78">
        <f>SUM(F1219)</f>
        <v>6470.0447928995127</v>
      </c>
      <c r="J1220" s="11"/>
    </row>
    <row r="1221" spans="1:10" s="61" customFormat="1" ht="15.75" x14ac:dyDescent="0.25">
      <c r="A1221" s="79" t="s">
        <v>139</v>
      </c>
      <c r="B1221" s="80" t="s">
        <v>161</v>
      </c>
      <c r="C1221" s="81" t="s">
        <v>3</v>
      </c>
      <c r="D1221" s="81" t="s">
        <v>141</v>
      </c>
      <c r="E1221" s="81" t="s">
        <v>142</v>
      </c>
      <c r="F1221" s="82" t="s">
        <v>143</v>
      </c>
      <c r="J1221" s="11"/>
    </row>
    <row r="1222" spans="1:10" s="61" customFormat="1" ht="15.75" x14ac:dyDescent="0.25">
      <c r="A1222" s="69"/>
      <c r="B1222" s="70" t="s">
        <v>185</v>
      </c>
      <c r="C1222" s="71" t="s">
        <v>171</v>
      </c>
      <c r="D1222" s="71">
        <v>0.8</v>
      </c>
      <c r="E1222" s="72">
        <v>2223.46</v>
      </c>
      <c r="F1222" s="73">
        <f>+E1222*D1222</f>
        <v>1778.768</v>
      </c>
      <c r="J1222" s="11"/>
    </row>
    <row r="1223" spans="1:10" s="61" customFormat="1" ht="16.5" thickBot="1" x14ac:dyDescent="0.3">
      <c r="A1223" s="83"/>
      <c r="B1223" s="84" t="s">
        <v>192</v>
      </c>
      <c r="C1223" s="85" t="s">
        <v>193</v>
      </c>
      <c r="D1223" s="85">
        <v>2.8979999999999995E-2</v>
      </c>
      <c r="E1223" s="86">
        <v>176630</v>
      </c>
      <c r="F1223" s="73">
        <f>+E1223*D1223</f>
        <v>5118.7373999999991</v>
      </c>
      <c r="J1223" s="11"/>
    </row>
    <row r="1224" spans="1:10" s="61" customFormat="1" ht="16.5" thickBot="1" x14ac:dyDescent="0.3">
      <c r="A1224" s="74"/>
      <c r="B1224" s="75"/>
      <c r="C1224" s="76"/>
      <c r="D1224" s="75"/>
      <c r="E1224" s="77" t="s">
        <v>148</v>
      </c>
      <c r="F1224" s="78">
        <f>SUM(F1222:F1223)</f>
        <v>6897.5053999999991</v>
      </c>
      <c r="J1224" s="11"/>
    </row>
    <row r="1225" spans="1:10" s="61" customFormat="1" ht="16.5" thickBot="1" x14ac:dyDescent="0.3">
      <c r="A1225" s="166" t="s">
        <v>168</v>
      </c>
      <c r="B1225" s="167"/>
      <c r="C1225" s="167"/>
      <c r="D1225" s="168"/>
      <c r="E1225" s="169">
        <f>F1224+F1220+F1217+F1214</f>
        <v>1651124.0460508899</v>
      </c>
      <c r="F1225" s="170"/>
      <c r="J1225" s="11"/>
    </row>
    <row r="1226" spans="1:10" s="61" customFormat="1" ht="16.5" thickBot="1" x14ac:dyDescent="0.3">
      <c r="J1226" s="11"/>
    </row>
    <row r="1227" spans="1:10" s="61" customFormat="1" ht="16.5" thickBot="1" x14ac:dyDescent="0.3">
      <c r="A1227" s="146" t="s">
        <v>136</v>
      </c>
      <c r="B1227" s="147"/>
      <c r="C1227" s="147"/>
      <c r="D1227" s="147"/>
      <c r="E1227" s="147"/>
      <c r="F1227" s="148"/>
      <c r="J1227" s="11"/>
    </row>
    <row r="1228" spans="1:10" s="61" customFormat="1" ht="15.75" x14ac:dyDescent="0.25">
      <c r="A1228" s="160" t="str">
        <f>+'RESUMEN APUS'!B74</f>
        <v>Suministro e instalación de mesón prefabricado en acero inoxidable 2.1 x 0.52 m socoda o similar,  incluye tres machones de soporte acabados con revoque y pintura, pozuelo, grifería y todos los materiales necesarios para su correcta ejecución.</v>
      </c>
      <c r="B1228" s="161"/>
      <c r="C1228" s="161"/>
      <c r="D1228" s="162"/>
      <c r="E1228" s="62" t="s">
        <v>137</v>
      </c>
      <c r="F1228" s="63" t="s">
        <v>3</v>
      </c>
      <c r="J1228" s="11"/>
    </row>
    <row r="1229" spans="1:10" s="61" customFormat="1" ht="16.5" thickBot="1" x14ac:dyDescent="0.3">
      <c r="A1229" s="163"/>
      <c r="B1229" s="164"/>
      <c r="C1229" s="164"/>
      <c r="D1229" s="165"/>
      <c r="E1229" s="64" t="str">
        <f>+'RESUMEN APUS'!A74</f>
        <v>10.18</v>
      </c>
      <c r="F1229" s="65" t="s">
        <v>561</v>
      </c>
      <c r="J1229" s="11"/>
    </row>
    <row r="1230" spans="1:10" s="61" customFormat="1" ht="16.5" thickBot="1" x14ac:dyDescent="0.3">
      <c r="A1230" s="26" t="s">
        <v>139</v>
      </c>
      <c r="B1230" s="66" t="s">
        <v>172</v>
      </c>
      <c r="C1230" s="67" t="s">
        <v>3</v>
      </c>
      <c r="D1230" s="67" t="s">
        <v>141</v>
      </c>
      <c r="E1230" s="67" t="s">
        <v>142</v>
      </c>
      <c r="F1230" s="68" t="s">
        <v>143</v>
      </c>
      <c r="J1230" s="11"/>
    </row>
    <row r="1231" spans="1:10" x14ac:dyDescent="0.25">
      <c r="A1231" s="20"/>
      <c r="B1231" s="70" t="s">
        <v>617</v>
      </c>
      <c r="C1231" s="71" t="s">
        <v>171</v>
      </c>
      <c r="D1231" s="71">
        <f>12.6*3</f>
        <v>37.799999999999997</v>
      </c>
      <c r="E1231" s="73">
        <f>1771.495*1.052</f>
        <v>1863.61274</v>
      </c>
      <c r="F1231" s="73">
        <f t="shared" ref="F1231:F1233" si="13">ROUND(D1231*E1231,0)</f>
        <v>70445</v>
      </c>
    </row>
    <row r="1232" spans="1:10" x14ac:dyDescent="0.25">
      <c r="A1232" s="20"/>
      <c r="B1232" s="70" t="s">
        <v>633</v>
      </c>
      <c r="C1232" s="71" t="s">
        <v>164</v>
      </c>
      <c r="D1232" s="71">
        <v>2.8000000000000001E-2</v>
      </c>
      <c r="E1232" s="72">
        <f>475000*1.052</f>
        <v>499700</v>
      </c>
      <c r="F1232" s="73">
        <f t="shared" si="13"/>
        <v>13992</v>
      </c>
    </row>
    <row r="1233" spans="1:10" x14ac:dyDescent="0.25">
      <c r="A1233" s="20"/>
      <c r="B1233" s="70" t="s">
        <v>224</v>
      </c>
      <c r="C1233" s="71" t="s">
        <v>164</v>
      </c>
      <c r="D1233" s="71">
        <f>0.063*3</f>
        <v>0.189</v>
      </c>
      <c r="E1233" s="73">
        <f>427169.6*1.052</f>
        <v>449382.4192</v>
      </c>
      <c r="F1233" s="73">
        <f t="shared" si="13"/>
        <v>84933</v>
      </c>
    </row>
    <row r="1234" spans="1:10" s="61" customFormat="1" ht="15.75" x14ac:dyDescent="0.25">
      <c r="A1234" s="69"/>
      <c r="B1234" s="70" t="s">
        <v>325</v>
      </c>
      <c r="C1234" s="71" t="s">
        <v>171</v>
      </c>
      <c r="D1234" s="71">
        <v>1</v>
      </c>
      <c r="E1234" s="72">
        <f>+E1140</f>
        <v>23985.600000000002</v>
      </c>
      <c r="F1234" s="73">
        <f>+D1234*E1234</f>
        <v>23985.600000000002</v>
      </c>
      <c r="J1234" s="11"/>
    </row>
    <row r="1235" spans="1:10" s="61" customFormat="1" ht="15.75" x14ac:dyDescent="0.25">
      <c r="A1235" s="69"/>
      <c r="B1235" s="70" t="s">
        <v>391</v>
      </c>
      <c r="C1235" s="71" t="s">
        <v>171</v>
      </c>
      <c r="D1235" s="71">
        <v>1</v>
      </c>
      <c r="E1235" s="72">
        <f>+E1141</f>
        <v>131500</v>
      </c>
      <c r="F1235" s="73">
        <f>+D1235*E1235</f>
        <v>131500</v>
      </c>
      <c r="J1235" s="11"/>
    </row>
    <row r="1236" spans="1:10" s="61" customFormat="1" ht="26.25" thickBot="1" x14ac:dyDescent="0.3">
      <c r="A1236" s="69"/>
      <c r="B1236" s="70" t="s">
        <v>564</v>
      </c>
      <c r="C1236" s="71" t="s">
        <v>171</v>
      </c>
      <c r="D1236" s="71">
        <v>1</v>
      </c>
      <c r="E1236" s="72">
        <f>770000*1.052</f>
        <v>810040</v>
      </c>
      <c r="F1236" s="73">
        <f>+D1236*E1236</f>
        <v>810040</v>
      </c>
      <c r="J1236" s="11"/>
    </row>
    <row r="1237" spans="1:10" s="61" customFormat="1" ht="16.5" thickBot="1" x14ac:dyDescent="0.3">
      <c r="A1237" s="74" t="s">
        <v>175</v>
      </c>
      <c r="B1237" s="75"/>
      <c r="C1237" s="76"/>
      <c r="D1237" s="75"/>
      <c r="E1237" s="77" t="s">
        <v>148</v>
      </c>
      <c r="F1237" s="78">
        <f>SUM(F1231:F1236)</f>
        <v>1134895.6000000001</v>
      </c>
      <c r="J1237" s="11"/>
    </row>
    <row r="1238" spans="1:10" s="61" customFormat="1" ht="15.75" x14ac:dyDescent="0.25">
      <c r="A1238" s="79" t="s">
        <v>139</v>
      </c>
      <c r="B1238" s="80" t="s">
        <v>140</v>
      </c>
      <c r="C1238" s="81" t="s">
        <v>3</v>
      </c>
      <c r="D1238" s="81" t="s">
        <v>141</v>
      </c>
      <c r="E1238" s="81" t="s">
        <v>142</v>
      </c>
      <c r="F1238" s="82" t="s">
        <v>143</v>
      </c>
      <c r="J1238" s="11"/>
    </row>
    <row r="1239" spans="1:10" s="61" customFormat="1" ht="16.5" thickBot="1" x14ac:dyDescent="0.3">
      <c r="A1239" s="69"/>
      <c r="B1239" s="70" t="s">
        <v>315</v>
      </c>
      <c r="C1239" s="71" t="s">
        <v>146</v>
      </c>
      <c r="D1239" s="71">
        <v>0.7</v>
      </c>
      <c r="E1239" s="72">
        <f>151633.089202223*1.1*$J$1</f>
        <v>188479.92987836318</v>
      </c>
      <c r="F1239" s="73">
        <f>+E1239*D1239</f>
        <v>131935.95091485421</v>
      </c>
      <c r="J1239" s="11"/>
    </row>
    <row r="1240" spans="1:10" s="61" customFormat="1" ht="16.5" thickBot="1" x14ac:dyDescent="0.3">
      <c r="A1240" s="74" t="s">
        <v>147</v>
      </c>
      <c r="B1240" s="75"/>
      <c r="C1240" s="76"/>
      <c r="D1240" s="75"/>
      <c r="E1240" s="77" t="s">
        <v>148</v>
      </c>
      <c r="F1240" s="78">
        <f>F1239</f>
        <v>131935.95091485421</v>
      </c>
      <c r="J1240" s="11"/>
    </row>
    <row r="1241" spans="1:10" s="61" customFormat="1" ht="15.75" x14ac:dyDescent="0.25">
      <c r="A1241" s="79" t="s">
        <v>139</v>
      </c>
      <c r="B1241" s="80" t="s">
        <v>149</v>
      </c>
      <c r="C1241" s="81" t="s">
        <v>3</v>
      </c>
      <c r="D1241" s="81" t="s">
        <v>141</v>
      </c>
      <c r="E1241" s="81" t="s">
        <v>142</v>
      </c>
      <c r="F1241" s="82" t="s">
        <v>143</v>
      </c>
      <c r="J1241" s="11"/>
    </row>
    <row r="1242" spans="1:10" s="61" customFormat="1" ht="16.5" thickBot="1" x14ac:dyDescent="0.3">
      <c r="A1242" s="69"/>
      <c r="B1242" s="70" t="s">
        <v>151</v>
      </c>
      <c r="C1242" s="71" t="s">
        <v>152</v>
      </c>
      <c r="D1242" s="71">
        <v>0.05</v>
      </c>
      <c r="E1242" s="72">
        <f>+F1240</f>
        <v>131935.95091485421</v>
      </c>
      <c r="F1242" s="73">
        <f>+E1242*D1242</f>
        <v>6596.797545742711</v>
      </c>
      <c r="J1242" s="11"/>
    </row>
    <row r="1243" spans="1:10" s="61" customFormat="1" ht="16.5" thickBot="1" x14ac:dyDescent="0.3">
      <c r="A1243" s="74" t="s">
        <v>153</v>
      </c>
      <c r="B1243" s="75"/>
      <c r="C1243" s="76"/>
      <c r="D1243" s="75"/>
      <c r="E1243" s="77" t="s">
        <v>148</v>
      </c>
      <c r="F1243" s="78">
        <f>F1242</f>
        <v>6596.797545742711</v>
      </c>
      <c r="J1243" s="11"/>
    </row>
    <row r="1244" spans="1:10" s="61" customFormat="1" ht="15.75" x14ac:dyDescent="0.25">
      <c r="A1244" s="79" t="s">
        <v>139</v>
      </c>
      <c r="B1244" s="80" t="s">
        <v>161</v>
      </c>
      <c r="C1244" s="81" t="s">
        <v>3</v>
      </c>
      <c r="D1244" s="81" t="s">
        <v>141</v>
      </c>
      <c r="E1244" s="81" t="s">
        <v>142</v>
      </c>
      <c r="F1244" s="82" t="s">
        <v>143</v>
      </c>
      <c r="J1244" s="11"/>
    </row>
    <row r="1245" spans="1:10" s="61" customFormat="1" ht="15.75" x14ac:dyDescent="0.25">
      <c r="A1245" s="69"/>
      <c r="B1245" s="70" t="s">
        <v>185</v>
      </c>
      <c r="C1245" s="71" t="s">
        <v>171</v>
      </c>
      <c r="D1245" s="71">
        <v>0.8</v>
      </c>
      <c r="E1245" s="72">
        <v>2223.46</v>
      </c>
      <c r="F1245" s="73">
        <f>+E1245*D1245</f>
        <v>1778.768</v>
      </c>
      <c r="J1245" s="11"/>
    </row>
    <row r="1246" spans="1:10" s="61" customFormat="1" ht="16.5" thickBot="1" x14ac:dyDescent="0.3">
      <c r="A1246" s="83"/>
      <c r="B1246" s="84" t="s">
        <v>192</v>
      </c>
      <c r="C1246" s="85" t="s">
        <v>193</v>
      </c>
      <c r="D1246" s="85">
        <v>2.8979999999999995E-2</v>
      </c>
      <c r="E1246" s="86">
        <v>176630</v>
      </c>
      <c r="F1246" s="73">
        <f>+E1246*D1246</f>
        <v>5118.7373999999991</v>
      </c>
      <c r="J1246" s="11"/>
    </row>
    <row r="1247" spans="1:10" s="61" customFormat="1" ht="16.5" thickBot="1" x14ac:dyDescent="0.3">
      <c r="A1247" s="74"/>
      <c r="B1247" s="75"/>
      <c r="C1247" s="76"/>
      <c r="D1247" s="75"/>
      <c r="E1247" s="77" t="s">
        <v>148</v>
      </c>
      <c r="F1247" s="78">
        <f>SUM(F1245:F1246)</f>
        <v>6897.5053999999991</v>
      </c>
      <c r="J1247" s="11"/>
    </row>
    <row r="1248" spans="1:10" s="61" customFormat="1" ht="16.5" thickBot="1" x14ac:dyDescent="0.3">
      <c r="A1248" s="166" t="s">
        <v>168</v>
      </c>
      <c r="B1248" s="167"/>
      <c r="C1248" s="167"/>
      <c r="D1248" s="168"/>
      <c r="E1248" s="169">
        <f>F1247+F1243+F1240+F1237</f>
        <v>1280325.8538605971</v>
      </c>
      <c r="F1248" s="170"/>
      <c r="J1248" s="11"/>
    </row>
    <row r="1249" spans="1:10" s="61" customFormat="1" ht="16.5" thickBot="1" x14ac:dyDescent="0.3">
      <c r="J1249" s="11"/>
    </row>
    <row r="1250" spans="1:10" s="61" customFormat="1" ht="16.5" thickBot="1" x14ac:dyDescent="0.3">
      <c r="A1250" s="146" t="s">
        <v>136</v>
      </c>
      <c r="B1250" s="147"/>
      <c r="C1250" s="147"/>
      <c r="D1250" s="147"/>
      <c r="E1250" s="147"/>
      <c r="F1250" s="148"/>
      <c r="J1250" s="11"/>
    </row>
    <row r="1251" spans="1:10" s="61" customFormat="1" ht="15.75" x14ac:dyDescent="0.25">
      <c r="A1251" s="160" t="str">
        <f>+'RESUMEN APUS'!B75</f>
        <v>Suministro e instalación de mesón prefabricado en acero inoxidable 2.1 x 0.52 m socoda o similar,  incluye tres machones de soporte acabados con revoque y pintura, pozuelo, cubierta en acero inox. cuatro quemadores a gas, grifería y todos los materiales necesarios para su correcta ejecución.</v>
      </c>
      <c r="B1251" s="161"/>
      <c r="C1251" s="161"/>
      <c r="D1251" s="162"/>
      <c r="E1251" s="62" t="s">
        <v>137</v>
      </c>
      <c r="F1251" s="63" t="s">
        <v>3</v>
      </c>
      <c r="J1251" s="11"/>
    </row>
    <row r="1252" spans="1:10" s="61" customFormat="1" ht="16.5" thickBot="1" x14ac:dyDescent="0.3">
      <c r="A1252" s="163"/>
      <c r="B1252" s="164"/>
      <c r="C1252" s="164"/>
      <c r="D1252" s="165"/>
      <c r="E1252" s="64" t="str">
        <f>+'RESUMEN APUS'!A75</f>
        <v>10.19</v>
      </c>
      <c r="F1252" s="65" t="s">
        <v>561</v>
      </c>
      <c r="J1252" s="11"/>
    </row>
    <row r="1253" spans="1:10" s="61" customFormat="1" ht="16.5" thickBot="1" x14ac:dyDescent="0.3">
      <c r="A1253" s="26" t="s">
        <v>139</v>
      </c>
      <c r="B1253" s="66" t="s">
        <v>172</v>
      </c>
      <c r="C1253" s="67" t="s">
        <v>3</v>
      </c>
      <c r="D1253" s="67" t="s">
        <v>141</v>
      </c>
      <c r="E1253" s="67" t="s">
        <v>142</v>
      </c>
      <c r="F1253" s="68" t="s">
        <v>143</v>
      </c>
      <c r="J1253" s="11"/>
    </row>
    <row r="1254" spans="1:10" x14ac:dyDescent="0.25">
      <c r="A1254" s="20"/>
      <c r="B1254" s="70" t="s">
        <v>617</v>
      </c>
      <c r="C1254" s="71" t="s">
        <v>171</v>
      </c>
      <c r="D1254" s="71">
        <f>12.6*3</f>
        <v>37.799999999999997</v>
      </c>
      <c r="E1254" s="73">
        <f>1771.495*1.052</f>
        <v>1863.61274</v>
      </c>
      <c r="F1254" s="73">
        <f t="shared" ref="F1254:F1256" si="14">ROUND(D1254*E1254,0)</f>
        <v>70445</v>
      </c>
    </row>
    <row r="1255" spans="1:10" x14ac:dyDescent="0.25">
      <c r="A1255" s="20"/>
      <c r="B1255" s="70" t="s">
        <v>633</v>
      </c>
      <c r="C1255" s="71" t="s">
        <v>164</v>
      </c>
      <c r="D1255" s="71">
        <v>2.8000000000000001E-2</v>
      </c>
      <c r="E1255" s="72">
        <f>475000*1.052</f>
        <v>499700</v>
      </c>
      <c r="F1255" s="73">
        <f t="shared" si="14"/>
        <v>13992</v>
      </c>
    </row>
    <row r="1256" spans="1:10" x14ac:dyDescent="0.25">
      <c r="A1256" s="20"/>
      <c r="B1256" s="70" t="s">
        <v>224</v>
      </c>
      <c r="C1256" s="71" t="s">
        <v>164</v>
      </c>
      <c r="D1256" s="71">
        <f>0.063*3</f>
        <v>0.189</v>
      </c>
      <c r="E1256" s="73">
        <f>427169.6*1.052</f>
        <v>449382.4192</v>
      </c>
      <c r="F1256" s="73">
        <f t="shared" si="14"/>
        <v>84933</v>
      </c>
    </row>
    <row r="1257" spans="1:10" s="61" customFormat="1" ht="15.75" x14ac:dyDescent="0.25">
      <c r="A1257" s="69"/>
      <c r="B1257" s="70" t="s">
        <v>392</v>
      </c>
      <c r="C1257" s="71" t="s">
        <v>171</v>
      </c>
      <c r="D1257" s="71">
        <v>1</v>
      </c>
      <c r="E1257" s="72">
        <f>+E1210</f>
        <v>520740</v>
      </c>
      <c r="F1257" s="73">
        <f>+D1257*E1257</f>
        <v>520740</v>
      </c>
      <c r="J1257" s="11"/>
    </row>
    <row r="1258" spans="1:10" s="61" customFormat="1" ht="15.75" x14ac:dyDescent="0.25">
      <c r="A1258" s="69"/>
      <c r="B1258" s="70" t="s">
        <v>325</v>
      </c>
      <c r="C1258" s="71" t="s">
        <v>171</v>
      </c>
      <c r="D1258" s="71">
        <v>1</v>
      </c>
      <c r="E1258" s="72">
        <f>+E1234</f>
        <v>23985.600000000002</v>
      </c>
      <c r="F1258" s="73">
        <f>+D1258*E1258</f>
        <v>23985.600000000002</v>
      </c>
      <c r="J1258" s="11"/>
    </row>
    <row r="1259" spans="1:10" s="61" customFormat="1" ht="15.75" x14ac:dyDescent="0.25">
      <c r="A1259" s="69"/>
      <c r="B1259" s="70" t="s">
        <v>391</v>
      </c>
      <c r="C1259" s="71" t="s">
        <v>171</v>
      </c>
      <c r="D1259" s="71">
        <v>1</v>
      </c>
      <c r="E1259" s="72">
        <f>+E1235</f>
        <v>131500</v>
      </c>
      <c r="F1259" s="73">
        <f>+D1259*E1259</f>
        <v>131500</v>
      </c>
      <c r="J1259" s="11"/>
    </row>
    <row r="1260" spans="1:10" s="61" customFormat="1" ht="26.25" thickBot="1" x14ac:dyDescent="0.3">
      <c r="A1260" s="69"/>
      <c r="B1260" s="70" t="s">
        <v>565</v>
      </c>
      <c r="C1260" s="71" t="s">
        <v>171</v>
      </c>
      <c r="D1260" s="71">
        <v>1</v>
      </c>
      <c r="E1260" s="72">
        <f>+E1236</f>
        <v>810040</v>
      </c>
      <c r="F1260" s="73">
        <f>+D1260*E1260</f>
        <v>810040</v>
      </c>
      <c r="J1260" s="11"/>
    </row>
    <row r="1261" spans="1:10" s="61" customFormat="1" ht="16.5" thickBot="1" x14ac:dyDescent="0.3">
      <c r="A1261" s="74" t="s">
        <v>175</v>
      </c>
      <c r="B1261" s="75"/>
      <c r="C1261" s="76"/>
      <c r="D1261" s="75"/>
      <c r="E1261" s="77" t="s">
        <v>148</v>
      </c>
      <c r="F1261" s="78">
        <f>SUM(F1254:F1260)</f>
        <v>1655635.6</v>
      </c>
      <c r="J1261" s="11"/>
    </row>
    <row r="1262" spans="1:10" s="61" customFormat="1" ht="15.75" x14ac:dyDescent="0.25">
      <c r="A1262" s="79" t="s">
        <v>139</v>
      </c>
      <c r="B1262" s="80" t="s">
        <v>140</v>
      </c>
      <c r="C1262" s="81" t="s">
        <v>3</v>
      </c>
      <c r="D1262" s="81" t="s">
        <v>141</v>
      </c>
      <c r="E1262" s="81" t="s">
        <v>142</v>
      </c>
      <c r="F1262" s="82" t="s">
        <v>143</v>
      </c>
      <c r="J1262" s="11"/>
    </row>
    <row r="1263" spans="1:10" s="61" customFormat="1" ht="16.5" thickBot="1" x14ac:dyDescent="0.3">
      <c r="A1263" s="69"/>
      <c r="B1263" s="70" t="s">
        <v>315</v>
      </c>
      <c r="C1263" s="71" t="s">
        <v>146</v>
      </c>
      <c r="D1263" s="71">
        <v>0.7</v>
      </c>
      <c r="E1263" s="72">
        <f>151633.089202223*1.1*$J$1</f>
        <v>188479.92987836318</v>
      </c>
      <c r="F1263" s="73">
        <f>+E1263*D1263</f>
        <v>131935.95091485421</v>
      </c>
      <c r="J1263" s="11"/>
    </row>
    <row r="1264" spans="1:10" s="61" customFormat="1" ht="16.5" thickBot="1" x14ac:dyDescent="0.3">
      <c r="A1264" s="74" t="s">
        <v>147</v>
      </c>
      <c r="B1264" s="75"/>
      <c r="C1264" s="76"/>
      <c r="D1264" s="75"/>
      <c r="E1264" s="77" t="s">
        <v>148</v>
      </c>
      <c r="F1264" s="78">
        <f>F1263</f>
        <v>131935.95091485421</v>
      </c>
      <c r="J1264" s="11"/>
    </row>
    <row r="1265" spans="1:10" s="61" customFormat="1" ht="15.75" x14ac:dyDescent="0.25">
      <c r="A1265" s="79" t="s">
        <v>139</v>
      </c>
      <c r="B1265" s="80" t="s">
        <v>149</v>
      </c>
      <c r="C1265" s="81" t="s">
        <v>3</v>
      </c>
      <c r="D1265" s="81" t="s">
        <v>141</v>
      </c>
      <c r="E1265" s="81" t="s">
        <v>142</v>
      </c>
      <c r="F1265" s="82" t="s">
        <v>143</v>
      </c>
      <c r="J1265" s="11"/>
    </row>
    <row r="1266" spans="1:10" s="61" customFormat="1" ht="16.5" thickBot="1" x14ac:dyDescent="0.3">
      <c r="A1266" s="69"/>
      <c r="B1266" s="70" t="s">
        <v>151</v>
      </c>
      <c r="C1266" s="71" t="s">
        <v>152</v>
      </c>
      <c r="D1266" s="71">
        <v>7.8799999999999995E-2</v>
      </c>
      <c r="E1266" s="72">
        <f>+F1264</f>
        <v>131935.95091485421</v>
      </c>
      <c r="F1266" s="73">
        <f>+E1266*D1266</f>
        <v>10396.552932090512</v>
      </c>
      <c r="J1266" s="11"/>
    </row>
    <row r="1267" spans="1:10" s="61" customFormat="1" ht="16.5" thickBot="1" x14ac:dyDescent="0.3">
      <c r="A1267" s="74" t="s">
        <v>153</v>
      </c>
      <c r="B1267" s="75"/>
      <c r="C1267" s="76"/>
      <c r="D1267" s="75"/>
      <c r="E1267" s="77" t="s">
        <v>148</v>
      </c>
      <c r="F1267" s="78">
        <f>F1266</f>
        <v>10396.552932090512</v>
      </c>
      <c r="J1267" s="11"/>
    </row>
    <row r="1268" spans="1:10" s="61" customFormat="1" ht="15.75" x14ac:dyDescent="0.25">
      <c r="A1268" s="79" t="s">
        <v>139</v>
      </c>
      <c r="B1268" s="80" t="s">
        <v>161</v>
      </c>
      <c r="C1268" s="81" t="s">
        <v>3</v>
      </c>
      <c r="D1268" s="81" t="s">
        <v>141</v>
      </c>
      <c r="E1268" s="81" t="s">
        <v>142</v>
      </c>
      <c r="F1268" s="82" t="s">
        <v>143</v>
      </c>
      <c r="J1268" s="11"/>
    </row>
    <row r="1269" spans="1:10" s="61" customFormat="1" ht="15.75" x14ac:dyDescent="0.25">
      <c r="A1269" s="83"/>
      <c r="B1269" s="84" t="s">
        <v>192</v>
      </c>
      <c r="C1269" s="85" t="s">
        <v>193</v>
      </c>
      <c r="D1269" s="71">
        <v>0.8</v>
      </c>
      <c r="E1269" s="72">
        <v>2223.46</v>
      </c>
      <c r="F1269" s="73">
        <f>+E1269*D1269</f>
        <v>1778.768</v>
      </c>
      <c r="J1269" s="11"/>
    </row>
    <row r="1270" spans="1:10" s="61" customFormat="1" ht="16.5" thickBot="1" x14ac:dyDescent="0.3">
      <c r="A1270" s="69"/>
      <c r="B1270" s="70" t="s">
        <v>185</v>
      </c>
      <c r="C1270" s="71" t="s">
        <v>171</v>
      </c>
      <c r="D1270" s="85">
        <v>2.8979999999999995E-2</v>
      </c>
      <c r="E1270" s="86">
        <v>176630</v>
      </c>
      <c r="F1270" s="73">
        <f>+E1270*D1270</f>
        <v>5118.7373999999991</v>
      </c>
      <c r="J1270" s="11"/>
    </row>
    <row r="1271" spans="1:10" s="61" customFormat="1" ht="16.5" thickBot="1" x14ac:dyDescent="0.3">
      <c r="A1271" s="74"/>
      <c r="B1271" s="75"/>
      <c r="C1271" s="76"/>
      <c r="D1271" s="75"/>
      <c r="E1271" s="77" t="s">
        <v>148</v>
      </c>
      <c r="F1271" s="78">
        <f>SUM(F1269:F1270)</f>
        <v>6897.5053999999991</v>
      </c>
      <c r="J1271" s="11"/>
    </row>
    <row r="1272" spans="1:10" s="61" customFormat="1" ht="16.5" thickBot="1" x14ac:dyDescent="0.3">
      <c r="A1272" s="166" t="s">
        <v>168</v>
      </c>
      <c r="B1272" s="167"/>
      <c r="C1272" s="167"/>
      <c r="D1272" s="168"/>
      <c r="E1272" s="169">
        <f>F1271+F1267+F1264+F1261</f>
        <v>1804865.6092469448</v>
      </c>
      <c r="F1272" s="170"/>
      <c r="J1272" s="11"/>
    </row>
    <row r="1273" spans="1:10" s="61" customFormat="1" ht="16.5" thickBot="1" x14ac:dyDescent="0.3">
      <c r="A1273" s="87"/>
      <c r="B1273" s="88"/>
      <c r="C1273" s="88"/>
      <c r="D1273" s="88"/>
      <c r="E1273" s="89"/>
      <c r="F1273" s="90"/>
      <c r="J1273" s="11"/>
    </row>
    <row r="1274" spans="1:10" s="61" customFormat="1" ht="16.5" thickBot="1" x14ac:dyDescent="0.3">
      <c r="A1274" s="146" t="s">
        <v>136</v>
      </c>
      <c r="B1274" s="147"/>
      <c r="C1274" s="147"/>
      <c r="D1274" s="147"/>
      <c r="E1274" s="147"/>
      <c r="F1274" s="148"/>
      <c r="J1274" s="11"/>
    </row>
    <row r="1275" spans="1:10" s="61" customFormat="1" ht="21" customHeight="1" x14ac:dyDescent="0.25">
      <c r="A1275" s="149" t="str">
        <f>+'RESUMEN APUS'!B76</f>
        <v>Suministro e instalación de mueble Inferior de 1.5 m en lamina RH con entrepaños,  mínimo una línea con tres cajones y el restante con entrepaño 0,45m de fondo, riel de extención de 40 cm, manijas en aluminio, patas niveladoras. Incluye  Pozuelo, cubierta en acero inox. cuatro quemadores a gas, grifería y todos los materiales necesarios para su correcta ejecución</v>
      </c>
      <c r="B1275" s="150"/>
      <c r="C1275" s="150"/>
      <c r="D1275" s="151"/>
      <c r="E1275" s="12" t="s">
        <v>137</v>
      </c>
      <c r="F1275" s="13" t="s">
        <v>3</v>
      </c>
      <c r="J1275" s="11"/>
    </row>
    <row r="1276" spans="1:10" s="61" customFormat="1" ht="21.6" customHeight="1" thickBot="1" x14ac:dyDescent="0.3">
      <c r="A1276" s="152"/>
      <c r="B1276" s="153"/>
      <c r="C1276" s="153"/>
      <c r="D1276" s="154"/>
      <c r="E1276" s="91" t="str">
        <f>+'RESUMEN APUS'!A76</f>
        <v>10.20</v>
      </c>
      <c r="F1276" s="92" t="s">
        <v>566</v>
      </c>
      <c r="J1276" s="11"/>
    </row>
    <row r="1277" spans="1:10" s="61" customFormat="1" ht="16.5" thickBot="1" x14ac:dyDescent="0.3">
      <c r="A1277" s="26" t="s">
        <v>139</v>
      </c>
      <c r="B1277" s="66" t="s">
        <v>172</v>
      </c>
      <c r="C1277" s="67" t="s">
        <v>3</v>
      </c>
      <c r="D1277" s="67" t="s">
        <v>141</v>
      </c>
      <c r="E1277" s="67" t="s">
        <v>142</v>
      </c>
      <c r="F1277" s="68" t="s">
        <v>143</v>
      </c>
      <c r="J1277" s="11"/>
    </row>
    <row r="1278" spans="1:10" s="61" customFormat="1" ht="15.75" x14ac:dyDescent="0.25">
      <c r="A1278" s="93"/>
      <c r="B1278" s="94" t="s">
        <v>567</v>
      </c>
      <c r="C1278" s="95" t="s">
        <v>171</v>
      </c>
      <c r="D1278" s="95">
        <v>1</v>
      </c>
      <c r="E1278" s="96">
        <f>699650*1.052</f>
        <v>736031.8</v>
      </c>
      <c r="F1278" s="97">
        <f>+E1278</f>
        <v>736031.8</v>
      </c>
      <c r="J1278" s="11"/>
    </row>
    <row r="1279" spans="1:10" s="61" customFormat="1" ht="15.75" x14ac:dyDescent="0.25">
      <c r="A1279" s="98"/>
      <c r="B1279" s="21" t="s">
        <v>568</v>
      </c>
      <c r="C1279" s="99" t="s">
        <v>171</v>
      </c>
      <c r="D1279" s="99">
        <v>28</v>
      </c>
      <c r="E1279" s="24">
        <f>212*1.052</f>
        <v>223.024</v>
      </c>
      <c r="F1279" s="100">
        <f>ROUND(D1279*E1279,0)</f>
        <v>6245</v>
      </c>
      <c r="J1279" s="11"/>
    </row>
    <row r="1280" spans="1:10" s="61" customFormat="1" ht="15.75" x14ac:dyDescent="0.25">
      <c r="A1280" s="98"/>
      <c r="B1280" s="21" t="s">
        <v>569</v>
      </c>
      <c r="C1280" s="99" t="s">
        <v>171</v>
      </c>
      <c r="D1280" s="99">
        <v>28</v>
      </c>
      <c r="E1280" s="24">
        <f>85*1.052</f>
        <v>89.42</v>
      </c>
      <c r="F1280" s="100">
        <f t="shared" ref="F1280:F1281" si="15">ROUND(D1280*E1280,0)</f>
        <v>2504</v>
      </c>
      <c r="J1280" s="11"/>
    </row>
    <row r="1281" spans="1:10" s="61" customFormat="1" ht="27.75" thickBot="1" x14ac:dyDescent="0.3">
      <c r="A1281" s="34"/>
      <c r="B1281" s="35" t="s">
        <v>570</v>
      </c>
      <c r="C1281" s="36" t="s">
        <v>171</v>
      </c>
      <c r="D1281" s="101">
        <v>1</v>
      </c>
      <c r="E1281" s="38">
        <f>1199444.7054*1.052</f>
        <v>1261815.8300808002</v>
      </c>
      <c r="F1281" s="100">
        <f t="shared" si="15"/>
        <v>1261816</v>
      </c>
      <c r="J1281" s="11"/>
    </row>
    <row r="1282" spans="1:10" s="61" customFormat="1" ht="16.5" thickBot="1" x14ac:dyDescent="0.3">
      <c r="A1282" s="26" t="s">
        <v>175</v>
      </c>
      <c r="B1282" s="27"/>
      <c r="C1282" s="28"/>
      <c r="D1282" s="27"/>
      <c r="E1282" s="29" t="s">
        <v>148</v>
      </c>
      <c r="F1282" s="30">
        <f>SUM(F1278:F1281)</f>
        <v>2006596.8</v>
      </c>
      <c r="J1282" s="11"/>
    </row>
    <row r="1283" spans="1:10" s="61" customFormat="1" ht="15.75" x14ac:dyDescent="0.25">
      <c r="A1283" s="16" t="s">
        <v>139</v>
      </c>
      <c r="B1283" s="17" t="s">
        <v>140</v>
      </c>
      <c r="C1283" s="18" t="s">
        <v>3</v>
      </c>
      <c r="D1283" s="18" t="s">
        <v>141</v>
      </c>
      <c r="E1283" s="18" t="s">
        <v>142</v>
      </c>
      <c r="F1283" s="19" t="s">
        <v>143</v>
      </c>
      <c r="J1283" s="11"/>
    </row>
    <row r="1284" spans="1:10" s="61" customFormat="1" ht="16.5" thickBot="1" x14ac:dyDescent="0.3">
      <c r="A1284" s="20" t="s">
        <v>289</v>
      </c>
      <c r="B1284" s="21" t="s">
        <v>290</v>
      </c>
      <c r="C1284" s="22" t="s">
        <v>146</v>
      </c>
      <c r="D1284" s="23">
        <v>0.67</v>
      </c>
      <c r="E1284" s="24">
        <f>283800*$J$1</f>
        <v>320693.99999999994</v>
      </c>
      <c r="F1284" s="40">
        <f>ROUND(D1284*E1284,0)</f>
        <v>214865</v>
      </c>
      <c r="J1284" s="11"/>
    </row>
    <row r="1285" spans="1:10" s="61" customFormat="1" ht="16.5" thickBot="1" x14ac:dyDescent="0.3">
      <c r="A1285" s="26" t="s">
        <v>147</v>
      </c>
      <c r="B1285" s="27"/>
      <c r="C1285" s="28"/>
      <c r="D1285" s="27"/>
      <c r="E1285" s="29" t="s">
        <v>148</v>
      </c>
      <c r="F1285" s="30">
        <f>SUM(F1284)</f>
        <v>214865</v>
      </c>
      <c r="J1285" s="11"/>
    </row>
    <row r="1286" spans="1:10" s="61" customFormat="1" ht="15.75" x14ac:dyDescent="0.25">
      <c r="A1286" s="16" t="s">
        <v>139</v>
      </c>
      <c r="B1286" s="17" t="s">
        <v>149</v>
      </c>
      <c r="C1286" s="18" t="s">
        <v>3</v>
      </c>
      <c r="D1286" s="18" t="s">
        <v>141</v>
      </c>
      <c r="E1286" s="18" t="s">
        <v>142</v>
      </c>
      <c r="F1286" s="19" t="s">
        <v>143</v>
      </c>
      <c r="J1286" s="11"/>
    </row>
    <row r="1287" spans="1:10" s="61" customFormat="1" ht="16.5" thickBot="1" x14ac:dyDescent="0.3">
      <c r="A1287" s="20" t="s">
        <v>150</v>
      </c>
      <c r="B1287" s="21" t="s">
        <v>151</v>
      </c>
      <c r="C1287" s="22" t="s">
        <v>152</v>
      </c>
      <c r="D1287" s="23">
        <v>0.05</v>
      </c>
      <c r="E1287" s="24">
        <f>F1285</f>
        <v>214865</v>
      </c>
      <c r="F1287" s="40">
        <f>ROUND(D1287*E1287,0)</f>
        <v>10743</v>
      </c>
      <c r="J1287" s="11"/>
    </row>
    <row r="1288" spans="1:10" s="61" customFormat="1" ht="16.5" thickBot="1" x14ac:dyDescent="0.3">
      <c r="A1288" s="26" t="s">
        <v>153</v>
      </c>
      <c r="B1288" s="27"/>
      <c r="C1288" s="28"/>
      <c r="D1288" s="27"/>
      <c r="E1288" s="29" t="s">
        <v>148</v>
      </c>
      <c r="F1288" s="30">
        <f>SUM(F1287)</f>
        <v>10743</v>
      </c>
      <c r="J1288" s="11"/>
    </row>
    <row r="1289" spans="1:10" s="61" customFormat="1" ht="15.75" x14ac:dyDescent="0.25">
      <c r="A1289" s="16" t="s">
        <v>139</v>
      </c>
      <c r="B1289" s="17" t="s">
        <v>161</v>
      </c>
      <c r="C1289" s="18" t="s">
        <v>3</v>
      </c>
      <c r="D1289" s="18" t="s">
        <v>141</v>
      </c>
      <c r="E1289" s="18" t="s">
        <v>142</v>
      </c>
      <c r="F1289" s="19" t="s">
        <v>143</v>
      </c>
      <c r="J1289" s="11"/>
    </row>
    <row r="1290" spans="1:10" s="61" customFormat="1" ht="16.5" thickBot="1" x14ac:dyDescent="0.3">
      <c r="A1290" s="20" t="s">
        <v>184</v>
      </c>
      <c r="B1290" s="21" t="s">
        <v>185</v>
      </c>
      <c r="C1290" s="22" t="s">
        <v>558</v>
      </c>
      <c r="D1290" s="23">
        <v>1</v>
      </c>
      <c r="E1290" s="24">
        <v>2140</v>
      </c>
      <c r="F1290" s="40">
        <f>ROUND(D1290*E1290,0)</f>
        <v>2140</v>
      </c>
      <c r="J1290" s="11"/>
    </row>
    <row r="1291" spans="1:10" s="61" customFormat="1" ht="16.5" thickBot="1" x14ac:dyDescent="0.3">
      <c r="A1291" s="26"/>
      <c r="B1291" s="27"/>
      <c r="C1291" s="28"/>
      <c r="D1291" s="27"/>
      <c r="E1291" s="29" t="s">
        <v>148</v>
      </c>
      <c r="F1291" s="30">
        <f>SUM(F1290:F1290)</f>
        <v>2140</v>
      </c>
      <c r="J1291" s="11"/>
    </row>
    <row r="1292" spans="1:10" s="61" customFormat="1" ht="16.5" thickBot="1" x14ac:dyDescent="0.3">
      <c r="A1292" s="171" t="s">
        <v>168</v>
      </c>
      <c r="B1292" s="172"/>
      <c r="C1292" s="172"/>
      <c r="D1292" s="173"/>
      <c r="E1292" s="158">
        <f>+F1282+F1285+F1288+F1291</f>
        <v>2234344.7999999998</v>
      </c>
      <c r="F1292" s="159"/>
      <c r="J1292" s="11"/>
    </row>
    <row r="1293" spans="1:10" s="61" customFormat="1" ht="16.5" thickBot="1" x14ac:dyDescent="0.3">
      <c r="A1293"/>
      <c r="B1293"/>
      <c r="C1293"/>
      <c r="D1293"/>
      <c r="E1293"/>
      <c r="F1293"/>
      <c r="J1293" s="11"/>
    </row>
    <row r="1294" spans="1:10" s="61" customFormat="1" ht="16.5" thickBot="1" x14ac:dyDescent="0.3">
      <c r="A1294" s="146" t="s">
        <v>136</v>
      </c>
      <c r="B1294" s="147"/>
      <c r="C1294" s="147"/>
      <c r="D1294" s="147"/>
      <c r="E1294" s="147"/>
      <c r="F1294" s="148"/>
      <c r="J1294" s="11"/>
    </row>
    <row r="1295" spans="1:10" s="61" customFormat="1" ht="21.95" customHeight="1" x14ac:dyDescent="0.25">
      <c r="A1295" s="149" t="str">
        <f>+'RESUMEN APUS'!B77</f>
        <v>Suministro e instalación de mueble Inferior de 1.8m en lamina RH con entrepaños,  mínimo una línea con tres cajones y el restante con entrepaño 0,45m de fondo, riel de extención de 40 cm, manijas en aluminio, patas niveladoras. Incluye  Pozuelo, cubierta en acero inox. cuatro quemadores a gas, grifería y todos los materiales necesarios para su correcta ejecución.</v>
      </c>
      <c r="B1295" s="150"/>
      <c r="C1295" s="150"/>
      <c r="D1295" s="151"/>
      <c r="E1295" s="12" t="s">
        <v>137</v>
      </c>
      <c r="F1295" s="13" t="s">
        <v>3</v>
      </c>
      <c r="J1295" s="11"/>
    </row>
    <row r="1296" spans="1:10" s="61" customFormat="1" ht="21" customHeight="1" thickBot="1" x14ac:dyDescent="0.3">
      <c r="A1296" s="152"/>
      <c r="B1296" s="153"/>
      <c r="C1296" s="153"/>
      <c r="D1296" s="154"/>
      <c r="E1296" s="91" t="str">
        <f>+'RESUMEN APUS'!A77</f>
        <v>10.21</v>
      </c>
      <c r="F1296" s="92" t="s">
        <v>566</v>
      </c>
      <c r="J1296" s="11"/>
    </row>
    <row r="1297" spans="1:10" s="61" customFormat="1" ht="16.5" thickBot="1" x14ac:dyDescent="0.3">
      <c r="A1297" s="26" t="s">
        <v>139</v>
      </c>
      <c r="B1297" s="66" t="s">
        <v>172</v>
      </c>
      <c r="C1297" s="67" t="s">
        <v>3</v>
      </c>
      <c r="D1297" s="67" t="s">
        <v>141</v>
      </c>
      <c r="E1297" s="67" t="s">
        <v>142</v>
      </c>
      <c r="F1297" s="102" t="s">
        <v>566</v>
      </c>
      <c r="J1297" s="11"/>
    </row>
    <row r="1298" spans="1:10" s="61" customFormat="1" ht="15.75" x14ac:dyDescent="0.25">
      <c r="A1298" s="93"/>
      <c r="B1298" s="94" t="s">
        <v>567</v>
      </c>
      <c r="C1298" s="95" t="s">
        <v>171</v>
      </c>
      <c r="D1298" s="95">
        <v>1</v>
      </c>
      <c r="E1298" s="24">
        <f>883238.16*1.052</f>
        <v>929166.5443200001</v>
      </c>
      <c r="F1298" s="100">
        <f>ROUND(D1298*E1298,0)</f>
        <v>929167</v>
      </c>
      <c r="J1298" s="11"/>
    </row>
    <row r="1299" spans="1:10" s="61" customFormat="1" ht="15.75" x14ac:dyDescent="0.25">
      <c r="A1299" s="98"/>
      <c r="B1299" s="21" t="s">
        <v>568</v>
      </c>
      <c r="C1299" s="99" t="s">
        <v>171</v>
      </c>
      <c r="D1299" s="99">
        <v>30</v>
      </c>
      <c r="E1299" s="24">
        <f>+E1279</f>
        <v>223.024</v>
      </c>
      <c r="F1299" s="100">
        <f>ROUND(D1299*E1299,0)</f>
        <v>6691</v>
      </c>
      <c r="J1299" s="11"/>
    </row>
    <row r="1300" spans="1:10" s="61" customFormat="1" ht="15.75" x14ac:dyDescent="0.25">
      <c r="A1300" s="98"/>
      <c r="B1300" s="21" t="s">
        <v>569</v>
      </c>
      <c r="C1300" s="99" t="s">
        <v>171</v>
      </c>
      <c r="D1300" s="99">
        <v>30</v>
      </c>
      <c r="E1300" s="24">
        <f>+E1280</f>
        <v>89.42</v>
      </c>
      <c r="F1300" s="100">
        <f t="shared" ref="F1300" si="16">ROUND(D1300*E1300,0)</f>
        <v>2683</v>
      </c>
      <c r="J1300" s="11"/>
    </row>
    <row r="1301" spans="1:10" s="61" customFormat="1" ht="27.75" thickBot="1" x14ac:dyDescent="0.3">
      <c r="A1301" s="34"/>
      <c r="B1301" s="35" t="s">
        <v>571</v>
      </c>
      <c r="C1301" s="36" t="s">
        <v>171</v>
      </c>
      <c r="D1301" s="101">
        <v>1</v>
      </c>
      <c r="E1301" s="38">
        <v>1466123</v>
      </c>
      <c r="F1301" s="100">
        <f>ROUND(D1301*E1301,0)</f>
        <v>1466123</v>
      </c>
      <c r="J1301" s="11"/>
    </row>
    <row r="1302" spans="1:10" s="61" customFormat="1" ht="16.5" thickBot="1" x14ac:dyDescent="0.3">
      <c r="A1302" s="26" t="s">
        <v>175</v>
      </c>
      <c r="B1302" s="27"/>
      <c r="C1302" s="28">
        <v>81.776297311014602</v>
      </c>
      <c r="D1302" s="27"/>
      <c r="E1302" s="29" t="s">
        <v>148</v>
      </c>
      <c r="F1302" s="30">
        <f>SUM(F1298:F1301)</f>
        <v>2404664</v>
      </c>
      <c r="J1302" s="11"/>
    </row>
    <row r="1303" spans="1:10" s="61" customFormat="1" ht="15.75" x14ac:dyDescent="0.25">
      <c r="A1303" s="16" t="s">
        <v>139</v>
      </c>
      <c r="B1303" s="17" t="s">
        <v>140</v>
      </c>
      <c r="C1303" s="18" t="s">
        <v>3</v>
      </c>
      <c r="D1303" s="18" t="s">
        <v>141</v>
      </c>
      <c r="E1303" s="18" t="s">
        <v>142</v>
      </c>
      <c r="F1303" s="19" t="s">
        <v>143</v>
      </c>
      <c r="J1303" s="11"/>
    </row>
    <row r="1304" spans="1:10" s="61" customFormat="1" ht="16.5" thickBot="1" x14ac:dyDescent="0.3">
      <c r="A1304" s="20" t="s">
        <v>289</v>
      </c>
      <c r="B1304" s="21" t="s">
        <v>290</v>
      </c>
      <c r="C1304" s="22" t="s">
        <v>146</v>
      </c>
      <c r="D1304" s="23">
        <v>0.67</v>
      </c>
      <c r="E1304" s="24">
        <f>283800*$J$1</f>
        <v>320693.99999999994</v>
      </c>
      <c r="F1304" s="40">
        <f>ROUND(D1304*E1304,0)</f>
        <v>214865</v>
      </c>
      <c r="J1304" s="11"/>
    </row>
    <row r="1305" spans="1:10" s="61" customFormat="1" ht="16.5" thickBot="1" x14ac:dyDescent="0.3">
      <c r="A1305" s="26" t="s">
        <v>147</v>
      </c>
      <c r="B1305" s="27"/>
      <c r="C1305" s="28">
        <v>9.6753211556181906</v>
      </c>
      <c r="D1305" s="27"/>
      <c r="E1305" s="29" t="s">
        <v>148</v>
      </c>
      <c r="F1305" s="30">
        <f>SUM(F1304)</f>
        <v>214865</v>
      </c>
      <c r="J1305" s="11"/>
    </row>
    <row r="1306" spans="1:10" s="61" customFormat="1" ht="15.75" x14ac:dyDescent="0.25">
      <c r="A1306" s="16" t="s">
        <v>139</v>
      </c>
      <c r="B1306" s="17" t="s">
        <v>149</v>
      </c>
      <c r="C1306" s="18" t="s">
        <v>3</v>
      </c>
      <c r="D1306" s="18" t="s">
        <v>141</v>
      </c>
      <c r="E1306" s="18" t="s">
        <v>142</v>
      </c>
      <c r="F1306" s="19" t="s">
        <v>143</v>
      </c>
      <c r="J1306" s="11"/>
    </row>
    <row r="1307" spans="1:10" s="61" customFormat="1" ht="16.5" thickBot="1" x14ac:dyDescent="0.3">
      <c r="A1307" s="20" t="s">
        <v>150</v>
      </c>
      <c r="B1307" s="21" t="s">
        <v>151</v>
      </c>
      <c r="C1307" s="22" t="s">
        <v>152</v>
      </c>
      <c r="D1307" s="23">
        <v>0.05</v>
      </c>
      <c r="E1307" s="24">
        <f>F1305</f>
        <v>214865</v>
      </c>
      <c r="F1307" s="40">
        <f>ROUND(D1307*E1307,0)</f>
        <v>10743</v>
      </c>
      <c r="J1307" s="11"/>
    </row>
    <row r="1308" spans="1:10" s="61" customFormat="1" ht="16.5" thickBot="1" x14ac:dyDescent="0.3">
      <c r="A1308" s="26" t="s">
        <v>153</v>
      </c>
      <c r="B1308" s="27"/>
      <c r="C1308" s="28">
        <v>0.48388924750787199</v>
      </c>
      <c r="D1308" s="27"/>
      <c r="E1308" s="29" t="s">
        <v>148</v>
      </c>
      <c r="F1308" s="30">
        <f>SUM(F1307)</f>
        <v>10743</v>
      </c>
      <c r="J1308" s="11"/>
    </row>
    <row r="1309" spans="1:10" s="61" customFormat="1" ht="15.75" x14ac:dyDescent="0.25">
      <c r="A1309" s="16" t="s">
        <v>139</v>
      </c>
      <c r="B1309" s="17" t="s">
        <v>161</v>
      </c>
      <c r="C1309" s="18" t="s">
        <v>3</v>
      </c>
      <c r="D1309" s="18" t="s">
        <v>141</v>
      </c>
      <c r="E1309" s="18" t="s">
        <v>142</v>
      </c>
      <c r="F1309" s="19" t="s">
        <v>143</v>
      </c>
      <c r="J1309" s="11"/>
    </row>
    <row r="1310" spans="1:10" s="61" customFormat="1" ht="16.5" thickBot="1" x14ac:dyDescent="0.3">
      <c r="A1310" s="20" t="s">
        <v>184</v>
      </c>
      <c r="B1310" s="21" t="s">
        <v>185</v>
      </c>
      <c r="C1310" s="22" t="s">
        <v>558</v>
      </c>
      <c r="D1310" s="23">
        <v>1</v>
      </c>
      <c r="E1310" s="24">
        <v>2140</v>
      </c>
      <c r="F1310" s="40">
        <f>ROUND(D1310*E1310,0)</f>
        <v>2140</v>
      </c>
      <c r="J1310" s="11"/>
    </row>
    <row r="1311" spans="1:10" s="61" customFormat="1" ht="16.5" thickBot="1" x14ac:dyDescent="0.3">
      <c r="A1311" s="26"/>
      <c r="B1311" s="27"/>
      <c r="C1311" s="28"/>
      <c r="D1311" s="27"/>
      <c r="E1311" s="29" t="s">
        <v>148</v>
      </c>
      <c r="F1311" s="30">
        <f>SUM(F1310:F1310)</f>
        <v>2140</v>
      </c>
      <c r="J1311" s="11"/>
    </row>
    <row r="1312" spans="1:10" s="61" customFormat="1" ht="16.5" thickBot="1" x14ac:dyDescent="0.3">
      <c r="A1312" s="171" t="s">
        <v>168</v>
      </c>
      <c r="B1312" s="172"/>
      <c r="C1312" s="172"/>
      <c r="D1312" s="173"/>
      <c r="E1312" s="158">
        <f>+F1302+F1305+F1308+F1311</f>
        <v>2632412</v>
      </c>
      <c r="F1312" s="159"/>
      <c r="J1312" s="11"/>
    </row>
    <row r="1313" spans="1:10" s="61" customFormat="1" ht="16.5" thickBot="1" x14ac:dyDescent="0.3">
      <c r="A1313"/>
      <c r="B1313"/>
      <c r="C1313"/>
      <c r="D1313"/>
      <c r="E1313"/>
      <c r="F1313"/>
      <c r="J1313" s="11"/>
    </row>
    <row r="1314" spans="1:10" s="61" customFormat="1" ht="16.5" thickBot="1" x14ac:dyDescent="0.3">
      <c r="A1314" s="146" t="s">
        <v>136</v>
      </c>
      <c r="B1314" s="147"/>
      <c r="C1314" s="147"/>
      <c r="D1314" s="147"/>
      <c r="E1314" s="147"/>
      <c r="F1314" s="148"/>
      <c r="J1314" s="11"/>
    </row>
    <row r="1315" spans="1:10" s="61" customFormat="1" ht="21" customHeight="1" x14ac:dyDescent="0.25">
      <c r="A1315" s="149" t="str">
        <f>+'RESUMEN APUS'!B78</f>
        <v>Suministro e instalación de mueble Inferior de  2.10m en lamina RH con entrepaños,  mínimo una línea con tres cajones y el restante con entrepaño 0,45m de fondo, riel de extención de 40 cm, manijas en aluminio, patas niveladoras. Incluye  Pozuelo, cubierta en acero inox. cuatro quemadores a gas, grifería y todos los materiales necesarios para su correcta ejecución.</v>
      </c>
      <c r="B1315" s="150"/>
      <c r="C1315" s="150"/>
      <c r="D1315" s="151"/>
      <c r="E1315" s="12" t="s">
        <v>137</v>
      </c>
      <c r="F1315" s="13" t="s">
        <v>3</v>
      </c>
      <c r="J1315" s="11"/>
    </row>
    <row r="1316" spans="1:10" s="61" customFormat="1" ht="19.5" customHeight="1" thickBot="1" x14ac:dyDescent="0.3">
      <c r="A1316" s="152"/>
      <c r="B1316" s="153"/>
      <c r="C1316" s="153"/>
      <c r="D1316" s="154"/>
      <c r="E1316" s="91" t="str">
        <f>+'RESUMEN APUS'!A78</f>
        <v>10.22</v>
      </c>
      <c r="F1316" s="92" t="s">
        <v>566</v>
      </c>
      <c r="J1316" s="11"/>
    </row>
    <row r="1317" spans="1:10" s="61" customFormat="1" ht="16.5" thickBot="1" x14ac:dyDescent="0.3">
      <c r="A1317" s="26" t="s">
        <v>139</v>
      </c>
      <c r="B1317" s="66" t="s">
        <v>172</v>
      </c>
      <c r="C1317" s="67" t="s">
        <v>3</v>
      </c>
      <c r="D1317" s="67" t="s">
        <v>141</v>
      </c>
      <c r="E1317" s="67" t="s">
        <v>142</v>
      </c>
      <c r="F1317" s="68" t="s">
        <v>143</v>
      </c>
      <c r="J1317" s="11"/>
    </row>
    <row r="1318" spans="1:10" s="61" customFormat="1" ht="15.75" x14ac:dyDescent="0.25">
      <c r="A1318" s="93"/>
      <c r="B1318" s="94" t="s">
        <v>572</v>
      </c>
      <c r="C1318" s="95" t="s">
        <v>171</v>
      </c>
      <c r="D1318" s="95">
        <v>1</v>
      </c>
      <c r="E1318" s="96">
        <f>1113812*1.052</f>
        <v>1171730.2240000002</v>
      </c>
      <c r="F1318" s="97">
        <f>+E1318</f>
        <v>1171730.2240000002</v>
      </c>
      <c r="J1318" s="11"/>
    </row>
    <row r="1319" spans="1:10" s="61" customFormat="1" ht="15.75" x14ac:dyDescent="0.25">
      <c r="A1319" s="98"/>
      <c r="B1319" s="21" t="s">
        <v>568</v>
      </c>
      <c r="C1319" s="99" t="s">
        <v>171</v>
      </c>
      <c r="D1319" s="99">
        <v>30</v>
      </c>
      <c r="E1319" s="24">
        <f>+E1299</f>
        <v>223.024</v>
      </c>
      <c r="F1319" s="100">
        <f t="shared" ref="F1319:F1321" si="17">ROUND(D1319*E1319,0)</f>
        <v>6691</v>
      </c>
      <c r="J1319" s="11"/>
    </row>
    <row r="1320" spans="1:10" s="61" customFormat="1" ht="15.75" x14ac:dyDescent="0.25">
      <c r="A1320" s="98"/>
      <c r="B1320" s="21" t="s">
        <v>569</v>
      </c>
      <c r="C1320" s="99" t="s">
        <v>171</v>
      </c>
      <c r="D1320" s="99">
        <v>30</v>
      </c>
      <c r="E1320" s="24">
        <f>+E1300</f>
        <v>89.42</v>
      </c>
      <c r="F1320" s="100">
        <f t="shared" si="17"/>
        <v>2683</v>
      </c>
      <c r="J1320" s="11"/>
    </row>
    <row r="1321" spans="1:10" s="61" customFormat="1" ht="27.75" thickBot="1" x14ac:dyDescent="0.3">
      <c r="A1321" s="34"/>
      <c r="B1321" s="35" t="s">
        <v>573</v>
      </c>
      <c r="C1321" s="36" t="s">
        <v>171</v>
      </c>
      <c r="D1321" s="101">
        <v>1</v>
      </c>
      <c r="E1321" s="38">
        <v>1619121.0734061459</v>
      </c>
      <c r="F1321" s="100">
        <f t="shared" si="17"/>
        <v>1619121</v>
      </c>
      <c r="J1321" s="11"/>
    </row>
    <row r="1322" spans="1:10" s="61" customFormat="1" ht="16.5" thickBot="1" x14ac:dyDescent="0.3">
      <c r="A1322" s="26" t="s">
        <v>175</v>
      </c>
      <c r="B1322" s="27"/>
      <c r="C1322" s="28">
        <v>81.776297311014602</v>
      </c>
      <c r="D1322" s="27"/>
      <c r="E1322" s="29" t="s">
        <v>148</v>
      </c>
      <c r="F1322" s="30">
        <f>SUM(F1318:F1321)</f>
        <v>2800225.2240000004</v>
      </c>
      <c r="J1322" s="11"/>
    </row>
    <row r="1323" spans="1:10" s="61" customFormat="1" ht="15.75" x14ac:dyDescent="0.25">
      <c r="A1323" s="16" t="s">
        <v>139</v>
      </c>
      <c r="B1323" s="17" t="s">
        <v>140</v>
      </c>
      <c r="C1323" s="18" t="s">
        <v>3</v>
      </c>
      <c r="D1323" s="18" t="s">
        <v>141</v>
      </c>
      <c r="E1323" s="18" t="s">
        <v>142</v>
      </c>
      <c r="F1323" s="19" t="s">
        <v>143</v>
      </c>
      <c r="J1323" s="11"/>
    </row>
    <row r="1324" spans="1:10" s="61" customFormat="1" ht="16.5" thickBot="1" x14ac:dyDescent="0.3">
      <c r="A1324" s="20" t="s">
        <v>289</v>
      </c>
      <c r="B1324" s="21" t="s">
        <v>290</v>
      </c>
      <c r="C1324" s="22" t="s">
        <v>146</v>
      </c>
      <c r="D1324" s="103">
        <v>0.67</v>
      </c>
      <c r="E1324" s="24">
        <f>283800*$J$1</f>
        <v>320693.99999999994</v>
      </c>
      <c r="F1324" s="100">
        <f>ROUND(D1324*E1324,0)</f>
        <v>214865</v>
      </c>
      <c r="J1324" s="11"/>
    </row>
    <row r="1325" spans="1:10" s="61" customFormat="1" ht="16.5" thickBot="1" x14ac:dyDescent="0.3">
      <c r="A1325" s="26" t="s">
        <v>147</v>
      </c>
      <c r="B1325" s="27"/>
      <c r="C1325" s="28">
        <v>9.6753211556181906</v>
      </c>
      <c r="D1325" s="27"/>
      <c r="E1325" s="29" t="s">
        <v>148</v>
      </c>
      <c r="F1325" s="30">
        <f>SUM(F1324)</f>
        <v>214865</v>
      </c>
      <c r="J1325" s="11"/>
    </row>
    <row r="1326" spans="1:10" s="61" customFormat="1" ht="15.75" x14ac:dyDescent="0.25">
      <c r="A1326" s="16" t="s">
        <v>139</v>
      </c>
      <c r="B1326" s="17" t="s">
        <v>149</v>
      </c>
      <c r="C1326" s="18" t="s">
        <v>3</v>
      </c>
      <c r="D1326" s="18" t="s">
        <v>141</v>
      </c>
      <c r="E1326" s="18" t="s">
        <v>142</v>
      </c>
      <c r="F1326" s="19" t="s">
        <v>143</v>
      </c>
      <c r="J1326" s="11"/>
    </row>
    <row r="1327" spans="1:10" s="61" customFormat="1" ht="16.5" thickBot="1" x14ac:dyDescent="0.3">
      <c r="A1327" s="20" t="s">
        <v>150</v>
      </c>
      <c r="B1327" s="21" t="s">
        <v>151</v>
      </c>
      <c r="C1327" s="22" t="s">
        <v>152</v>
      </c>
      <c r="D1327" s="104">
        <v>0.05</v>
      </c>
      <c r="E1327" s="24">
        <f>F1325</f>
        <v>214865</v>
      </c>
      <c r="F1327" s="40">
        <f>ROUND(D1327*E1327,0)</f>
        <v>10743</v>
      </c>
      <c r="J1327" s="11"/>
    </row>
    <row r="1328" spans="1:10" s="61" customFormat="1" ht="16.5" thickBot="1" x14ac:dyDescent="0.3">
      <c r="A1328" s="26" t="s">
        <v>153</v>
      </c>
      <c r="B1328" s="27"/>
      <c r="C1328" s="28">
        <v>0.48388924750787199</v>
      </c>
      <c r="D1328" s="27"/>
      <c r="E1328" s="29" t="s">
        <v>148</v>
      </c>
      <c r="F1328" s="30">
        <f>SUM(F1327)</f>
        <v>10743</v>
      </c>
      <c r="J1328" s="11"/>
    </row>
    <row r="1329" spans="1:10" s="61" customFormat="1" ht="15.75" x14ac:dyDescent="0.25">
      <c r="A1329" s="16" t="s">
        <v>139</v>
      </c>
      <c r="B1329" s="17" t="s">
        <v>161</v>
      </c>
      <c r="C1329" s="18" t="s">
        <v>3</v>
      </c>
      <c r="D1329" s="18" t="s">
        <v>141</v>
      </c>
      <c r="E1329" s="18" t="s">
        <v>142</v>
      </c>
      <c r="F1329" s="19" t="s">
        <v>143</v>
      </c>
      <c r="J1329" s="11"/>
    </row>
    <row r="1330" spans="1:10" s="61" customFormat="1" ht="16.5" thickBot="1" x14ac:dyDescent="0.3">
      <c r="A1330" s="20" t="s">
        <v>184</v>
      </c>
      <c r="B1330" s="21" t="s">
        <v>185</v>
      </c>
      <c r="C1330" s="22" t="s">
        <v>558</v>
      </c>
      <c r="D1330" s="23">
        <v>1</v>
      </c>
      <c r="E1330" s="24">
        <v>2140</v>
      </c>
      <c r="F1330" s="40">
        <f>ROUND(D1330*E1330,0)</f>
        <v>2140</v>
      </c>
      <c r="J1330" s="11"/>
    </row>
    <row r="1331" spans="1:10" s="61" customFormat="1" ht="16.5" thickBot="1" x14ac:dyDescent="0.3">
      <c r="A1331" s="26"/>
      <c r="B1331" s="27"/>
      <c r="C1331" s="28"/>
      <c r="D1331" s="27"/>
      <c r="E1331" s="29" t="s">
        <v>148</v>
      </c>
      <c r="F1331" s="30">
        <f>SUM(F1330:F1330)</f>
        <v>2140</v>
      </c>
      <c r="J1331" s="11"/>
    </row>
    <row r="1332" spans="1:10" s="61" customFormat="1" ht="16.5" thickBot="1" x14ac:dyDescent="0.3">
      <c r="A1332" s="171" t="s">
        <v>168</v>
      </c>
      <c r="B1332" s="172"/>
      <c r="C1332" s="172"/>
      <c r="D1332" s="173"/>
      <c r="E1332" s="158">
        <f>+F1322+F1325+F1328+F1331</f>
        <v>3027973.2240000004</v>
      </c>
      <c r="F1332" s="159"/>
      <c r="J1332" s="11"/>
    </row>
    <row r="1333" spans="1:10" s="61" customFormat="1" ht="16.5" thickBot="1" x14ac:dyDescent="0.3">
      <c r="J1333" s="11"/>
    </row>
    <row r="1334" spans="1:10" s="61" customFormat="1" ht="16.5" thickBot="1" x14ac:dyDescent="0.3">
      <c r="A1334" s="146" t="s">
        <v>136</v>
      </c>
      <c r="B1334" s="147"/>
      <c r="C1334" s="147"/>
      <c r="D1334" s="147"/>
      <c r="E1334" s="147"/>
      <c r="F1334" s="148"/>
      <c r="J1334" s="11"/>
    </row>
    <row r="1335" spans="1:10" s="61" customFormat="1" ht="27.95" customHeight="1" x14ac:dyDescent="0.25">
      <c r="A1335" s="149" t="str">
        <f>+'RESUMEN APUS'!B79</f>
        <v>Suministro e instalación de mueble Inferior de 1.5m en lamina RH con entrepaños,  mínimo una línea con tres cajones y el restante con entrepaño 0,45m de fondo, riel de extención de 40 cm, manijas en aluminio, patas niveladoras. Incluye Mesón Poceta Izquierda o derecha en Acero Inoxidable Con 4 Fogones A Gas (griferia) y mueble superior para cocina en lámina RH. Todo lo necesario para su correcta instalación.</v>
      </c>
      <c r="B1335" s="150"/>
      <c r="C1335" s="150"/>
      <c r="D1335" s="151"/>
      <c r="E1335" s="12" t="s">
        <v>137</v>
      </c>
      <c r="F1335" s="13" t="s">
        <v>3</v>
      </c>
      <c r="J1335" s="11"/>
    </row>
    <row r="1336" spans="1:10" s="61" customFormat="1" ht="23.45" customHeight="1" thickBot="1" x14ac:dyDescent="0.3">
      <c r="A1336" s="152"/>
      <c r="B1336" s="153"/>
      <c r="C1336" s="153"/>
      <c r="D1336" s="154"/>
      <c r="E1336" s="91" t="str">
        <f>+'RESUMEN APUS'!A79</f>
        <v>10.23</v>
      </c>
      <c r="F1336" s="92" t="s">
        <v>566</v>
      </c>
      <c r="J1336" s="11"/>
    </row>
    <row r="1337" spans="1:10" s="61" customFormat="1" ht="16.5" thickBot="1" x14ac:dyDescent="0.3">
      <c r="A1337" s="26" t="s">
        <v>139</v>
      </c>
      <c r="B1337" s="66" t="s">
        <v>172</v>
      </c>
      <c r="C1337" s="67" t="s">
        <v>3</v>
      </c>
      <c r="D1337" s="67" t="s">
        <v>141</v>
      </c>
      <c r="E1337" s="67" t="s">
        <v>142</v>
      </c>
      <c r="F1337" s="68" t="s">
        <v>143</v>
      </c>
      <c r="J1337" s="11"/>
    </row>
    <row r="1338" spans="1:10" s="61" customFormat="1" ht="15.75" x14ac:dyDescent="0.25">
      <c r="A1338" s="93"/>
      <c r="B1338" s="94" t="s">
        <v>567</v>
      </c>
      <c r="C1338" s="95" t="s">
        <v>171</v>
      </c>
      <c r="D1338" s="95">
        <v>1</v>
      </c>
      <c r="E1338" s="96">
        <f>+E1278</f>
        <v>736031.8</v>
      </c>
      <c r="F1338" s="97">
        <f>+E1338</f>
        <v>736031.8</v>
      </c>
      <c r="J1338" s="11"/>
    </row>
    <row r="1339" spans="1:10" s="61" customFormat="1" ht="15.75" x14ac:dyDescent="0.25">
      <c r="A1339" s="98"/>
      <c r="B1339" s="21" t="s">
        <v>568</v>
      </c>
      <c r="C1339" s="99" t="s">
        <v>171</v>
      </c>
      <c r="D1339" s="99">
        <v>28</v>
      </c>
      <c r="E1339" s="24">
        <f>+E1319</f>
        <v>223.024</v>
      </c>
      <c r="F1339" s="100">
        <f>ROUND(D1339*E1339,0)</f>
        <v>6245</v>
      </c>
      <c r="J1339" s="11"/>
    </row>
    <row r="1340" spans="1:10" s="61" customFormat="1" ht="15.75" x14ac:dyDescent="0.25">
      <c r="A1340" s="98"/>
      <c r="B1340" s="21" t="s">
        <v>569</v>
      </c>
      <c r="C1340" s="99" t="s">
        <v>171</v>
      </c>
      <c r="D1340" s="99">
        <v>28</v>
      </c>
      <c r="E1340" s="24">
        <f>+E1320</f>
        <v>89.42</v>
      </c>
      <c r="F1340" s="100">
        <f t="shared" ref="F1340:F1342" si="18">ROUND(D1340*E1340,0)</f>
        <v>2504</v>
      </c>
      <c r="J1340" s="11"/>
    </row>
    <row r="1341" spans="1:10" s="61" customFormat="1" ht="15.75" x14ac:dyDescent="0.25">
      <c r="A1341" s="105"/>
      <c r="B1341" s="94" t="s">
        <v>574</v>
      </c>
      <c r="C1341" s="99" t="s">
        <v>171</v>
      </c>
      <c r="D1341" s="99">
        <v>1</v>
      </c>
      <c r="E1341" s="24">
        <f>604600</f>
        <v>604600</v>
      </c>
      <c r="F1341" s="100">
        <f t="shared" si="18"/>
        <v>604600</v>
      </c>
      <c r="J1341" s="11"/>
    </row>
    <row r="1342" spans="1:10" s="61" customFormat="1" ht="27.75" thickBot="1" x14ac:dyDescent="0.3">
      <c r="A1342" s="34"/>
      <c r="B1342" s="35" t="s">
        <v>570</v>
      </c>
      <c r="C1342" s="36" t="s">
        <v>171</v>
      </c>
      <c r="D1342" s="101">
        <v>1</v>
      </c>
      <c r="E1342" s="38">
        <f>+E1178</f>
        <v>1374538.5876613753</v>
      </c>
      <c r="F1342" s="97">
        <f t="shared" si="18"/>
        <v>1374539</v>
      </c>
      <c r="J1342" s="11"/>
    </row>
    <row r="1343" spans="1:10" s="61" customFormat="1" ht="16.5" thickBot="1" x14ac:dyDescent="0.3">
      <c r="A1343" s="26" t="s">
        <v>175</v>
      </c>
      <c r="B1343" s="27"/>
      <c r="C1343" s="28"/>
      <c r="D1343" s="27"/>
      <c r="E1343" s="29" t="s">
        <v>148</v>
      </c>
      <c r="F1343" s="30">
        <f>SUM(F1338:F1342)</f>
        <v>2723919.8</v>
      </c>
      <c r="J1343" s="11"/>
    </row>
    <row r="1344" spans="1:10" s="61" customFormat="1" ht="15.75" x14ac:dyDescent="0.25">
      <c r="A1344" s="16" t="s">
        <v>139</v>
      </c>
      <c r="B1344" s="17" t="s">
        <v>140</v>
      </c>
      <c r="C1344" s="18" t="s">
        <v>3</v>
      </c>
      <c r="D1344" s="18" t="s">
        <v>141</v>
      </c>
      <c r="E1344" s="18" t="s">
        <v>142</v>
      </c>
      <c r="F1344" s="19" t="s">
        <v>143</v>
      </c>
      <c r="J1344" s="11"/>
    </row>
    <row r="1345" spans="1:10" s="61" customFormat="1" ht="16.5" thickBot="1" x14ac:dyDescent="0.3">
      <c r="A1345" s="20" t="s">
        <v>289</v>
      </c>
      <c r="B1345" s="21" t="s">
        <v>290</v>
      </c>
      <c r="C1345" s="22" t="s">
        <v>146</v>
      </c>
      <c r="D1345" s="23">
        <v>0.67</v>
      </c>
      <c r="E1345" s="24">
        <f>283800*$J$1</f>
        <v>320693.99999999994</v>
      </c>
      <c r="F1345" s="40">
        <f>ROUND(D1345*E1345,0)</f>
        <v>214865</v>
      </c>
      <c r="J1345" s="11"/>
    </row>
    <row r="1346" spans="1:10" s="61" customFormat="1" ht="16.5" thickBot="1" x14ac:dyDescent="0.3">
      <c r="A1346" s="26" t="s">
        <v>147</v>
      </c>
      <c r="B1346" s="27"/>
      <c r="C1346" s="28"/>
      <c r="D1346" s="27"/>
      <c r="E1346" s="29" t="s">
        <v>148</v>
      </c>
      <c r="F1346" s="30">
        <f>SUM(F1345)</f>
        <v>214865</v>
      </c>
      <c r="J1346" s="11"/>
    </row>
    <row r="1347" spans="1:10" s="61" customFormat="1" ht="15.75" x14ac:dyDescent="0.25">
      <c r="A1347" s="16" t="s">
        <v>139</v>
      </c>
      <c r="B1347" s="17" t="s">
        <v>149</v>
      </c>
      <c r="C1347" s="18" t="s">
        <v>3</v>
      </c>
      <c r="D1347" s="18" t="s">
        <v>141</v>
      </c>
      <c r="E1347" s="18" t="s">
        <v>142</v>
      </c>
      <c r="F1347" s="19" t="s">
        <v>143</v>
      </c>
      <c r="J1347" s="11"/>
    </row>
    <row r="1348" spans="1:10" s="61" customFormat="1" ht="16.5" thickBot="1" x14ac:dyDescent="0.3">
      <c r="A1348" s="20" t="s">
        <v>150</v>
      </c>
      <c r="B1348" s="21" t="s">
        <v>151</v>
      </c>
      <c r="C1348" s="22" t="s">
        <v>152</v>
      </c>
      <c r="D1348" s="23">
        <v>0.05</v>
      </c>
      <c r="E1348" s="24">
        <f>F1346</f>
        <v>214865</v>
      </c>
      <c r="F1348" s="40">
        <f>ROUND(D1348*E1348,0)</f>
        <v>10743</v>
      </c>
      <c r="J1348" s="11"/>
    </row>
    <row r="1349" spans="1:10" s="61" customFormat="1" ht="16.5" thickBot="1" x14ac:dyDescent="0.3">
      <c r="A1349" s="26" t="s">
        <v>153</v>
      </c>
      <c r="B1349" s="27"/>
      <c r="C1349" s="28"/>
      <c r="D1349" s="27"/>
      <c r="E1349" s="29" t="s">
        <v>148</v>
      </c>
      <c r="F1349" s="30">
        <f>SUM(F1348)</f>
        <v>10743</v>
      </c>
      <c r="J1349" s="11"/>
    </row>
    <row r="1350" spans="1:10" s="61" customFormat="1" ht="15.75" x14ac:dyDescent="0.25">
      <c r="A1350" s="16" t="s">
        <v>139</v>
      </c>
      <c r="B1350" s="17" t="s">
        <v>161</v>
      </c>
      <c r="C1350" s="18" t="s">
        <v>3</v>
      </c>
      <c r="D1350" s="18" t="s">
        <v>141</v>
      </c>
      <c r="E1350" s="18" t="s">
        <v>142</v>
      </c>
      <c r="F1350" s="19" t="s">
        <v>143</v>
      </c>
      <c r="J1350" s="11"/>
    </row>
    <row r="1351" spans="1:10" s="61" customFormat="1" ht="16.5" thickBot="1" x14ac:dyDescent="0.3">
      <c r="A1351" s="20" t="s">
        <v>184</v>
      </c>
      <c r="B1351" s="21" t="s">
        <v>185</v>
      </c>
      <c r="C1351" s="22" t="s">
        <v>558</v>
      </c>
      <c r="D1351" s="23">
        <v>1</v>
      </c>
      <c r="E1351" s="24">
        <v>9000</v>
      </c>
      <c r="F1351" s="40">
        <f>ROUND(D1351*E1351,0)</f>
        <v>9000</v>
      </c>
      <c r="J1351" s="11"/>
    </row>
    <row r="1352" spans="1:10" s="61" customFormat="1" ht="16.5" thickBot="1" x14ac:dyDescent="0.3">
      <c r="A1352" s="26"/>
      <c r="B1352" s="27"/>
      <c r="C1352" s="28"/>
      <c r="D1352" s="27"/>
      <c r="E1352" s="29" t="s">
        <v>148</v>
      </c>
      <c r="F1352" s="30">
        <f>SUM(F1351:F1351)</f>
        <v>9000</v>
      </c>
      <c r="J1352" s="11"/>
    </row>
    <row r="1353" spans="1:10" s="61" customFormat="1" ht="16.5" thickBot="1" x14ac:dyDescent="0.3">
      <c r="A1353" s="171" t="s">
        <v>168</v>
      </c>
      <c r="B1353" s="172"/>
      <c r="C1353" s="172"/>
      <c r="D1353" s="173"/>
      <c r="E1353" s="158">
        <f>+F1343+F1346+F1349+F1352</f>
        <v>2958527.8</v>
      </c>
      <c r="F1353" s="159"/>
      <c r="J1353" s="11"/>
    </row>
    <row r="1354" spans="1:10" s="61" customFormat="1" ht="16.5" thickBot="1" x14ac:dyDescent="0.3">
      <c r="A1354"/>
      <c r="B1354"/>
      <c r="C1354"/>
      <c r="D1354"/>
      <c r="E1354"/>
      <c r="F1354"/>
      <c r="J1354" s="11"/>
    </row>
    <row r="1355" spans="1:10" s="61" customFormat="1" ht="16.5" thickBot="1" x14ac:dyDescent="0.3">
      <c r="A1355" s="146" t="s">
        <v>136</v>
      </c>
      <c r="B1355" s="147"/>
      <c r="C1355" s="147"/>
      <c r="D1355" s="147"/>
      <c r="E1355" s="147"/>
      <c r="F1355" s="148"/>
      <c r="J1355" s="11"/>
    </row>
    <row r="1356" spans="1:10" s="61" customFormat="1" ht="29.45" customHeight="1" x14ac:dyDescent="0.25">
      <c r="A1356" s="149" t="str">
        <f>+'RESUMEN APUS'!B80</f>
        <v>Suministro e instalación de mueble Inferior de 1.8m en lámina RH con entrepaños,  mínimo una línea con tres cajones y el restante con entrepaño 0,45m de fondo, riel de extención de 40 cm, manijas en aluminio, patas niveladoras.Incluye Mesón Poceta Izquierda o derecha en Acero Inoxidable Con 4 Fogones A Gas (griferia) y mueble superior para cocina en lámina RH. Todo lo necesario para su correcta instalación.</v>
      </c>
      <c r="B1356" s="150"/>
      <c r="C1356" s="150"/>
      <c r="D1356" s="151"/>
      <c r="E1356" s="12" t="s">
        <v>137</v>
      </c>
      <c r="F1356" s="13" t="s">
        <v>3</v>
      </c>
      <c r="J1356" s="11"/>
    </row>
    <row r="1357" spans="1:10" s="61" customFormat="1" ht="26.45" customHeight="1" thickBot="1" x14ac:dyDescent="0.3">
      <c r="A1357" s="152"/>
      <c r="B1357" s="153"/>
      <c r="C1357" s="153"/>
      <c r="D1357" s="154"/>
      <c r="E1357" s="91" t="str">
        <f>+'RESUMEN APUS'!A80</f>
        <v>10.24</v>
      </c>
      <c r="F1357" s="92" t="s">
        <v>566</v>
      </c>
      <c r="J1357" s="11"/>
    </row>
    <row r="1358" spans="1:10" s="61" customFormat="1" ht="16.5" thickBot="1" x14ac:dyDescent="0.3">
      <c r="A1358" s="26" t="s">
        <v>139</v>
      </c>
      <c r="B1358" s="66" t="s">
        <v>172</v>
      </c>
      <c r="C1358" s="67" t="s">
        <v>3</v>
      </c>
      <c r="D1358" s="67" t="s">
        <v>141</v>
      </c>
      <c r="E1358" s="67" t="s">
        <v>142</v>
      </c>
      <c r="F1358" s="102" t="s">
        <v>566</v>
      </c>
      <c r="J1358" s="11"/>
    </row>
    <row r="1359" spans="1:10" s="61" customFormat="1" ht="15.75" x14ac:dyDescent="0.25">
      <c r="A1359" s="93"/>
      <c r="B1359" s="94" t="s">
        <v>567</v>
      </c>
      <c r="C1359" s="95" t="s">
        <v>171</v>
      </c>
      <c r="D1359" s="95">
        <v>1</v>
      </c>
      <c r="E1359" s="96">
        <f>+E1298</f>
        <v>929166.5443200001</v>
      </c>
      <c r="F1359" s="97">
        <f>+E1359</f>
        <v>929166.5443200001</v>
      </c>
      <c r="J1359" s="11"/>
    </row>
    <row r="1360" spans="1:10" s="61" customFormat="1" ht="15.75" x14ac:dyDescent="0.25">
      <c r="A1360" s="98"/>
      <c r="B1360" s="21" t="s">
        <v>568</v>
      </c>
      <c r="C1360" s="99" t="s">
        <v>171</v>
      </c>
      <c r="D1360" s="99">
        <v>28</v>
      </c>
      <c r="E1360" s="24">
        <f>+E1339</f>
        <v>223.024</v>
      </c>
      <c r="F1360" s="100">
        <f>ROUND(D1360*E1360,0)</f>
        <v>6245</v>
      </c>
      <c r="J1360" s="11"/>
    </row>
    <row r="1361" spans="1:10" s="61" customFormat="1" ht="15.75" x14ac:dyDescent="0.25">
      <c r="A1361" s="98"/>
      <c r="B1361" s="21" t="s">
        <v>569</v>
      </c>
      <c r="C1361" s="99" t="s">
        <v>171</v>
      </c>
      <c r="D1361" s="99">
        <v>28</v>
      </c>
      <c r="E1361" s="24">
        <f>+E1340</f>
        <v>89.42</v>
      </c>
      <c r="F1361" s="100">
        <f t="shared" ref="F1361:F1363" si="19">ROUND(D1361*E1361,0)</f>
        <v>2504</v>
      </c>
      <c r="J1361" s="11"/>
    </row>
    <row r="1362" spans="1:10" s="61" customFormat="1" ht="15.75" x14ac:dyDescent="0.25">
      <c r="A1362" s="106"/>
      <c r="B1362" s="94" t="s">
        <v>574</v>
      </c>
      <c r="C1362" s="99" t="s">
        <v>171</v>
      </c>
      <c r="D1362" s="99">
        <v>1</v>
      </c>
      <c r="E1362" s="24">
        <v>796500</v>
      </c>
      <c r="F1362" s="100">
        <f t="shared" si="19"/>
        <v>796500</v>
      </c>
      <c r="J1362" s="11"/>
    </row>
    <row r="1363" spans="1:10" s="61" customFormat="1" ht="27.75" thickBot="1" x14ac:dyDescent="0.3">
      <c r="A1363" s="34"/>
      <c r="B1363" s="35" t="s">
        <v>571</v>
      </c>
      <c r="C1363" s="36" t="s">
        <v>171</v>
      </c>
      <c r="D1363" s="101">
        <v>1</v>
      </c>
      <c r="E1363" s="38">
        <f>+E1225</f>
        <v>1651124.0460508899</v>
      </c>
      <c r="F1363" s="100">
        <f t="shared" si="19"/>
        <v>1651124</v>
      </c>
      <c r="J1363" s="11"/>
    </row>
    <row r="1364" spans="1:10" s="61" customFormat="1" ht="16.5" thickBot="1" x14ac:dyDescent="0.3">
      <c r="A1364" s="26" t="s">
        <v>175</v>
      </c>
      <c r="B1364" s="27"/>
      <c r="C1364" s="28">
        <v>81.776297311014602</v>
      </c>
      <c r="D1364" s="27"/>
      <c r="E1364" s="29" t="s">
        <v>148</v>
      </c>
      <c r="F1364" s="30">
        <f>SUM(F1359:F1363)</f>
        <v>3385539.5443200003</v>
      </c>
      <c r="J1364" s="11"/>
    </row>
    <row r="1365" spans="1:10" s="61" customFormat="1" ht="15.75" x14ac:dyDescent="0.25">
      <c r="A1365" s="16" t="s">
        <v>139</v>
      </c>
      <c r="B1365" s="17" t="s">
        <v>140</v>
      </c>
      <c r="C1365" s="18" t="s">
        <v>3</v>
      </c>
      <c r="D1365" s="18" t="s">
        <v>141</v>
      </c>
      <c r="E1365" s="18" t="s">
        <v>142</v>
      </c>
      <c r="F1365" s="19" t="s">
        <v>143</v>
      </c>
      <c r="J1365" s="11"/>
    </row>
    <row r="1366" spans="1:10" s="61" customFormat="1" ht="16.5" thickBot="1" x14ac:dyDescent="0.3">
      <c r="A1366" s="20" t="s">
        <v>289</v>
      </c>
      <c r="B1366" s="21" t="s">
        <v>290</v>
      </c>
      <c r="C1366" s="22" t="s">
        <v>146</v>
      </c>
      <c r="D1366" s="23">
        <v>0.67</v>
      </c>
      <c r="E1366" s="24">
        <f>283800*$J$1</f>
        <v>320693.99999999994</v>
      </c>
      <c r="F1366" s="40">
        <f>ROUND(D1366*E1366,0)</f>
        <v>214865</v>
      </c>
      <c r="J1366" s="11"/>
    </row>
    <row r="1367" spans="1:10" s="61" customFormat="1" ht="16.5" thickBot="1" x14ac:dyDescent="0.3">
      <c r="A1367" s="26" t="s">
        <v>147</v>
      </c>
      <c r="B1367" s="27"/>
      <c r="C1367" s="28">
        <v>9.6753211556181906</v>
      </c>
      <c r="D1367" s="27"/>
      <c r="E1367" s="29" t="s">
        <v>148</v>
      </c>
      <c r="F1367" s="30">
        <f>SUM(F1366)</f>
        <v>214865</v>
      </c>
      <c r="J1367" s="11"/>
    </row>
    <row r="1368" spans="1:10" s="61" customFormat="1" ht="15.75" x14ac:dyDescent="0.25">
      <c r="A1368" s="16" t="s">
        <v>139</v>
      </c>
      <c r="B1368" s="17" t="s">
        <v>149</v>
      </c>
      <c r="C1368" s="18" t="s">
        <v>3</v>
      </c>
      <c r="D1368" s="18" t="s">
        <v>141</v>
      </c>
      <c r="E1368" s="18" t="s">
        <v>142</v>
      </c>
      <c r="F1368" s="19" t="s">
        <v>143</v>
      </c>
      <c r="J1368" s="11"/>
    </row>
    <row r="1369" spans="1:10" s="61" customFormat="1" ht="16.5" thickBot="1" x14ac:dyDescent="0.3">
      <c r="A1369" s="20" t="s">
        <v>150</v>
      </c>
      <c r="B1369" s="21" t="s">
        <v>151</v>
      </c>
      <c r="C1369" s="22" t="s">
        <v>152</v>
      </c>
      <c r="D1369" s="23">
        <v>0.05</v>
      </c>
      <c r="E1369" s="24">
        <f>F1367</f>
        <v>214865</v>
      </c>
      <c r="F1369" s="40">
        <f>ROUND(D1369*E1369,0)</f>
        <v>10743</v>
      </c>
      <c r="J1369" s="11"/>
    </row>
    <row r="1370" spans="1:10" s="61" customFormat="1" ht="16.5" thickBot="1" x14ac:dyDescent="0.3">
      <c r="A1370" s="26" t="s">
        <v>153</v>
      </c>
      <c r="B1370" s="27"/>
      <c r="C1370" s="28">
        <v>0.48388924750787199</v>
      </c>
      <c r="D1370" s="27"/>
      <c r="E1370" s="29" t="s">
        <v>148</v>
      </c>
      <c r="F1370" s="30">
        <f>SUM(F1369)</f>
        <v>10743</v>
      </c>
      <c r="J1370" s="11"/>
    </row>
    <row r="1371" spans="1:10" s="61" customFormat="1" ht="15.75" x14ac:dyDescent="0.25">
      <c r="A1371" s="16" t="s">
        <v>139</v>
      </c>
      <c r="B1371" s="17" t="s">
        <v>161</v>
      </c>
      <c r="C1371" s="18" t="s">
        <v>3</v>
      </c>
      <c r="D1371" s="18" t="s">
        <v>141</v>
      </c>
      <c r="E1371" s="18" t="s">
        <v>142</v>
      </c>
      <c r="F1371" s="19" t="s">
        <v>143</v>
      </c>
      <c r="J1371" s="11"/>
    </row>
    <row r="1372" spans="1:10" s="61" customFormat="1" ht="16.5" thickBot="1" x14ac:dyDescent="0.3">
      <c r="A1372" s="20" t="s">
        <v>184</v>
      </c>
      <c r="B1372" s="21" t="s">
        <v>185</v>
      </c>
      <c r="C1372" s="22" t="s">
        <v>558</v>
      </c>
      <c r="D1372" s="23">
        <v>1</v>
      </c>
      <c r="E1372" s="24">
        <v>9000</v>
      </c>
      <c r="F1372" s="40">
        <f>ROUND(D1372*E1372,0)</f>
        <v>9000</v>
      </c>
      <c r="J1372" s="11"/>
    </row>
    <row r="1373" spans="1:10" s="61" customFormat="1" ht="16.5" thickBot="1" x14ac:dyDescent="0.3">
      <c r="A1373" s="26"/>
      <c r="B1373" s="27"/>
      <c r="C1373" s="28"/>
      <c r="D1373" s="27"/>
      <c r="E1373" s="29" t="s">
        <v>148</v>
      </c>
      <c r="F1373" s="30">
        <f>SUM(F1372:F1372)</f>
        <v>9000</v>
      </c>
      <c r="J1373" s="11"/>
    </row>
    <row r="1374" spans="1:10" s="61" customFormat="1" ht="16.5" thickBot="1" x14ac:dyDescent="0.3">
      <c r="A1374" s="171" t="s">
        <v>168</v>
      </c>
      <c r="B1374" s="172"/>
      <c r="C1374" s="172"/>
      <c r="D1374" s="173"/>
      <c r="E1374" s="158">
        <f>+F1364+F1367+F1370+F1373</f>
        <v>3620147.5443200003</v>
      </c>
      <c r="F1374" s="159"/>
      <c r="J1374" s="11"/>
    </row>
    <row r="1375" spans="1:10" s="61" customFormat="1" ht="16.5" thickBot="1" x14ac:dyDescent="0.3">
      <c r="A1375"/>
      <c r="B1375"/>
      <c r="C1375"/>
      <c r="D1375"/>
      <c r="E1375"/>
      <c r="F1375"/>
      <c r="J1375" s="11"/>
    </row>
    <row r="1376" spans="1:10" s="61" customFormat="1" ht="16.5" thickBot="1" x14ac:dyDescent="0.3">
      <c r="A1376" s="146" t="s">
        <v>136</v>
      </c>
      <c r="B1376" s="147"/>
      <c r="C1376" s="147"/>
      <c r="D1376" s="147"/>
      <c r="E1376" s="147"/>
      <c r="F1376" s="148"/>
      <c r="J1376" s="11"/>
    </row>
    <row r="1377" spans="1:10" s="61" customFormat="1" ht="27.95" customHeight="1" x14ac:dyDescent="0.25">
      <c r="A1377" s="149" t="str">
        <f>+'RESUMEN APUS'!B81</f>
        <v>Suministro e instalación de mueble Inferior de  2.10m en lámina RH con entrepaños,  mínimo una línea con tres cajones y el restante con entrepaño 0,45m de fondo, riel de extención de 40 cm, manijas en aluminio, patas niveladoras.Incluye Mesón Poceta Izquierda o derecha en Acero Inoxidable Con 4 Fogones A Gas (griferia) y mueble superior para cocina en lámina RH. Todo lo necesario para su correcta instalación.</v>
      </c>
      <c r="B1377" s="150"/>
      <c r="C1377" s="150"/>
      <c r="D1377" s="151"/>
      <c r="E1377" s="12" t="s">
        <v>137</v>
      </c>
      <c r="F1377" s="13" t="s">
        <v>3</v>
      </c>
      <c r="J1377" s="11"/>
    </row>
    <row r="1378" spans="1:10" s="61" customFormat="1" ht="24.95" customHeight="1" thickBot="1" x14ac:dyDescent="0.3">
      <c r="A1378" s="152"/>
      <c r="B1378" s="153"/>
      <c r="C1378" s="153"/>
      <c r="D1378" s="154"/>
      <c r="E1378" s="91" t="str">
        <f>+'RESUMEN APUS'!A81</f>
        <v>10.25</v>
      </c>
      <c r="F1378" s="92" t="s">
        <v>566</v>
      </c>
      <c r="J1378" s="11"/>
    </row>
    <row r="1379" spans="1:10" s="61" customFormat="1" ht="16.5" thickBot="1" x14ac:dyDescent="0.3">
      <c r="A1379" s="26" t="s">
        <v>139</v>
      </c>
      <c r="B1379" s="66" t="s">
        <v>172</v>
      </c>
      <c r="C1379" s="67" t="s">
        <v>3</v>
      </c>
      <c r="D1379" s="67" t="s">
        <v>141</v>
      </c>
      <c r="E1379" s="67" t="s">
        <v>142</v>
      </c>
      <c r="F1379" s="68" t="s">
        <v>143</v>
      </c>
      <c r="J1379" s="11"/>
    </row>
    <row r="1380" spans="1:10" s="61" customFormat="1" ht="15.75" x14ac:dyDescent="0.25">
      <c r="A1380" s="93"/>
      <c r="B1380" s="94" t="s">
        <v>572</v>
      </c>
      <c r="C1380" s="95" t="s">
        <v>171</v>
      </c>
      <c r="D1380" s="95">
        <v>1</v>
      </c>
      <c r="E1380" s="96">
        <f>+E1318</f>
        <v>1171730.2240000002</v>
      </c>
      <c r="F1380" s="97">
        <f>+E1380</f>
        <v>1171730.2240000002</v>
      </c>
      <c r="J1380" s="11"/>
    </row>
    <row r="1381" spans="1:10" s="61" customFormat="1" ht="15.75" x14ac:dyDescent="0.25">
      <c r="A1381" s="98"/>
      <c r="B1381" s="21" t="s">
        <v>568</v>
      </c>
      <c r="C1381" s="99" t="s">
        <v>171</v>
      </c>
      <c r="D1381" s="99">
        <v>28</v>
      </c>
      <c r="E1381" s="24">
        <f>+E1360</f>
        <v>223.024</v>
      </c>
      <c r="F1381" s="100">
        <f t="shared" ref="F1381:F1384" si="20">ROUND(D1381*E1381,0)</f>
        <v>6245</v>
      </c>
      <c r="J1381" s="11"/>
    </row>
    <row r="1382" spans="1:10" s="61" customFormat="1" ht="15.75" x14ac:dyDescent="0.25">
      <c r="A1382" s="98"/>
      <c r="B1382" s="21" t="s">
        <v>569</v>
      </c>
      <c r="C1382" s="99" t="s">
        <v>171</v>
      </c>
      <c r="D1382" s="99">
        <v>28</v>
      </c>
      <c r="E1382" s="24">
        <f>+E1361</f>
        <v>89.42</v>
      </c>
      <c r="F1382" s="100">
        <f t="shared" si="20"/>
        <v>2504</v>
      </c>
      <c r="J1382" s="11"/>
    </row>
    <row r="1383" spans="1:10" s="61" customFormat="1" ht="15.75" x14ac:dyDescent="0.25">
      <c r="A1383" s="106"/>
      <c r="B1383" s="94" t="s">
        <v>574</v>
      </c>
      <c r="C1383" s="99" t="s">
        <v>171</v>
      </c>
      <c r="D1383" s="99">
        <v>1</v>
      </c>
      <c r="E1383" s="24">
        <v>896700</v>
      </c>
      <c r="F1383" s="100">
        <f t="shared" si="20"/>
        <v>896700</v>
      </c>
      <c r="J1383" s="11"/>
    </row>
    <row r="1384" spans="1:10" s="61" customFormat="1" ht="27.75" thickBot="1" x14ac:dyDescent="0.3">
      <c r="A1384" s="34"/>
      <c r="B1384" s="35" t="s">
        <v>573</v>
      </c>
      <c r="C1384" s="36" t="s">
        <v>171</v>
      </c>
      <c r="D1384" s="101">
        <v>1</v>
      </c>
      <c r="E1384" s="38">
        <f>+E1272</f>
        <v>1804865.6092469448</v>
      </c>
      <c r="F1384" s="100">
        <f t="shared" si="20"/>
        <v>1804866</v>
      </c>
      <c r="J1384" s="11"/>
    </row>
    <row r="1385" spans="1:10" s="61" customFormat="1" ht="16.5" thickBot="1" x14ac:dyDescent="0.3">
      <c r="A1385" s="26" t="s">
        <v>175</v>
      </c>
      <c r="B1385" s="27"/>
      <c r="C1385" s="28">
        <v>81.776297311014602</v>
      </c>
      <c r="D1385" s="27"/>
      <c r="E1385" s="29" t="s">
        <v>148</v>
      </c>
      <c r="F1385" s="30">
        <f>SUM(F1380:F1384)</f>
        <v>3882045.2240000004</v>
      </c>
      <c r="J1385" s="11"/>
    </row>
    <row r="1386" spans="1:10" s="61" customFormat="1" ht="15.75" x14ac:dyDescent="0.25">
      <c r="A1386" s="16" t="s">
        <v>139</v>
      </c>
      <c r="B1386" s="17" t="s">
        <v>140</v>
      </c>
      <c r="C1386" s="18" t="s">
        <v>3</v>
      </c>
      <c r="D1386" s="18" t="s">
        <v>141</v>
      </c>
      <c r="E1386" s="18" t="s">
        <v>142</v>
      </c>
      <c r="F1386" s="19" t="s">
        <v>143</v>
      </c>
      <c r="J1386" s="11"/>
    </row>
    <row r="1387" spans="1:10" s="61" customFormat="1" ht="16.5" thickBot="1" x14ac:dyDescent="0.3">
      <c r="A1387" s="20" t="s">
        <v>289</v>
      </c>
      <c r="B1387" s="21" t="s">
        <v>290</v>
      </c>
      <c r="C1387" s="22" t="s">
        <v>146</v>
      </c>
      <c r="D1387" s="103">
        <v>0.67</v>
      </c>
      <c r="E1387" s="24">
        <f>283800*$J$1</f>
        <v>320693.99999999994</v>
      </c>
      <c r="F1387" s="100">
        <f>ROUND(D1387*E1387,0)</f>
        <v>214865</v>
      </c>
      <c r="J1387" s="11"/>
    </row>
    <row r="1388" spans="1:10" s="61" customFormat="1" ht="16.5" thickBot="1" x14ac:dyDescent="0.3">
      <c r="A1388" s="26" t="s">
        <v>147</v>
      </c>
      <c r="B1388" s="27"/>
      <c r="C1388" s="28">
        <v>9.6753211556181906</v>
      </c>
      <c r="D1388" s="27"/>
      <c r="E1388" s="29" t="s">
        <v>148</v>
      </c>
      <c r="F1388" s="30">
        <f>SUM(F1387)</f>
        <v>214865</v>
      </c>
      <c r="J1388" s="11"/>
    </row>
    <row r="1389" spans="1:10" s="61" customFormat="1" ht="15.75" x14ac:dyDescent="0.25">
      <c r="A1389" s="16" t="s">
        <v>139</v>
      </c>
      <c r="B1389" s="17" t="s">
        <v>149</v>
      </c>
      <c r="C1389" s="18" t="s">
        <v>3</v>
      </c>
      <c r="D1389" s="18" t="s">
        <v>141</v>
      </c>
      <c r="E1389" s="18" t="s">
        <v>142</v>
      </c>
      <c r="F1389" s="19" t="s">
        <v>143</v>
      </c>
      <c r="J1389" s="11"/>
    </row>
    <row r="1390" spans="1:10" s="61" customFormat="1" ht="16.5" thickBot="1" x14ac:dyDescent="0.3">
      <c r="A1390" s="20" t="s">
        <v>150</v>
      </c>
      <c r="B1390" s="21" t="s">
        <v>151</v>
      </c>
      <c r="C1390" s="22" t="s">
        <v>152</v>
      </c>
      <c r="D1390" s="104">
        <v>0.05</v>
      </c>
      <c r="E1390" s="24">
        <f>F1388</f>
        <v>214865</v>
      </c>
      <c r="F1390" s="40">
        <f>ROUND(D1390*E1390,0)</f>
        <v>10743</v>
      </c>
      <c r="J1390" s="11"/>
    </row>
    <row r="1391" spans="1:10" s="61" customFormat="1" ht="16.5" thickBot="1" x14ac:dyDescent="0.3">
      <c r="A1391" s="26" t="s">
        <v>153</v>
      </c>
      <c r="B1391" s="27"/>
      <c r="C1391" s="28">
        <v>0.48388924750787199</v>
      </c>
      <c r="D1391" s="27"/>
      <c r="E1391" s="29" t="s">
        <v>148</v>
      </c>
      <c r="F1391" s="30">
        <f>SUM(F1390)</f>
        <v>10743</v>
      </c>
      <c r="J1391" s="11"/>
    </row>
    <row r="1392" spans="1:10" s="61" customFormat="1" ht="15.75" x14ac:dyDescent="0.25">
      <c r="A1392" s="16" t="s">
        <v>139</v>
      </c>
      <c r="B1392" s="17" t="s">
        <v>161</v>
      </c>
      <c r="C1392" s="18" t="s">
        <v>3</v>
      </c>
      <c r="D1392" s="18" t="s">
        <v>141</v>
      </c>
      <c r="E1392" s="18" t="s">
        <v>142</v>
      </c>
      <c r="F1392" s="19" t="s">
        <v>143</v>
      </c>
      <c r="J1392" s="11"/>
    </row>
    <row r="1393" spans="1:10" s="61" customFormat="1" ht="16.5" thickBot="1" x14ac:dyDescent="0.3">
      <c r="A1393" s="20" t="s">
        <v>184</v>
      </c>
      <c r="B1393" s="21" t="s">
        <v>185</v>
      </c>
      <c r="C1393" s="22" t="s">
        <v>558</v>
      </c>
      <c r="D1393" s="107">
        <v>1</v>
      </c>
      <c r="E1393" s="24">
        <v>9000</v>
      </c>
      <c r="F1393" s="40">
        <f>ROUND(D1393*E1393,0)</f>
        <v>9000</v>
      </c>
      <c r="J1393" s="11"/>
    </row>
    <row r="1394" spans="1:10" s="61" customFormat="1" ht="16.5" thickBot="1" x14ac:dyDescent="0.3">
      <c r="A1394" s="26"/>
      <c r="B1394" s="27"/>
      <c r="C1394" s="28"/>
      <c r="D1394" s="27"/>
      <c r="E1394" s="29" t="s">
        <v>148</v>
      </c>
      <c r="F1394" s="30">
        <f>SUM(F1393:F1393)</f>
        <v>9000</v>
      </c>
      <c r="J1394" s="11"/>
    </row>
    <row r="1395" spans="1:10" s="61" customFormat="1" ht="16.5" thickBot="1" x14ac:dyDescent="0.3">
      <c r="A1395" s="171" t="s">
        <v>168</v>
      </c>
      <c r="B1395" s="172"/>
      <c r="C1395" s="172"/>
      <c r="D1395" s="173"/>
      <c r="E1395" s="158">
        <f>+F1385+F1388+F1391+F1394</f>
        <v>4116653.2240000004</v>
      </c>
      <c r="F1395" s="159"/>
      <c r="J1395" s="11"/>
    </row>
    <row r="1396" spans="1:10" s="61" customFormat="1" ht="16.5" thickBot="1" x14ac:dyDescent="0.3">
      <c r="J1396" s="11"/>
    </row>
    <row r="1397" spans="1:10" s="61" customFormat="1" ht="16.5" thickBot="1" x14ac:dyDescent="0.3">
      <c r="A1397" s="146" t="s">
        <v>136</v>
      </c>
      <c r="B1397" s="147"/>
      <c r="C1397" s="147"/>
      <c r="D1397" s="147"/>
      <c r="E1397" s="147"/>
      <c r="F1397" s="148"/>
      <c r="J1397" s="11"/>
    </row>
    <row r="1398" spans="1:10" s="61" customFormat="1" ht="20.45" customHeight="1" x14ac:dyDescent="0.25">
      <c r="A1398" s="149" t="str">
        <f>+'RESUMEN APUS'!B82</f>
        <v>Suministro, transporte e instalación de mueble modular vertical de cocina, en lámina RH (0,30m de fondo), tornillo de ensamble para madera de 6x2", chazo plástico para drywall. incluye puertas, divisorios, entrepaños y accesorios  y todos los materiales necesarios para su correcta ejecución.</v>
      </c>
      <c r="B1398" s="150"/>
      <c r="C1398" s="150"/>
      <c r="D1398" s="151"/>
      <c r="E1398" s="12" t="s">
        <v>137</v>
      </c>
      <c r="F1398" s="13" t="s">
        <v>3</v>
      </c>
      <c r="J1398" s="11"/>
    </row>
    <row r="1399" spans="1:10" s="61" customFormat="1" ht="21.95" customHeight="1" thickBot="1" x14ac:dyDescent="0.3">
      <c r="A1399" s="152"/>
      <c r="B1399" s="153"/>
      <c r="C1399" s="153"/>
      <c r="D1399" s="154"/>
      <c r="E1399" s="14" t="str">
        <f>+'RESUMEN APUS'!A82</f>
        <v>10.26</v>
      </c>
      <c r="F1399" s="92" t="s">
        <v>566</v>
      </c>
      <c r="J1399" s="11"/>
    </row>
    <row r="1400" spans="1:10" s="61" customFormat="1" ht="16.5" thickBot="1" x14ac:dyDescent="0.3">
      <c r="A1400" s="26" t="s">
        <v>139</v>
      </c>
      <c r="B1400" s="66" t="s">
        <v>172</v>
      </c>
      <c r="C1400" s="67" t="s">
        <v>3</v>
      </c>
      <c r="D1400" s="67" t="s">
        <v>141</v>
      </c>
      <c r="E1400" s="67" t="s">
        <v>142</v>
      </c>
      <c r="F1400" s="68" t="s">
        <v>143</v>
      </c>
      <c r="J1400" s="11"/>
    </row>
    <row r="1401" spans="1:10" s="61" customFormat="1" ht="15.75" x14ac:dyDescent="0.25">
      <c r="A1401" s="98" t="s">
        <v>575</v>
      </c>
      <c r="B1401" s="105" t="s">
        <v>616</v>
      </c>
      <c r="C1401" s="22" t="s">
        <v>171</v>
      </c>
      <c r="D1401" s="107">
        <v>1</v>
      </c>
      <c r="E1401" s="24">
        <f>555000*1.052</f>
        <v>583860</v>
      </c>
      <c r="F1401" s="108">
        <f>ROUND(D1401*E1401,0)</f>
        <v>583860</v>
      </c>
      <c r="J1401" s="11"/>
    </row>
    <row r="1402" spans="1:10" s="61" customFormat="1" ht="15.75" x14ac:dyDescent="0.25">
      <c r="A1402" s="20" t="s">
        <v>389</v>
      </c>
      <c r="B1402" s="21" t="s">
        <v>390</v>
      </c>
      <c r="C1402" s="22" t="s">
        <v>171</v>
      </c>
      <c r="D1402" s="107">
        <v>8</v>
      </c>
      <c r="E1402" s="24">
        <f>162*1.052</f>
        <v>170.42400000000001</v>
      </c>
      <c r="F1402" s="108">
        <f>ROUND(D1402*E1402,0)</f>
        <v>1363</v>
      </c>
      <c r="J1402" s="11"/>
    </row>
    <row r="1403" spans="1:10" s="61" customFormat="1" ht="16.5" thickBot="1" x14ac:dyDescent="0.3">
      <c r="A1403" s="20" t="s">
        <v>405</v>
      </c>
      <c r="B1403" s="21" t="s">
        <v>406</v>
      </c>
      <c r="C1403" s="22" t="s">
        <v>171</v>
      </c>
      <c r="D1403" s="107">
        <v>8</v>
      </c>
      <c r="E1403" s="24">
        <f>77*1.052</f>
        <v>81.004000000000005</v>
      </c>
      <c r="F1403" s="108">
        <f>ROUND(D1403*E1403,0)</f>
        <v>648</v>
      </c>
      <c r="J1403" s="11"/>
    </row>
    <row r="1404" spans="1:10" s="61" customFormat="1" ht="16.5" thickBot="1" x14ac:dyDescent="0.3">
      <c r="A1404" s="26" t="s">
        <v>175</v>
      </c>
      <c r="B1404" s="27"/>
      <c r="C1404" s="28"/>
      <c r="D1404" s="113"/>
      <c r="E1404" s="29" t="s">
        <v>148</v>
      </c>
      <c r="F1404" s="30">
        <f>SUM(F1401:F1403)</f>
        <v>585871</v>
      </c>
      <c r="J1404" s="11"/>
    </row>
    <row r="1405" spans="1:10" s="61" customFormat="1" ht="15.75" x14ac:dyDescent="0.25">
      <c r="A1405" s="16" t="s">
        <v>139</v>
      </c>
      <c r="B1405" s="17" t="s">
        <v>140</v>
      </c>
      <c r="C1405" s="18" t="s">
        <v>3</v>
      </c>
      <c r="D1405" s="114" t="s">
        <v>141</v>
      </c>
      <c r="E1405" s="18" t="s">
        <v>142</v>
      </c>
      <c r="F1405" s="19" t="s">
        <v>143</v>
      </c>
      <c r="J1405" s="11"/>
    </row>
    <row r="1406" spans="1:10" s="61" customFormat="1" ht="16.5" thickBot="1" x14ac:dyDescent="0.3">
      <c r="A1406" s="20" t="s">
        <v>289</v>
      </c>
      <c r="B1406" s="21" t="s">
        <v>290</v>
      </c>
      <c r="C1406" s="22" t="s">
        <v>146</v>
      </c>
      <c r="D1406" s="107">
        <v>1</v>
      </c>
      <c r="E1406" s="24">
        <f>283800*$J$1</f>
        <v>320693.99999999994</v>
      </c>
      <c r="F1406" s="108">
        <f>ROUND(D1406*E1406,0)</f>
        <v>320694</v>
      </c>
      <c r="J1406" s="11"/>
    </row>
    <row r="1407" spans="1:10" s="61" customFormat="1" ht="16.5" thickBot="1" x14ac:dyDescent="0.3">
      <c r="A1407" s="26" t="s">
        <v>147</v>
      </c>
      <c r="B1407" s="27"/>
      <c r="C1407" s="28"/>
      <c r="D1407" s="113"/>
      <c r="E1407" s="29" t="s">
        <v>148</v>
      </c>
      <c r="F1407" s="30">
        <f>SUM(F1406)</f>
        <v>320694</v>
      </c>
      <c r="J1407" s="11"/>
    </row>
    <row r="1408" spans="1:10" s="61" customFormat="1" ht="15.75" x14ac:dyDescent="0.25">
      <c r="A1408" s="16" t="s">
        <v>139</v>
      </c>
      <c r="B1408" s="17" t="s">
        <v>149</v>
      </c>
      <c r="C1408" s="18" t="s">
        <v>3</v>
      </c>
      <c r="D1408" s="114" t="s">
        <v>141</v>
      </c>
      <c r="E1408" s="18" t="s">
        <v>142</v>
      </c>
      <c r="F1408" s="19" t="s">
        <v>143</v>
      </c>
      <c r="J1408" s="11"/>
    </row>
    <row r="1409" spans="1:10" s="61" customFormat="1" ht="16.5" thickBot="1" x14ac:dyDescent="0.3">
      <c r="A1409" s="20" t="s">
        <v>150</v>
      </c>
      <c r="B1409" s="21" t="s">
        <v>151</v>
      </c>
      <c r="C1409" s="22" t="s">
        <v>152</v>
      </c>
      <c r="D1409" s="107">
        <v>0.05</v>
      </c>
      <c r="E1409" s="24">
        <f>F1407</f>
        <v>320694</v>
      </c>
      <c r="F1409" s="108">
        <f>ROUND(D1409*E1409,0)</f>
        <v>16035</v>
      </c>
      <c r="J1409" s="11"/>
    </row>
    <row r="1410" spans="1:10" s="61" customFormat="1" ht="16.5" thickBot="1" x14ac:dyDescent="0.3">
      <c r="A1410" s="26" t="s">
        <v>153</v>
      </c>
      <c r="B1410" s="27"/>
      <c r="C1410" s="28"/>
      <c r="D1410" s="113"/>
      <c r="E1410" s="29" t="s">
        <v>148</v>
      </c>
      <c r="F1410" s="30">
        <f>SUM(F1409)</f>
        <v>16035</v>
      </c>
      <c r="J1410" s="11"/>
    </row>
    <row r="1411" spans="1:10" s="61" customFormat="1" ht="15.75" x14ac:dyDescent="0.25">
      <c r="A1411" s="16" t="s">
        <v>139</v>
      </c>
      <c r="B1411" s="17" t="s">
        <v>161</v>
      </c>
      <c r="C1411" s="18" t="s">
        <v>3</v>
      </c>
      <c r="D1411" s="114" t="s">
        <v>141</v>
      </c>
      <c r="E1411" s="18" t="s">
        <v>142</v>
      </c>
      <c r="F1411" s="19" t="s">
        <v>143</v>
      </c>
      <c r="J1411" s="11"/>
    </row>
    <row r="1412" spans="1:10" s="61" customFormat="1" ht="16.5" thickBot="1" x14ac:dyDescent="0.3">
      <c r="A1412" s="20" t="s">
        <v>184</v>
      </c>
      <c r="B1412" s="21" t="s">
        <v>185</v>
      </c>
      <c r="C1412" s="22" t="s">
        <v>171</v>
      </c>
      <c r="D1412" s="107">
        <v>2</v>
      </c>
      <c r="E1412" s="24">
        <f>+E1393</f>
        <v>9000</v>
      </c>
      <c r="F1412" s="108">
        <f>ROUND(D1412*E1412,0)</f>
        <v>18000</v>
      </c>
      <c r="J1412" s="11"/>
    </row>
    <row r="1413" spans="1:10" s="61" customFormat="1" ht="16.5" thickBot="1" x14ac:dyDescent="0.3">
      <c r="A1413" s="26"/>
      <c r="B1413" s="27"/>
      <c r="C1413" s="28"/>
      <c r="D1413" s="27"/>
      <c r="E1413" s="29" t="s">
        <v>148</v>
      </c>
      <c r="F1413" s="30">
        <f>SUM(F1412:F1412)</f>
        <v>18000</v>
      </c>
      <c r="J1413" s="11"/>
    </row>
    <row r="1414" spans="1:10" s="61" customFormat="1" ht="16.5" thickBot="1" x14ac:dyDescent="0.3">
      <c r="A1414" s="155" t="s">
        <v>168</v>
      </c>
      <c r="B1414" s="156"/>
      <c r="C1414" s="156"/>
      <c r="D1414" s="157"/>
      <c r="E1414" s="158">
        <f>+F1404+F1407+F1410+F1413</f>
        <v>940600</v>
      </c>
      <c r="F1414" s="159"/>
      <c r="J1414" s="11"/>
    </row>
    <row r="1415" spans="1:10" x14ac:dyDescent="0.25">
      <c r="A1415" s="31"/>
      <c r="F1415" s="32"/>
    </row>
    <row r="1416" spans="1:10" x14ac:dyDescent="0.25">
      <c r="A1416" s="31"/>
      <c r="F1416" s="32"/>
    </row>
    <row r="1417" spans="1:10" ht="15.75" x14ac:dyDescent="0.25">
      <c r="A1417" s="184" t="s">
        <v>136</v>
      </c>
      <c r="B1417" s="185"/>
      <c r="C1417" s="185"/>
      <c r="D1417" s="185"/>
      <c r="E1417" s="185"/>
      <c r="F1417" s="186"/>
    </row>
    <row r="1418" spans="1:10" x14ac:dyDescent="0.25">
      <c r="A1418" s="174" t="str">
        <f>+'RESUMEN APUS'!B84</f>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B1418" s="175"/>
      <c r="C1418" s="175"/>
      <c r="D1418" s="176"/>
      <c r="E1418" s="12" t="s">
        <v>137</v>
      </c>
      <c r="F1418" s="13" t="s">
        <v>3</v>
      </c>
    </row>
    <row r="1419" spans="1:10" x14ac:dyDescent="0.25">
      <c r="A1419" s="177"/>
      <c r="B1419" s="178"/>
      <c r="C1419" s="178"/>
      <c r="D1419" s="179"/>
      <c r="E1419" s="14" t="s">
        <v>100</v>
      </c>
      <c r="F1419" s="15" t="s">
        <v>171</v>
      </c>
    </row>
    <row r="1420" spans="1:10" x14ac:dyDescent="0.25">
      <c r="A1420" s="16" t="s">
        <v>139</v>
      </c>
      <c r="B1420" s="17" t="s">
        <v>172</v>
      </c>
      <c r="C1420" s="18" t="s">
        <v>3</v>
      </c>
      <c r="D1420" s="18" t="s">
        <v>141</v>
      </c>
      <c r="E1420" s="18" t="s">
        <v>142</v>
      </c>
      <c r="F1420" s="19" t="s">
        <v>143</v>
      </c>
    </row>
    <row r="1421" spans="1:10" x14ac:dyDescent="0.25">
      <c r="A1421" s="20" t="s">
        <v>413</v>
      </c>
      <c r="B1421" s="21" t="s">
        <v>414</v>
      </c>
      <c r="C1421" s="22" t="s">
        <v>86</v>
      </c>
      <c r="D1421" s="23">
        <v>2</v>
      </c>
      <c r="E1421" s="24">
        <f>5569.09288972127*1.052</f>
        <v>5858.6857199867763</v>
      </c>
      <c r="F1421" s="25">
        <f t="shared" ref="F1421:F1429" si="21">ROUND(D1421*E1421,0)</f>
        <v>11717</v>
      </c>
    </row>
    <row r="1422" spans="1:10" x14ac:dyDescent="0.25">
      <c r="A1422" s="20" t="s">
        <v>415</v>
      </c>
      <c r="B1422" s="21" t="s">
        <v>416</v>
      </c>
      <c r="C1422" s="22" t="s">
        <v>171</v>
      </c>
      <c r="D1422" s="23">
        <v>2</v>
      </c>
      <c r="E1422" s="24">
        <f>702.364*1.052</f>
        <v>738.88692800000001</v>
      </c>
      <c r="F1422" s="25">
        <f t="shared" si="21"/>
        <v>1478</v>
      </c>
    </row>
    <row r="1423" spans="1:10" x14ac:dyDescent="0.25">
      <c r="A1423" s="20" t="s">
        <v>417</v>
      </c>
      <c r="B1423" s="21" t="s">
        <v>418</v>
      </c>
      <c r="C1423" s="22" t="s">
        <v>171</v>
      </c>
      <c r="D1423" s="23">
        <v>1</v>
      </c>
      <c r="E1423" s="24">
        <f>835.356*1.052</f>
        <v>878.79451200000005</v>
      </c>
      <c r="F1423" s="25">
        <f t="shared" si="21"/>
        <v>879</v>
      </c>
    </row>
    <row r="1424" spans="1:10" x14ac:dyDescent="0.25">
      <c r="A1424" s="20" t="s">
        <v>419</v>
      </c>
      <c r="B1424" s="21" t="s">
        <v>420</v>
      </c>
      <c r="C1424" s="22" t="s">
        <v>171</v>
      </c>
      <c r="D1424" s="23">
        <v>1</v>
      </c>
      <c r="E1424" s="24">
        <f>453.004*1.052</f>
        <v>476.56020800000005</v>
      </c>
      <c r="F1424" s="25">
        <f t="shared" si="21"/>
        <v>477</v>
      </c>
    </row>
    <row r="1425" spans="1:6" x14ac:dyDescent="0.25">
      <c r="A1425" s="20" t="s">
        <v>421</v>
      </c>
      <c r="B1425" s="21" t="s">
        <v>422</v>
      </c>
      <c r="C1425" s="22" t="s">
        <v>171</v>
      </c>
      <c r="D1425" s="23">
        <v>1</v>
      </c>
      <c r="E1425" s="24">
        <f>550.67*1.052</f>
        <v>579.30484000000001</v>
      </c>
      <c r="F1425" s="25">
        <f t="shared" si="21"/>
        <v>579</v>
      </c>
    </row>
    <row r="1426" spans="1:6" x14ac:dyDescent="0.25">
      <c r="A1426" s="20" t="s">
        <v>423</v>
      </c>
      <c r="B1426" s="21" t="s">
        <v>424</v>
      </c>
      <c r="C1426" s="22" t="s">
        <v>171</v>
      </c>
      <c r="D1426" s="23">
        <v>1</v>
      </c>
      <c r="E1426" s="24">
        <f>475.862*1.052</f>
        <v>500.60682400000007</v>
      </c>
      <c r="F1426" s="25">
        <f t="shared" si="21"/>
        <v>501</v>
      </c>
    </row>
    <row r="1427" spans="1:6" x14ac:dyDescent="0.25">
      <c r="A1427" s="20" t="s">
        <v>425</v>
      </c>
      <c r="B1427" s="21" t="s">
        <v>426</v>
      </c>
      <c r="C1427" s="22" t="s">
        <v>171</v>
      </c>
      <c r="D1427" s="23">
        <v>1</v>
      </c>
      <c r="E1427" s="24">
        <f>539.241*1.052</f>
        <v>567.28153199999997</v>
      </c>
      <c r="F1427" s="25">
        <f t="shared" si="21"/>
        <v>567</v>
      </c>
    </row>
    <row r="1428" spans="1:6" x14ac:dyDescent="0.25">
      <c r="A1428" s="20" t="s">
        <v>384</v>
      </c>
      <c r="B1428" s="21" t="s">
        <v>385</v>
      </c>
      <c r="C1428" s="22" t="s">
        <v>171</v>
      </c>
      <c r="D1428" s="23">
        <v>6.4599999999999996E-3</v>
      </c>
      <c r="E1428" s="24">
        <f>109682.035*1.052</f>
        <v>115385.50082000002</v>
      </c>
      <c r="F1428" s="25">
        <f t="shared" si="21"/>
        <v>745</v>
      </c>
    </row>
    <row r="1429" spans="1:6" ht="14.25" thickBot="1" x14ac:dyDescent="0.3">
      <c r="A1429" s="20" t="s">
        <v>382</v>
      </c>
      <c r="B1429" s="21" t="s">
        <v>383</v>
      </c>
      <c r="C1429" s="22" t="s">
        <v>171</v>
      </c>
      <c r="D1429" s="23">
        <v>1.9959999999999999E-2</v>
      </c>
      <c r="E1429" s="24">
        <f>52885.1*1.052</f>
        <v>55635.125200000002</v>
      </c>
      <c r="F1429" s="25">
        <f t="shared" si="21"/>
        <v>1110</v>
      </c>
    </row>
    <row r="1430" spans="1:6" ht="14.25" thickBot="1" x14ac:dyDescent="0.3">
      <c r="A1430" s="26" t="s">
        <v>175</v>
      </c>
      <c r="B1430" s="27"/>
      <c r="C1430" s="28">
        <v>36.971181708023799</v>
      </c>
      <c r="D1430" s="27"/>
      <c r="E1430" s="29" t="s">
        <v>148</v>
      </c>
      <c r="F1430" s="30">
        <f>SUM(F1421:F1429)</f>
        <v>18053</v>
      </c>
    </row>
    <row r="1431" spans="1:6" x14ac:dyDescent="0.25">
      <c r="A1431" s="16" t="s">
        <v>139</v>
      </c>
      <c r="B1431" s="17" t="s">
        <v>140</v>
      </c>
      <c r="C1431" s="18" t="s">
        <v>3</v>
      </c>
      <c r="D1431" s="18" t="s">
        <v>141</v>
      </c>
      <c r="E1431" s="18" t="s">
        <v>142</v>
      </c>
      <c r="F1431" s="19" t="s">
        <v>143</v>
      </c>
    </row>
    <row r="1432" spans="1:6" ht="14.25" thickBot="1" x14ac:dyDescent="0.3">
      <c r="A1432" s="20" t="s">
        <v>386</v>
      </c>
      <c r="B1432" s="21" t="s">
        <v>387</v>
      </c>
      <c r="C1432" s="22" t="s">
        <v>146</v>
      </c>
      <c r="D1432" s="23">
        <v>0.10340000000000001</v>
      </c>
      <c r="E1432" s="24">
        <f>283800*$J$1</f>
        <v>320693.99999999994</v>
      </c>
      <c r="F1432" s="25">
        <f>ROUND(D1432*E1432,0)</f>
        <v>33160</v>
      </c>
    </row>
    <row r="1433" spans="1:6" ht="14.25" thickBot="1" x14ac:dyDescent="0.3">
      <c r="A1433" s="26" t="s">
        <v>147</v>
      </c>
      <c r="B1433" s="27"/>
      <c r="C1433" s="28">
        <v>56.369527422159003</v>
      </c>
      <c r="D1433" s="27"/>
      <c r="E1433" s="29" t="s">
        <v>148</v>
      </c>
      <c r="F1433" s="30">
        <f>SUM(F1432)</f>
        <v>33160</v>
      </c>
    </row>
    <row r="1434" spans="1:6" x14ac:dyDescent="0.25">
      <c r="A1434" s="16" t="s">
        <v>139</v>
      </c>
      <c r="B1434" s="17" t="s">
        <v>149</v>
      </c>
      <c r="C1434" s="18" t="s">
        <v>3</v>
      </c>
      <c r="D1434" s="18" t="s">
        <v>141</v>
      </c>
      <c r="E1434" s="18" t="s">
        <v>142</v>
      </c>
      <c r="F1434" s="19" t="s">
        <v>143</v>
      </c>
    </row>
    <row r="1435" spans="1:6" ht="14.25" thickBot="1" x14ac:dyDescent="0.3">
      <c r="A1435" s="20" t="s">
        <v>150</v>
      </c>
      <c r="B1435" s="21" t="s">
        <v>151</v>
      </c>
      <c r="C1435" s="22" t="s">
        <v>152</v>
      </c>
      <c r="D1435" s="23">
        <v>0.05</v>
      </c>
      <c r="E1435" s="24">
        <f>F1433</f>
        <v>33160</v>
      </c>
      <c r="F1435" s="25">
        <f>ROUND(D1435*E1435,0)</f>
        <v>1658</v>
      </c>
    </row>
    <row r="1436" spans="1:6" ht="14.25" thickBot="1" x14ac:dyDescent="0.3">
      <c r="A1436" s="26" t="s">
        <v>153</v>
      </c>
      <c r="B1436" s="27"/>
      <c r="C1436" s="28">
        <v>2.81860808176598</v>
      </c>
      <c r="D1436" s="27"/>
      <c r="E1436" s="29" t="s">
        <v>148</v>
      </c>
      <c r="F1436" s="30">
        <f>SUM(F1435)</f>
        <v>1658</v>
      </c>
    </row>
    <row r="1437" spans="1:6" x14ac:dyDescent="0.25">
      <c r="A1437" s="16" t="s">
        <v>139</v>
      </c>
      <c r="B1437" s="17" t="s">
        <v>154</v>
      </c>
      <c r="C1437" s="18" t="s">
        <v>3</v>
      </c>
      <c r="D1437" s="18" t="s">
        <v>141</v>
      </c>
      <c r="E1437" s="18" t="s">
        <v>142</v>
      </c>
      <c r="F1437" s="19" t="s">
        <v>143</v>
      </c>
    </row>
    <row r="1438" spans="1:6" ht="14.25" thickBot="1" x14ac:dyDescent="0.3">
      <c r="A1438" s="20" t="s">
        <v>427</v>
      </c>
      <c r="B1438" s="21" t="s">
        <v>428</v>
      </c>
      <c r="C1438" s="22" t="s">
        <v>157</v>
      </c>
      <c r="D1438" s="23">
        <v>9.6670000000000006E-2</v>
      </c>
      <c r="E1438" s="24">
        <f>15080*1.052</f>
        <v>15864.16</v>
      </c>
      <c r="F1438" s="25">
        <f>ROUND(D1438*E1438,0)</f>
        <v>1534</v>
      </c>
    </row>
    <row r="1439" spans="1:6" ht="14.25" thickBot="1" x14ac:dyDescent="0.3">
      <c r="A1439" s="26" t="s">
        <v>160</v>
      </c>
      <c r="B1439" s="27"/>
      <c r="C1439" s="28">
        <v>3.8406827880512102</v>
      </c>
      <c r="D1439" s="27"/>
      <c r="E1439" s="29" t="s">
        <v>148</v>
      </c>
      <c r="F1439" s="30">
        <f>SUM(F1438)</f>
        <v>1534</v>
      </c>
    </row>
    <row r="1440" spans="1:6" x14ac:dyDescent="0.25">
      <c r="A1440" s="20" t="s">
        <v>184</v>
      </c>
      <c r="B1440" s="21" t="s">
        <v>185</v>
      </c>
      <c r="C1440" s="22" t="s">
        <v>171</v>
      </c>
      <c r="D1440" s="23">
        <v>0.2</v>
      </c>
      <c r="E1440" s="24">
        <f>2140*1.052</f>
        <v>2251.2800000000002</v>
      </c>
      <c r="F1440" s="25">
        <f>ROUND(D1440*E1440,0)</f>
        <v>450</v>
      </c>
    </row>
    <row r="1441" spans="1:6" ht="14.25" thickBot="1" x14ac:dyDescent="0.3">
      <c r="A1441" s="34" t="s">
        <v>191</v>
      </c>
      <c r="B1441" s="35" t="s">
        <v>192</v>
      </c>
      <c r="C1441" s="36" t="s">
        <v>193</v>
      </c>
      <c r="D1441" s="37">
        <f>+(SUM(D1421:D1427)*0.5)/1000</f>
        <v>4.4999999999999997E-3</v>
      </c>
      <c r="E1441" s="38">
        <f>176630*1.052</f>
        <v>185814.76</v>
      </c>
      <c r="F1441" s="25">
        <f>ROUND(D1441*E1441,0)</f>
        <v>836</v>
      </c>
    </row>
    <row r="1442" spans="1:6" ht="14.25" thickBot="1" x14ac:dyDescent="0.3">
      <c r="A1442" s="26"/>
      <c r="B1442" s="27"/>
      <c r="C1442" s="28"/>
      <c r="D1442" s="27"/>
      <c r="E1442" s="29" t="s">
        <v>148</v>
      </c>
      <c r="F1442" s="30">
        <f>SUM(F1440:F1441)</f>
        <v>1286</v>
      </c>
    </row>
    <row r="1443" spans="1:6" ht="15.75" thickBot="1" x14ac:dyDescent="0.3">
      <c r="A1443" s="180" t="s">
        <v>168</v>
      </c>
      <c r="B1443" s="181"/>
      <c r="C1443" s="181"/>
      <c r="D1443" s="181"/>
      <c r="E1443" s="182">
        <f>+F1430+F1433+F1436+F1439+F1442</f>
        <v>55691</v>
      </c>
      <c r="F1443" s="183"/>
    </row>
    <row r="1444" spans="1:6" x14ac:dyDescent="0.25">
      <c r="A1444" s="31"/>
      <c r="F1444" s="32"/>
    </row>
    <row r="1445" spans="1:6" ht="15.75" x14ac:dyDescent="0.25">
      <c r="A1445" s="184" t="s">
        <v>136</v>
      </c>
      <c r="B1445" s="185"/>
      <c r="C1445" s="185"/>
      <c r="D1445" s="185"/>
      <c r="E1445" s="185"/>
      <c r="F1445" s="186"/>
    </row>
    <row r="1446" spans="1:6" x14ac:dyDescent="0.25">
      <c r="A1446" s="174" t="str">
        <f>+'RESUMEN APUS'!B85</f>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
      <c r="B1446" s="175"/>
      <c r="C1446" s="175"/>
      <c r="D1446" s="176"/>
      <c r="E1446" s="12" t="s">
        <v>137</v>
      </c>
      <c r="F1446" s="13" t="s">
        <v>3</v>
      </c>
    </row>
    <row r="1447" spans="1:6" x14ac:dyDescent="0.25">
      <c r="A1447" s="177"/>
      <c r="B1447" s="178"/>
      <c r="C1447" s="178"/>
      <c r="D1447" s="179"/>
      <c r="E1447" s="14" t="s">
        <v>102</v>
      </c>
      <c r="F1447" s="15" t="s">
        <v>86</v>
      </c>
    </row>
    <row r="1448" spans="1:6" x14ac:dyDescent="0.25">
      <c r="A1448" s="16" t="s">
        <v>139</v>
      </c>
      <c r="B1448" s="17" t="s">
        <v>172</v>
      </c>
      <c r="C1448" s="18" t="s">
        <v>3</v>
      </c>
      <c r="D1448" s="18" t="s">
        <v>141</v>
      </c>
      <c r="E1448" s="18" t="s">
        <v>142</v>
      </c>
      <c r="F1448" s="19" t="s">
        <v>143</v>
      </c>
    </row>
    <row r="1449" spans="1:6" x14ac:dyDescent="0.25">
      <c r="A1449" s="20" t="s">
        <v>413</v>
      </c>
      <c r="B1449" s="21" t="s">
        <v>414</v>
      </c>
      <c r="C1449" s="22" t="s">
        <v>86</v>
      </c>
      <c r="D1449" s="23">
        <v>1.05</v>
      </c>
      <c r="E1449" s="24">
        <f>5569.09288972127*1.052</f>
        <v>5858.6857199867763</v>
      </c>
      <c r="F1449" s="25">
        <f t="shared" ref="F1449:F1456" si="22">ROUND(D1449*E1449,0)</f>
        <v>6152</v>
      </c>
    </row>
    <row r="1450" spans="1:6" x14ac:dyDescent="0.25">
      <c r="A1450" s="20" t="s">
        <v>419</v>
      </c>
      <c r="B1450" s="21" t="s">
        <v>420</v>
      </c>
      <c r="C1450" s="22" t="s">
        <v>171</v>
      </c>
      <c r="D1450" s="23">
        <v>0.26250000000000001</v>
      </c>
      <c r="E1450" s="24">
        <f>453.004*1.052</f>
        <v>476.56020800000005</v>
      </c>
      <c r="F1450" s="25">
        <f t="shared" si="22"/>
        <v>125</v>
      </c>
    </row>
    <row r="1451" spans="1:6" x14ac:dyDescent="0.25">
      <c r="A1451" s="20" t="s">
        <v>415</v>
      </c>
      <c r="B1451" s="21" t="s">
        <v>416</v>
      </c>
      <c r="C1451" s="22" t="s">
        <v>171</v>
      </c>
      <c r="D1451" s="23">
        <v>0.59514</v>
      </c>
      <c r="E1451" s="24">
        <f>702.364*1.052</f>
        <v>738.88692800000001</v>
      </c>
      <c r="F1451" s="25">
        <f t="shared" si="22"/>
        <v>440</v>
      </c>
    </row>
    <row r="1452" spans="1:6" x14ac:dyDescent="0.25">
      <c r="A1452" s="20" t="s">
        <v>417</v>
      </c>
      <c r="B1452" s="21" t="s">
        <v>418</v>
      </c>
      <c r="C1452" s="22" t="s">
        <v>171</v>
      </c>
      <c r="D1452" s="23">
        <v>9.5460000000000003E-2</v>
      </c>
      <c r="E1452" s="24">
        <f>835.356*1.052</f>
        <v>878.79451200000005</v>
      </c>
      <c r="F1452" s="25">
        <f t="shared" si="22"/>
        <v>84</v>
      </c>
    </row>
    <row r="1453" spans="1:6" x14ac:dyDescent="0.25">
      <c r="A1453" s="20" t="s">
        <v>423</v>
      </c>
      <c r="B1453" s="21" t="s">
        <v>424</v>
      </c>
      <c r="C1453" s="22" t="s">
        <v>171</v>
      </c>
      <c r="D1453" s="23">
        <v>8.5000000000000006E-3</v>
      </c>
      <c r="E1453" s="24">
        <f>475.862*1.052</f>
        <v>500.60682400000007</v>
      </c>
      <c r="F1453" s="25">
        <f t="shared" si="22"/>
        <v>4</v>
      </c>
    </row>
    <row r="1454" spans="1:6" x14ac:dyDescent="0.25">
      <c r="A1454" s="20" t="s">
        <v>425</v>
      </c>
      <c r="B1454" s="21" t="s">
        <v>426</v>
      </c>
      <c r="C1454" s="22" t="s">
        <v>171</v>
      </c>
      <c r="D1454" s="23">
        <v>1.7000000000000001E-2</v>
      </c>
      <c r="E1454" s="24">
        <f>539.241*1.052</f>
        <v>567.28153199999997</v>
      </c>
      <c r="F1454" s="25">
        <f t="shared" si="22"/>
        <v>10</v>
      </c>
    </row>
    <row r="1455" spans="1:6" x14ac:dyDescent="0.25">
      <c r="A1455" s="20" t="s">
        <v>384</v>
      </c>
      <c r="B1455" s="21" t="s">
        <v>385</v>
      </c>
      <c r="C1455" s="22" t="s">
        <v>171</v>
      </c>
      <c r="D1455" s="23">
        <v>3.3999999999999998E-3</v>
      </c>
      <c r="E1455" s="24">
        <f>109682.035*1.052</f>
        <v>115385.50082000002</v>
      </c>
      <c r="F1455" s="25">
        <f t="shared" si="22"/>
        <v>392</v>
      </c>
    </row>
    <row r="1456" spans="1:6" ht="14.25" thickBot="1" x14ac:dyDescent="0.3">
      <c r="A1456" s="20" t="s">
        <v>382</v>
      </c>
      <c r="B1456" s="21" t="s">
        <v>383</v>
      </c>
      <c r="C1456" s="22" t="s">
        <v>171</v>
      </c>
      <c r="D1456" s="23">
        <v>3.3999999999999998E-3</v>
      </c>
      <c r="E1456" s="24">
        <f>52885.1*1.052</f>
        <v>55635.125200000002</v>
      </c>
      <c r="F1456" s="25">
        <f t="shared" si="22"/>
        <v>189</v>
      </c>
    </row>
    <row r="1457" spans="1:6" ht="14.25" thickBot="1" x14ac:dyDescent="0.3">
      <c r="A1457" s="26" t="s">
        <v>175</v>
      </c>
      <c r="B1457" s="27"/>
      <c r="C1457" s="28">
        <v>54.865923470924997</v>
      </c>
      <c r="D1457" s="27"/>
      <c r="E1457" s="29" t="s">
        <v>148</v>
      </c>
      <c r="F1457" s="30">
        <f>SUM(F1449:F1456)</f>
        <v>7396</v>
      </c>
    </row>
    <row r="1458" spans="1:6" x14ac:dyDescent="0.25">
      <c r="A1458" s="16" t="s">
        <v>139</v>
      </c>
      <c r="B1458" s="17" t="s">
        <v>140</v>
      </c>
      <c r="C1458" s="18" t="s">
        <v>3</v>
      </c>
      <c r="D1458" s="18" t="s">
        <v>141</v>
      </c>
      <c r="E1458" s="18" t="s">
        <v>142</v>
      </c>
      <c r="F1458" s="19" t="s">
        <v>143</v>
      </c>
    </row>
    <row r="1459" spans="1:6" ht="14.25" thickBot="1" x14ac:dyDescent="0.3">
      <c r="A1459" s="20" t="s">
        <v>386</v>
      </c>
      <c r="B1459" s="21" t="s">
        <v>387</v>
      </c>
      <c r="C1459" s="22" t="s">
        <v>146</v>
      </c>
      <c r="D1459" s="23">
        <v>1.8002548724868991E-2</v>
      </c>
      <c r="E1459" s="24">
        <f>283800*$J$1</f>
        <v>320693.99999999994</v>
      </c>
      <c r="F1459" s="25">
        <f>ROUND(D1459*E1459,0)</f>
        <v>5773</v>
      </c>
    </row>
    <row r="1460" spans="1:6" ht="14.25" thickBot="1" x14ac:dyDescent="0.3">
      <c r="A1460" s="26" t="s">
        <v>147</v>
      </c>
      <c r="B1460" s="27"/>
      <c r="C1460" s="28">
        <v>42.984834789595297</v>
      </c>
      <c r="D1460" s="27"/>
      <c r="E1460" s="29" t="s">
        <v>148</v>
      </c>
      <c r="F1460" s="30">
        <f>SUM(F1459)</f>
        <v>5773</v>
      </c>
    </row>
    <row r="1461" spans="1:6" x14ac:dyDescent="0.25">
      <c r="A1461" s="16" t="s">
        <v>139</v>
      </c>
      <c r="B1461" s="17" t="s">
        <v>149</v>
      </c>
      <c r="C1461" s="18" t="s">
        <v>3</v>
      </c>
      <c r="D1461" s="18" t="s">
        <v>141</v>
      </c>
      <c r="E1461" s="18" t="s">
        <v>142</v>
      </c>
      <c r="F1461" s="19" t="s">
        <v>143</v>
      </c>
    </row>
    <row r="1462" spans="1:6" ht="14.25" thickBot="1" x14ac:dyDescent="0.3">
      <c r="A1462" s="20" t="s">
        <v>150</v>
      </c>
      <c r="B1462" s="21" t="s">
        <v>151</v>
      </c>
      <c r="C1462" s="22" t="s">
        <v>152</v>
      </c>
      <c r="D1462" s="23">
        <v>0.05</v>
      </c>
      <c r="E1462" s="24">
        <f>F1460</f>
        <v>5773</v>
      </c>
      <c r="F1462" s="25">
        <f>ROUND(D1462*E1462,0)</f>
        <v>289</v>
      </c>
    </row>
    <row r="1463" spans="1:6" ht="14.25" thickBot="1" x14ac:dyDescent="0.3">
      <c r="A1463" s="26" t="s">
        <v>153</v>
      </c>
      <c r="B1463" s="27"/>
      <c r="C1463" s="28">
        <v>2.14924173947976</v>
      </c>
      <c r="D1463" s="27"/>
      <c r="E1463" s="29" t="s">
        <v>148</v>
      </c>
      <c r="F1463" s="30">
        <f>SUM(F1462)</f>
        <v>289</v>
      </c>
    </row>
    <row r="1464" spans="1:6" x14ac:dyDescent="0.25">
      <c r="A1464" s="20" t="s">
        <v>184</v>
      </c>
      <c r="B1464" s="21" t="s">
        <v>185</v>
      </c>
      <c r="C1464" s="22" t="s">
        <v>171</v>
      </c>
      <c r="D1464" s="23">
        <v>0.2</v>
      </c>
      <c r="E1464" s="24">
        <f>2140*1.052</f>
        <v>2251.2800000000002</v>
      </c>
      <c r="F1464" s="25">
        <f>ROUND(D1464*E1464,0)</f>
        <v>450</v>
      </c>
    </row>
    <row r="1465" spans="1:6" ht="14.25" thickBot="1" x14ac:dyDescent="0.3">
      <c r="A1465" s="34" t="s">
        <v>191</v>
      </c>
      <c r="B1465" s="35" t="s">
        <v>192</v>
      </c>
      <c r="C1465" s="36" t="s">
        <v>193</v>
      </c>
      <c r="D1465" s="37">
        <f>+(SUM(D1449:D1456))/1000</f>
        <v>2.0354000000000001E-3</v>
      </c>
      <c r="E1465" s="38">
        <f>176630*1.052</f>
        <v>185814.76</v>
      </c>
      <c r="F1465" s="25">
        <f>ROUND(D1465*E1465,0)</f>
        <v>378</v>
      </c>
    </row>
    <row r="1466" spans="1:6" ht="14.25" thickBot="1" x14ac:dyDescent="0.3">
      <c r="A1466" s="26"/>
      <c r="B1466" s="27"/>
      <c r="C1466" s="28"/>
      <c r="D1466" s="27"/>
      <c r="E1466" s="29" t="s">
        <v>148</v>
      </c>
      <c r="F1466" s="30">
        <f>SUM(F1464:F1465)</f>
        <v>828</v>
      </c>
    </row>
    <row r="1467" spans="1:6" ht="15.75" thickBot="1" x14ac:dyDescent="0.3">
      <c r="A1467" s="180" t="s">
        <v>168</v>
      </c>
      <c r="B1467" s="181"/>
      <c r="C1467" s="181"/>
      <c r="D1467" s="181"/>
      <c r="E1467" s="182">
        <f>+F1457+F1460+F1463+F1466</f>
        <v>14286</v>
      </c>
      <c r="F1467" s="183"/>
    </row>
    <row r="1468" spans="1:6" x14ac:dyDescent="0.25">
      <c r="A1468" s="31"/>
      <c r="F1468" s="32"/>
    </row>
    <row r="1469" spans="1:6" ht="15.75" x14ac:dyDescent="0.25">
      <c r="A1469" s="184" t="s">
        <v>136</v>
      </c>
      <c r="B1469" s="185"/>
      <c r="C1469" s="185"/>
      <c r="D1469" s="185"/>
      <c r="E1469" s="185"/>
      <c r="F1469" s="186"/>
    </row>
    <row r="1470" spans="1:6" x14ac:dyDescent="0.25">
      <c r="A1470" s="174" t="str">
        <f>+'RESUMEN APUS'!B86</f>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
      <c r="B1470" s="175"/>
      <c r="C1470" s="175"/>
      <c r="D1470" s="176"/>
      <c r="E1470" s="12" t="s">
        <v>137</v>
      </c>
      <c r="F1470" s="13" t="s">
        <v>3</v>
      </c>
    </row>
    <row r="1471" spans="1:6" x14ac:dyDescent="0.25">
      <c r="A1471" s="177"/>
      <c r="B1471" s="178"/>
      <c r="C1471" s="178"/>
      <c r="D1471" s="179"/>
      <c r="E1471" s="14" t="s">
        <v>104</v>
      </c>
      <c r="F1471" s="15" t="s">
        <v>171</v>
      </c>
    </row>
    <row r="1472" spans="1:6" x14ac:dyDescent="0.25">
      <c r="A1472" s="16" t="s">
        <v>139</v>
      </c>
      <c r="B1472" s="17" t="s">
        <v>172</v>
      </c>
      <c r="C1472" s="18" t="s">
        <v>3</v>
      </c>
      <c r="D1472" s="18" t="s">
        <v>141</v>
      </c>
      <c r="E1472" s="18" t="s">
        <v>142</v>
      </c>
      <c r="F1472" s="19" t="s">
        <v>143</v>
      </c>
    </row>
    <row r="1473" spans="1:6" x14ac:dyDescent="0.25">
      <c r="A1473" s="20" t="s">
        <v>352</v>
      </c>
      <c r="B1473" s="21" t="s">
        <v>353</v>
      </c>
      <c r="C1473" s="22" t="s">
        <v>86</v>
      </c>
      <c r="D1473" s="23">
        <v>2</v>
      </c>
      <c r="E1473" s="24">
        <f>13195.3*1.052</f>
        <v>13881.455599999999</v>
      </c>
      <c r="F1473" s="25">
        <f t="shared" ref="F1473:F1481" si="23">ROUND(D1473*E1473,0)</f>
        <v>27763</v>
      </c>
    </row>
    <row r="1474" spans="1:6" x14ac:dyDescent="0.25">
      <c r="A1474" s="20" t="s">
        <v>429</v>
      </c>
      <c r="B1474" s="21" t="s">
        <v>430</v>
      </c>
      <c r="C1474" s="22" t="s">
        <v>171</v>
      </c>
      <c r="D1474" s="23">
        <v>1</v>
      </c>
      <c r="E1474" s="24">
        <f>3577.277*1.052</f>
        <v>3763.2954040000004</v>
      </c>
      <c r="F1474" s="25">
        <f t="shared" si="23"/>
        <v>3763</v>
      </c>
    </row>
    <row r="1475" spans="1:6" x14ac:dyDescent="0.25">
      <c r="A1475" s="20" t="s">
        <v>350</v>
      </c>
      <c r="B1475" s="21" t="s">
        <v>351</v>
      </c>
      <c r="C1475" s="22" t="s">
        <v>171</v>
      </c>
      <c r="D1475" s="23">
        <v>1</v>
      </c>
      <c r="E1475" s="24">
        <f>4280.68*1.052</f>
        <v>4503.2753600000005</v>
      </c>
      <c r="F1475" s="25">
        <f t="shared" si="23"/>
        <v>4503</v>
      </c>
    </row>
    <row r="1476" spans="1:6" x14ac:dyDescent="0.25">
      <c r="A1476" s="20" t="s">
        <v>431</v>
      </c>
      <c r="B1476" s="21" t="s">
        <v>432</v>
      </c>
      <c r="C1476" s="22" t="s">
        <v>171</v>
      </c>
      <c r="D1476" s="23">
        <v>1</v>
      </c>
      <c r="E1476" s="24">
        <f>1340.31*1.052</f>
        <v>1410.00612</v>
      </c>
      <c r="F1476" s="25">
        <f t="shared" si="23"/>
        <v>1410</v>
      </c>
    </row>
    <row r="1477" spans="1:6" x14ac:dyDescent="0.25">
      <c r="A1477" s="20" t="s">
        <v>433</v>
      </c>
      <c r="B1477" s="21" t="s">
        <v>434</v>
      </c>
      <c r="C1477" s="22" t="s">
        <v>171</v>
      </c>
      <c r="D1477" s="23">
        <v>1</v>
      </c>
      <c r="E1477" s="24">
        <f>7117.15*1.052</f>
        <v>7487.2417999999998</v>
      </c>
      <c r="F1477" s="25">
        <f t="shared" si="23"/>
        <v>7487</v>
      </c>
    </row>
    <row r="1478" spans="1:6" x14ac:dyDescent="0.25">
      <c r="A1478" s="20" t="s">
        <v>435</v>
      </c>
      <c r="B1478" s="21" t="s">
        <v>436</v>
      </c>
      <c r="C1478" s="22" t="s">
        <v>171</v>
      </c>
      <c r="D1478" s="23">
        <v>0.5</v>
      </c>
      <c r="E1478" s="24">
        <f>6984.158*1.052</f>
        <v>7347.3342160000011</v>
      </c>
      <c r="F1478" s="25">
        <f t="shared" si="23"/>
        <v>3674</v>
      </c>
    </row>
    <row r="1479" spans="1:6" x14ac:dyDescent="0.25">
      <c r="A1479" s="20" t="s">
        <v>384</v>
      </c>
      <c r="B1479" s="21" t="s">
        <v>385</v>
      </c>
      <c r="C1479" s="22" t="s">
        <v>171</v>
      </c>
      <c r="D1479" s="23">
        <v>7.7770000000000006E-2</v>
      </c>
      <c r="E1479" s="24">
        <f>109682.035*1.052</f>
        <v>115385.50082000002</v>
      </c>
      <c r="F1479" s="25">
        <f t="shared" si="23"/>
        <v>8974</v>
      </c>
    </row>
    <row r="1480" spans="1:6" x14ac:dyDescent="0.25">
      <c r="A1480" s="20" t="s">
        <v>382</v>
      </c>
      <c r="B1480" s="21" t="s">
        <v>383</v>
      </c>
      <c r="C1480" s="22" t="s">
        <v>171</v>
      </c>
      <c r="D1480" s="23">
        <v>7.7770000000000006E-2</v>
      </c>
      <c r="E1480" s="24">
        <f>52885.1*1.052</f>
        <v>55635.125200000002</v>
      </c>
      <c r="F1480" s="25">
        <f t="shared" si="23"/>
        <v>4327</v>
      </c>
    </row>
    <row r="1481" spans="1:6" ht="14.25" thickBot="1" x14ac:dyDescent="0.3">
      <c r="A1481" s="20" t="s">
        <v>285</v>
      </c>
      <c r="B1481" s="21" t="s">
        <v>286</v>
      </c>
      <c r="C1481" s="22" t="s">
        <v>202</v>
      </c>
      <c r="D1481" s="23">
        <v>0.1</v>
      </c>
      <c r="E1481" s="24">
        <f>16520.1*1.052</f>
        <v>17379.145199999999</v>
      </c>
      <c r="F1481" s="25">
        <f t="shared" si="23"/>
        <v>1738</v>
      </c>
    </row>
    <row r="1482" spans="1:6" ht="14.25" thickBot="1" x14ac:dyDescent="0.3">
      <c r="A1482" s="26" t="s">
        <v>175</v>
      </c>
      <c r="B1482" s="27"/>
      <c r="C1482" s="28">
        <v>62.591513561745401</v>
      </c>
      <c r="D1482" s="27"/>
      <c r="E1482" s="29" t="s">
        <v>148</v>
      </c>
      <c r="F1482" s="30">
        <f>SUM(F1473:F1481)</f>
        <v>63639</v>
      </c>
    </row>
    <row r="1483" spans="1:6" x14ac:dyDescent="0.25">
      <c r="A1483" s="16" t="s">
        <v>139</v>
      </c>
      <c r="B1483" s="17" t="s">
        <v>140</v>
      </c>
      <c r="C1483" s="18" t="s">
        <v>3</v>
      </c>
      <c r="D1483" s="18" t="s">
        <v>141</v>
      </c>
      <c r="E1483" s="18" t="s">
        <v>142</v>
      </c>
      <c r="F1483" s="19" t="s">
        <v>143</v>
      </c>
    </row>
    <row r="1484" spans="1:6" ht="14.25" thickBot="1" x14ac:dyDescent="0.3">
      <c r="A1484" s="20" t="s">
        <v>386</v>
      </c>
      <c r="B1484" s="21" t="s">
        <v>387</v>
      </c>
      <c r="C1484" s="22" t="s">
        <v>146</v>
      </c>
      <c r="D1484" s="23">
        <v>0.1100789489238197</v>
      </c>
      <c r="E1484" s="24">
        <f>283800*$J$1</f>
        <v>320693.99999999994</v>
      </c>
      <c r="F1484" s="25">
        <f>ROUND(D1484*E1484,0)</f>
        <v>35302</v>
      </c>
    </row>
    <row r="1485" spans="1:6" ht="14.25" thickBot="1" x14ac:dyDescent="0.3">
      <c r="A1485" s="26" t="s">
        <v>147</v>
      </c>
      <c r="B1485" s="27"/>
      <c r="C1485" s="28">
        <v>23.004977477719599</v>
      </c>
      <c r="D1485" s="27"/>
      <c r="E1485" s="29" t="s">
        <v>148</v>
      </c>
      <c r="F1485" s="30">
        <f>SUM(F1484)</f>
        <v>35302</v>
      </c>
    </row>
    <row r="1486" spans="1:6" x14ac:dyDescent="0.25">
      <c r="A1486" s="16" t="s">
        <v>139</v>
      </c>
      <c r="B1486" s="17" t="s">
        <v>149</v>
      </c>
      <c r="C1486" s="18" t="s">
        <v>3</v>
      </c>
      <c r="D1486" s="18" t="s">
        <v>141</v>
      </c>
      <c r="E1486" s="18" t="s">
        <v>142</v>
      </c>
      <c r="F1486" s="19" t="s">
        <v>143</v>
      </c>
    </row>
    <row r="1487" spans="1:6" ht="14.25" thickBot="1" x14ac:dyDescent="0.3">
      <c r="A1487" s="20" t="s">
        <v>150</v>
      </c>
      <c r="B1487" s="21" t="s">
        <v>151</v>
      </c>
      <c r="C1487" s="22" t="s">
        <v>152</v>
      </c>
      <c r="D1487" s="23">
        <v>0.05</v>
      </c>
      <c r="E1487" s="24">
        <f>F1485</f>
        <v>35302</v>
      </c>
      <c r="F1487" s="25">
        <f>ROUND(D1487*E1487,0)</f>
        <v>1765</v>
      </c>
    </row>
    <row r="1488" spans="1:6" ht="14.25" thickBot="1" x14ac:dyDescent="0.3">
      <c r="A1488" s="26" t="s">
        <v>153</v>
      </c>
      <c r="B1488" s="27"/>
      <c r="C1488" s="28">
        <v>1.1503026263451599</v>
      </c>
      <c r="D1488" s="27"/>
      <c r="E1488" s="29" t="s">
        <v>148</v>
      </c>
      <c r="F1488" s="30">
        <f>SUM(F1487)</f>
        <v>1765</v>
      </c>
    </row>
    <row r="1489" spans="1:6" x14ac:dyDescent="0.25">
      <c r="A1489" s="16" t="s">
        <v>139</v>
      </c>
      <c r="B1489" s="17" t="s">
        <v>161</v>
      </c>
      <c r="C1489" s="18" t="s">
        <v>3</v>
      </c>
      <c r="D1489" s="18" t="s">
        <v>141</v>
      </c>
      <c r="E1489" s="18" t="s">
        <v>142</v>
      </c>
      <c r="F1489" s="19" t="s">
        <v>143</v>
      </c>
    </row>
    <row r="1490" spans="1:6" ht="14.25" thickBot="1" x14ac:dyDescent="0.3">
      <c r="A1490" s="20" t="s">
        <v>165</v>
      </c>
      <c r="B1490" s="21" t="s">
        <v>166</v>
      </c>
      <c r="C1490" s="22" t="s">
        <v>164</v>
      </c>
      <c r="D1490" s="23">
        <v>0.75</v>
      </c>
      <c r="E1490" s="24">
        <f>16437*1.052</f>
        <v>17291.724000000002</v>
      </c>
      <c r="F1490" s="25">
        <f>ROUND(D1490*E1490,0)</f>
        <v>12969</v>
      </c>
    </row>
    <row r="1491" spans="1:6" ht="14.25" thickBot="1" x14ac:dyDescent="0.3">
      <c r="A1491" s="26" t="s">
        <v>167</v>
      </c>
      <c r="B1491" s="27"/>
      <c r="C1491" s="28">
        <v>13.2532063341898</v>
      </c>
      <c r="D1491" s="27"/>
      <c r="E1491" s="29" t="s">
        <v>148</v>
      </c>
      <c r="F1491" s="30">
        <f>SUM(F1490)</f>
        <v>12969</v>
      </c>
    </row>
    <row r="1492" spans="1:6" x14ac:dyDescent="0.25">
      <c r="A1492" s="20" t="s">
        <v>184</v>
      </c>
      <c r="B1492" s="21" t="s">
        <v>185</v>
      </c>
      <c r="C1492" s="22" t="s">
        <v>171</v>
      </c>
      <c r="D1492" s="23">
        <v>0.2</v>
      </c>
      <c r="E1492" s="24">
        <f>2140*1.052</f>
        <v>2251.2800000000002</v>
      </c>
      <c r="F1492" s="25">
        <f>ROUND(D1492*E1492,0)</f>
        <v>450</v>
      </c>
    </row>
    <row r="1493" spans="1:6" ht="14.25" thickBot="1" x14ac:dyDescent="0.3">
      <c r="A1493" s="34" t="s">
        <v>191</v>
      </c>
      <c r="B1493" s="35" t="s">
        <v>192</v>
      </c>
      <c r="C1493" s="36" t="s">
        <v>193</v>
      </c>
      <c r="D1493" s="37">
        <f>+(SUM(D1473:D1480))/1000</f>
        <v>6.6555400000000006E-3</v>
      </c>
      <c r="E1493" s="38">
        <f>176630*1.052</f>
        <v>185814.76</v>
      </c>
      <c r="F1493" s="25">
        <f>ROUND(D1493*E1493,0)</f>
        <v>1237</v>
      </c>
    </row>
    <row r="1494" spans="1:6" ht="14.25" thickBot="1" x14ac:dyDescent="0.3">
      <c r="A1494" s="26"/>
      <c r="B1494" s="27"/>
      <c r="C1494" s="28"/>
      <c r="D1494" s="27"/>
      <c r="E1494" s="29" t="s">
        <v>148</v>
      </c>
      <c r="F1494" s="30">
        <f>SUM(F1492:F1493)</f>
        <v>1687</v>
      </c>
    </row>
    <row r="1495" spans="1:6" ht="15.75" thickBot="1" x14ac:dyDescent="0.3">
      <c r="A1495" s="180" t="s">
        <v>168</v>
      </c>
      <c r="B1495" s="181"/>
      <c r="C1495" s="181"/>
      <c r="D1495" s="181"/>
      <c r="E1495" s="182">
        <f>+F1482+F1485+F1488+F1491+F1494</f>
        <v>115362</v>
      </c>
      <c r="F1495" s="183"/>
    </row>
    <row r="1496" spans="1:6" x14ac:dyDescent="0.25">
      <c r="A1496" s="31"/>
      <c r="F1496" s="32"/>
    </row>
    <row r="1497" spans="1:6" ht="15.75" x14ac:dyDescent="0.25">
      <c r="A1497" s="184" t="s">
        <v>136</v>
      </c>
      <c r="B1497" s="185"/>
      <c r="C1497" s="185"/>
      <c r="D1497" s="185"/>
      <c r="E1497" s="185"/>
      <c r="F1497" s="186"/>
    </row>
    <row r="1498" spans="1:6" x14ac:dyDescent="0.25">
      <c r="A1498" s="174" t="str">
        <f>+'RESUMEN APUS'!B87</f>
        <v>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
      <c r="B1498" s="175"/>
      <c r="C1498" s="175"/>
      <c r="D1498" s="176"/>
      <c r="E1498" s="12" t="s">
        <v>137</v>
      </c>
      <c r="F1498" s="13" t="s">
        <v>3</v>
      </c>
    </row>
    <row r="1499" spans="1:6" x14ac:dyDescent="0.25">
      <c r="A1499" s="177"/>
      <c r="B1499" s="178"/>
      <c r="C1499" s="178"/>
      <c r="D1499" s="179"/>
      <c r="E1499" s="14" t="s">
        <v>106</v>
      </c>
      <c r="F1499" s="15" t="s">
        <v>171</v>
      </c>
    </row>
    <row r="1500" spans="1:6" x14ac:dyDescent="0.25">
      <c r="A1500" s="16" t="s">
        <v>139</v>
      </c>
      <c r="B1500" s="17" t="s">
        <v>172</v>
      </c>
      <c r="C1500" s="18" t="s">
        <v>3</v>
      </c>
      <c r="D1500" s="18" t="s">
        <v>141</v>
      </c>
      <c r="E1500" s="18" t="s">
        <v>142</v>
      </c>
      <c r="F1500" s="19" t="s">
        <v>143</v>
      </c>
    </row>
    <row r="1501" spans="1:6" x14ac:dyDescent="0.25">
      <c r="A1501" s="20" t="s">
        <v>362</v>
      </c>
      <c r="B1501" s="21" t="s">
        <v>363</v>
      </c>
      <c r="C1501" s="22" t="s">
        <v>86</v>
      </c>
      <c r="D1501" s="23">
        <v>1.05</v>
      </c>
      <c r="E1501" s="24">
        <f>19657.88*1.052</f>
        <v>20680.089760000003</v>
      </c>
      <c r="F1501" s="25">
        <f t="shared" ref="F1501:F1509" si="24">ROUND(D1501*E1501,0)</f>
        <v>21714</v>
      </c>
    </row>
    <row r="1502" spans="1:6" x14ac:dyDescent="0.25">
      <c r="A1502" s="20" t="s">
        <v>437</v>
      </c>
      <c r="B1502" s="21" t="s">
        <v>438</v>
      </c>
      <c r="C1502" s="22" t="s">
        <v>171</v>
      </c>
      <c r="D1502" s="23">
        <v>1</v>
      </c>
      <c r="E1502" s="24">
        <f>9571.268*1.052</f>
        <v>10068.973936</v>
      </c>
      <c r="F1502" s="25">
        <f t="shared" si="24"/>
        <v>10069</v>
      </c>
    </row>
    <row r="1503" spans="1:6" x14ac:dyDescent="0.25">
      <c r="A1503" s="20" t="s">
        <v>366</v>
      </c>
      <c r="B1503" s="21" t="s">
        <v>367</v>
      </c>
      <c r="C1503" s="22" t="s">
        <v>171</v>
      </c>
      <c r="D1503" s="23">
        <v>1</v>
      </c>
      <c r="E1503" s="24">
        <f>9184.76*1.052</f>
        <v>9662.3675199999998</v>
      </c>
      <c r="F1503" s="25">
        <f t="shared" si="24"/>
        <v>9662</v>
      </c>
    </row>
    <row r="1504" spans="1:6" x14ac:dyDescent="0.25">
      <c r="A1504" s="20" t="s">
        <v>439</v>
      </c>
      <c r="B1504" s="21" t="s">
        <v>440</v>
      </c>
      <c r="C1504" s="22" t="s">
        <v>171</v>
      </c>
      <c r="D1504" s="23">
        <v>1</v>
      </c>
      <c r="E1504" s="24">
        <f>1702.921*1.052</f>
        <v>1791.4728920000002</v>
      </c>
      <c r="F1504" s="25">
        <f t="shared" si="24"/>
        <v>1791</v>
      </c>
    </row>
    <row r="1505" spans="1:6" x14ac:dyDescent="0.25">
      <c r="A1505" s="20" t="s">
        <v>378</v>
      </c>
      <c r="B1505" s="21" t="s">
        <v>379</v>
      </c>
      <c r="C1505" s="22" t="s">
        <v>171</v>
      </c>
      <c r="D1505" s="23">
        <v>1</v>
      </c>
      <c r="E1505" s="24">
        <f>6072.955*1.052</f>
        <v>6388.7486600000002</v>
      </c>
      <c r="F1505" s="25">
        <f t="shared" si="24"/>
        <v>6389</v>
      </c>
    </row>
    <row r="1506" spans="1:6" x14ac:dyDescent="0.25">
      <c r="A1506" s="20" t="s">
        <v>376</v>
      </c>
      <c r="B1506" s="21" t="s">
        <v>377</v>
      </c>
      <c r="C1506" s="22" t="s">
        <v>171</v>
      </c>
      <c r="D1506" s="23">
        <v>1</v>
      </c>
      <c r="E1506" s="24">
        <f>17517.54*1.052</f>
        <v>18428.452080000003</v>
      </c>
      <c r="F1506" s="25">
        <f t="shared" si="24"/>
        <v>18428</v>
      </c>
    </row>
    <row r="1507" spans="1:6" x14ac:dyDescent="0.25">
      <c r="A1507" s="20" t="s">
        <v>384</v>
      </c>
      <c r="B1507" s="21" t="s">
        <v>385</v>
      </c>
      <c r="C1507" s="22" t="s">
        <v>171</v>
      </c>
      <c r="D1507" s="23">
        <v>9.1999999999999998E-2</v>
      </c>
      <c r="E1507" s="24">
        <f>109682.035*1.052</f>
        <v>115385.50082000002</v>
      </c>
      <c r="F1507" s="25">
        <f t="shared" si="24"/>
        <v>10615</v>
      </c>
    </row>
    <row r="1508" spans="1:6" x14ac:dyDescent="0.25">
      <c r="A1508" s="20" t="s">
        <v>382</v>
      </c>
      <c r="B1508" s="21" t="s">
        <v>383</v>
      </c>
      <c r="C1508" s="22" t="s">
        <v>171</v>
      </c>
      <c r="D1508" s="23">
        <v>9.1999999999999998E-2</v>
      </c>
      <c r="E1508" s="24">
        <f>52885.1*1.052</f>
        <v>55635.125200000002</v>
      </c>
      <c r="F1508" s="25">
        <f t="shared" si="24"/>
        <v>5118</v>
      </c>
    </row>
    <row r="1509" spans="1:6" ht="14.25" thickBot="1" x14ac:dyDescent="0.3">
      <c r="A1509" s="20" t="s">
        <v>285</v>
      </c>
      <c r="B1509" s="21" t="s">
        <v>286</v>
      </c>
      <c r="C1509" s="22" t="s">
        <v>202</v>
      </c>
      <c r="D1509" s="23">
        <v>0.08</v>
      </c>
      <c r="E1509" s="24">
        <f>16520.1*1.052</f>
        <v>17379.145199999999</v>
      </c>
      <c r="F1509" s="25">
        <f t="shared" si="24"/>
        <v>1390</v>
      </c>
    </row>
    <row r="1510" spans="1:6" ht="14.25" thickBot="1" x14ac:dyDescent="0.3">
      <c r="A1510" s="26" t="s">
        <v>175</v>
      </c>
      <c r="B1510" s="27"/>
      <c r="C1510" s="28">
        <v>67.780261452688904</v>
      </c>
      <c r="D1510" s="27"/>
      <c r="E1510" s="29" t="s">
        <v>148</v>
      </c>
      <c r="F1510" s="30">
        <f>SUM(F1501:F1509)</f>
        <v>85176</v>
      </c>
    </row>
    <row r="1511" spans="1:6" x14ac:dyDescent="0.25">
      <c r="A1511" s="16" t="s">
        <v>139</v>
      </c>
      <c r="B1511" s="17" t="s">
        <v>140</v>
      </c>
      <c r="C1511" s="18" t="s">
        <v>3</v>
      </c>
      <c r="D1511" s="18" t="s">
        <v>141</v>
      </c>
      <c r="E1511" s="18" t="s">
        <v>142</v>
      </c>
      <c r="F1511" s="19" t="s">
        <v>143</v>
      </c>
    </row>
    <row r="1512" spans="1:6" ht="14.25" thickBot="1" x14ac:dyDescent="0.3">
      <c r="A1512" s="20" t="s">
        <v>386</v>
      </c>
      <c r="B1512" s="21" t="s">
        <v>387</v>
      </c>
      <c r="C1512" s="22" t="s">
        <v>146</v>
      </c>
      <c r="D1512" s="23">
        <v>0.14241011687841706</v>
      </c>
      <c r="E1512" s="24">
        <f>283800*$J$1</f>
        <v>320693.99999999994</v>
      </c>
      <c r="F1512" s="25">
        <f>ROUND(D1512*E1512,0)</f>
        <v>45670</v>
      </c>
    </row>
    <row r="1513" spans="1:6" ht="14.25" thickBot="1" x14ac:dyDescent="0.3">
      <c r="A1513" s="26" t="s">
        <v>147</v>
      </c>
      <c r="B1513" s="27"/>
      <c r="C1513" s="28">
        <v>20.473502474494001</v>
      </c>
      <c r="D1513" s="27"/>
      <c r="E1513" s="29" t="s">
        <v>148</v>
      </c>
      <c r="F1513" s="30">
        <f>SUM(F1512)</f>
        <v>45670</v>
      </c>
    </row>
    <row r="1514" spans="1:6" x14ac:dyDescent="0.25">
      <c r="A1514" s="16" t="s">
        <v>139</v>
      </c>
      <c r="B1514" s="17" t="s">
        <v>149</v>
      </c>
      <c r="C1514" s="18" t="s">
        <v>3</v>
      </c>
      <c r="D1514" s="18" t="s">
        <v>141</v>
      </c>
      <c r="E1514" s="18" t="s">
        <v>142</v>
      </c>
      <c r="F1514" s="19" t="s">
        <v>143</v>
      </c>
    </row>
    <row r="1515" spans="1:6" ht="14.25" thickBot="1" x14ac:dyDescent="0.3">
      <c r="A1515" s="20" t="s">
        <v>150</v>
      </c>
      <c r="B1515" s="21" t="s">
        <v>151</v>
      </c>
      <c r="C1515" s="22" t="s">
        <v>152</v>
      </c>
      <c r="D1515" s="23">
        <v>0.05</v>
      </c>
      <c r="E1515" s="24">
        <f>F1513</f>
        <v>45670</v>
      </c>
      <c r="F1515" s="25">
        <f>ROUND(D1515*E1515,0)</f>
        <v>2284</v>
      </c>
    </row>
    <row r="1516" spans="1:6" ht="14.25" thickBot="1" x14ac:dyDescent="0.3">
      <c r="A1516" s="26" t="s">
        <v>153</v>
      </c>
      <c r="B1516" s="27"/>
      <c r="C1516" s="28">
        <v>1.0237186121959101</v>
      </c>
      <c r="D1516" s="27"/>
      <c r="E1516" s="29" t="s">
        <v>148</v>
      </c>
      <c r="F1516" s="30">
        <f>SUM(F1515)</f>
        <v>2284</v>
      </c>
    </row>
    <row r="1517" spans="1:6" x14ac:dyDescent="0.25">
      <c r="A1517" s="16" t="s">
        <v>139</v>
      </c>
      <c r="B1517" s="17" t="s">
        <v>161</v>
      </c>
      <c r="C1517" s="18" t="s">
        <v>3</v>
      </c>
      <c r="D1517" s="18" t="s">
        <v>141</v>
      </c>
      <c r="E1517" s="18" t="s">
        <v>142</v>
      </c>
      <c r="F1517" s="19" t="s">
        <v>143</v>
      </c>
    </row>
    <row r="1518" spans="1:6" ht="14.25" thickBot="1" x14ac:dyDescent="0.3">
      <c r="A1518" s="20" t="s">
        <v>165</v>
      </c>
      <c r="B1518" s="21" t="s">
        <v>166</v>
      </c>
      <c r="C1518" s="22" t="s">
        <v>164</v>
      </c>
      <c r="D1518" s="23">
        <v>0.75</v>
      </c>
      <c r="E1518" s="24">
        <f>16437*1.052</f>
        <v>17291.724000000002</v>
      </c>
      <c r="F1518" s="25">
        <f>ROUND(D1518*E1518,0)</f>
        <v>12969</v>
      </c>
    </row>
    <row r="1519" spans="1:6" ht="14.25" thickBot="1" x14ac:dyDescent="0.3">
      <c r="A1519" s="26" t="s">
        <v>167</v>
      </c>
      <c r="B1519" s="27"/>
      <c r="C1519" s="39">
        <v>10.7225174606212</v>
      </c>
      <c r="D1519" s="27"/>
      <c r="E1519" s="29" t="s">
        <v>148</v>
      </c>
      <c r="F1519" s="30">
        <f>SUM(F1518)</f>
        <v>12969</v>
      </c>
    </row>
    <row r="1520" spans="1:6" x14ac:dyDescent="0.25">
      <c r="A1520" s="20" t="s">
        <v>184</v>
      </c>
      <c r="B1520" s="21" t="s">
        <v>185</v>
      </c>
      <c r="C1520" s="22" t="s">
        <v>171</v>
      </c>
      <c r="D1520" s="23">
        <v>0.2</v>
      </c>
      <c r="E1520" s="24">
        <f>2140*1.052</f>
        <v>2251.2800000000002</v>
      </c>
      <c r="F1520" s="25">
        <f>ROUND(D1520*E1520,0)</f>
        <v>450</v>
      </c>
    </row>
    <row r="1521" spans="1:6" ht="14.25" thickBot="1" x14ac:dyDescent="0.3">
      <c r="A1521" s="34" t="s">
        <v>191</v>
      </c>
      <c r="B1521" s="35" t="s">
        <v>192</v>
      </c>
      <c r="C1521" s="36" t="s">
        <v>193</v>
      </c>
      <c r="D1521" s="37">
        <f>+(SUM(D1501:D1508))*1.5/1000</f>
        <v>9.3509999999999999E-3</v>
      </c>
      <c r="E1521" s="38">
        <f>176630*1.052</f>
        <v>185814.76</v>
      </c>
      <c r="F1521" s="25">
        <f>ROUND(D1521*E1521,0)</f>
        <v>1738</v>
      </c>
    </row>
    <row r="1522" spans="1:6" ht="14.25" thickBot="1" x14ac:dyDescent="0.3">
      <c r="A1522" s="26"/>
      <c r="B1522" s="27"/>
      <c r="C1522" s="28"/>
      <c r="D1522" s="27"/>
      <c r="E1522" s="29" t="s">
        <v>148</v>
      </c>
      <c r="F1522" s="30">
        <f>SUM(F1520:F1521)</f>
        <v>2188</v>
      </c>
    </row>
    <row r="1523" spans="1:6" ht="15.75" thickBot="1" x14ac:dyDescent="0.3">
      <c r="A1523" s="171" t="s">
        <v>168</v>
      </c>
      <c r="B1523" s="172"/>
      <c r="C1523" s="172"/>
      <c r="D1523" s="173"/>
      <c r="E1523" s="158">
        <f>+F1510+F1513+F1516+F1519+F1522</f>
        <v>148287</v>
      </c>
      <c r="F1523" s="159"/>
    </row>
    <row r="1524" spans="1:6" x14ac:dyDescent="0.25">
      <c r="A1524" s="31"/>
      <c r="F1524" s="32"/>
    </row>
    <row r="1525" spans="1:6" ht="15.75" x14ac:dyDescent="0.25">
      <c r="A1525" s="184" t="s">
        <v>136</v>
      </c>
      <c r="B1525" s="185"/>
      <c r="C1525" s="185"/>
      <c r="D1525" s="185"/>
      <c r="E1525" s="185"/>
      <c r="F1525" s="186"/>
    </row>
    <row r="1526" spans="1:6" x14ac:dyDescent="0.25">
      <c r="A1526" s="174" t="str">
        <f>+'RESUMEN APUS'!B88</f>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
      <c r="B1526" s="175"/>
      <c r="C1526" s="175"/>
      <c r="D1526" s="176"/>
      <c r="E1526" s="12" t="s">
        <v>137</v>
      </c>
      <c r="F1526" s="13" t="s">
        <v>3</v>
      </c>
    </row>
    <row r="1527" spans="1:6" x14ac:dyDescent="0.25">
      <c r="A1527" s="177"/>
      <c r="B1527" s="178"/>
      <c r="C1527" s="178"/>
      <c r="D1527" s="179"/>
      <c r="E1527" s="14" t="s">
        <v>108</v>
      </c>
      <c r="F1527" s="15" t="s">
        <v>171</v>
      </c>
    </row>
    <row r="1528" spans="1:6" x14ac:dyDescent="0.25">
      <c r="A1528" s="16" t="s">
        <v>139</v>
      </c>
      <c r="B1528" s="17" t="s">
        <v>172</v>
      </c>
      <c r="C1528" s="18" t="s">
        <v>3</v>
      </c>
      <c r="D1528" s="18" t="s">
        <v>141</v>
      </c>
      <c r="E1528" s="18" t="s">
        <v>142</v>
      </c>
      <c r="F1528" s="19" t="s">
        <v>143</v>
      </c>
    </row>
    <row r="1529" spans="1:6" x14ac:dyDescent="0.25">
      <c r="A1529" s="20" t="s">
        <v>441</v>
      </c>
      <c r="B1529" s="21" t="s">
        <v>442</v>
      </c>
      <c r="C1529" s="22" t="s">
        <v>86</v>
      </c>
      <c r="D1529" s="23">
        <v>1</v>
      </c>
      <c r="E1529" s="24">
        <f>26578.15*1.052</f>
        <v>27960.213800000001</v>
      </c>
      <c r="F1529" s="25">
        <f t="shared" ref="F1529:F1537" si="25">ROUND(D1529*E1529,0)</f>
        <v>27960</v>
      </c>
    </row>
    <row r="1530" spans="1:6" x14ac:dyDescent="0.25">
      <c r="A1530" s="20" t="s">
        <v>443</v>
      </c>
      <c r="B1530" s="21" t="s">
        <v>444</v>
      </c>
      <c r="C1530" s="22" t="s">
        <v>171</v>
      </c>
      <c r="D1530" s="23">
        <v>1</v>
      </c>
      <c r="E1530" s="24">
        <f>14240.534*1.052</f>
        <v>14981.041768000001</v>
      </c>
      <c r="F1530" s="25">
        <f t="shared" si="25"/>
        <v>14981</v>
      </c>
    </row>
    <row r="1531" spans="1:6" x14ac:dyDescent="0.25">
      <c r="A1531" s="20" t="s">
        <v>445</v>
      </c>
      <c r="B1531" s="21" t="s">
        <v>446</v>
      </c>
      <c r="C1531" s="22" t="s">
        <v>171</v>
      </c>
      <c r="D1531" s="23">
        <v>1</v>
      </c>
      <c r="E1531" s="24">
        <f>15569.15*1.052</f>
        <v>16378.745800000001</v>
      </c>
      <c r="F1531" s="25">
        <f t="shared" si="25"/>
        <v>16379</v>
      </c>
    </row>
    <row r="1532" spans="1:6" x14ac:dyDescent="0.25">
      <c r="A1532" s="20" t="s">
        <v>447</v>
      </c>
      <c r="B1532" s="21" t="s">
        <v>448</v>
      </c>
      <c r="C1532" s="22" t="s">
        <v>171</v>
      </c>
      <c r="D1532" s="23">
        <v>1</v>
      </c>
      <c r="E1532" s="24">
        <f>3329.995*1.052</f>
        <v>3503.1547399999999</v>
      </c>
      <c r="F1532" s="25">
        <f t="shared" si="25"/>
        <v>3503</v>
      </c>
    </row>
    <row r="1533" spans="1:6" x14ac:dyDescent="0.25">
      <c r="A1533" s="20" t="s">
        <v>449</v>
      </c>
      <c r="B1533" s="21" t="s">
        <v>450</v>
      </c>
      <c r="C1533" s="22" t="s">
        <v>171</v>
      </c>
      <c r="D1533" s="23">
        <v>1</v>
      </c>
      <c r="E1533" s="24">
        <f>39331.42*1.052</f>
        <v>41376.653839999999</v>
      </c>
      <c r="F1533" s="25">
        <f t="shared" si="25"/>
        <v>41377</v>
      </c>
    </row>
    <row r="1534" spans="1:6" x14ac:dyDescent="0.25">
      <c r="A1534" s="20" t="s">
        <v>451</v>
      </c>
      <c r="B1534" s="21" t="s">
        <v>452</v>
      </c>
      <c r="C1534" s="22" t="s">
        <v>171</v>
      </c>
      <c r="D1534" s="23">
        <v>1</v>
      </c>
      <c r="E1534" s="24">
        <f>29421.3*1.052</f>
        <v>30951.207600000002</v>
      </c>
      <c r="F1534" s="25">
        <f t="shared" si="25"/>
        <v>30951</v>
      </c>
    </row>
    <row r="1535" spans="1:6" x14ac:dyDescent="0.25">
      <c r="A1535" s="20" t="s">
        <v>384</v>
      </c>
      <c r="B1535" s="21" t="s">
        <v>385</v>
      </c>
      <c r="C1535" s="22" t="s">
        <v>171</v>
      </c>
      <c r="D1535" s="23">
        <v>0.08</v>
      </c>
      <c r="E1535" s="24">
        <f>109682.035*1.052</f>
        <v>115385.50082000002</v>
      </c>
      <c r="F1535" s="25">
        <f t="shared" si="25"/>
        <v>9231</v>
      </c>
    </row>
    <row r="1536" spans="1:6" x14ac:dyDescent="0.25">
      <c r="A1536" s="20" t="s">
        <v>382</v>
      </c>
      <c r="B1536" s="21" t="s">
        <v>383</v>
      </c>
      <c r="C1536" s="22" t="s">
        <v>171</v>
      </c>
      <c r="D1536" s="23">
        <v>0.08</v>
      </c>
      <c r="E1536" s="24">
        <f>52885.1*1.052</f>
        <v>55635.125200000002</v>
      </c>
      <c r="F1536" s="25">
        <f t="shared" si="25"/>
        <v>4451</v>
      </c>
    </row>
    <row r="1537" spans="1:6" ht="14.25" thickBot="1" x14ac:dyDescent="0.3">
      <c r="A1537" s="20" t="s">
        <v>285</v>
      </c>
      <c r="B1537" s="21" t="s">
        <v>286</v>
      </c>
      <c r="C1537" s="22" t="s">
        <v>202</v>
      </c>
      <c r="D1537" s="23">
        <v>0.08</v>
      </c>
      <c r="E1537" s="24">
        <f>16520.1*1.052</f>
        <v>17379.145199999999</v>
      </c>
      <c r="F1537" s="25">
        <f t="shared" si="25"/>
        <v>1390</v>
      </c>
    </row>
    <row r="1538" spans="1:6" ht="14.25" thickBot="1" x14ac:dyDescent="0.3">
      <c r="A1538" s="26" t="s">
        <v>175</v>
      </c>
      <c r="B1538" s="27"/>
      <c r="C1538" s="28">
        <v>78.146969831805606</v>
      </c>
      <c r="D1538" s="27"/>
      <c r="E1538" s="29" t="s">
        <v>148</v>
      </c>
      <c r="F1538" s="30">
        <f>SUM(F1529:F1537)</f>
        <v>150223</v>
      </c>
    </row>
    <row r="1539" spans="1:6" x14ac:dyDescent="0.25">
      <c r="A1539" s="16" t="s">
        <v>139</v>
      </c>
      <c r="B1539" s="17" t="s">
        <v>140</v>
      </c>
      <c r="C1539" s="18" t="s">
        <v>3</v>
      </c>
      <c r="D1539" s="18" t="s">
        <v>141</v>
      </c>
      <c r="E1539" s="18" t="s">
        <v>142</v>
      </c>
      <c r="F1539" s="19" t="s">
        <v>143</v>
      </c>
    </row>
    <row r="1540" spans="1:6" ht="14.25" thickBot="1" x14ac:dyDescent="0.3">
      <c r="A1540" s="20" t="s">
        <v>386</v>
      </c>
      <c r="B1540" s="21" t="s">
        <v>387</v>
      </c>
      <c r="C1540" s="22" t="s">
        <v>146</v>
      </c>
      <c r="D1540" s="23">
        <v>9.6338345864661654E-2</v>
      </c>
      <c r="E1540" s="24">
        <f>283800*$J$1</f>
        <v>320693.99999999994</v>
      </c>
      <c r="F1540" s="25">
        <f>ROUND(D1540*E1540,0)</f>
        <v>30895</v>
      </c>
    </row>
    <row r="1541" spans="1:6" ht="14.25" thickBot="1" x14ac:dyDescent="0.3">
      <c r="A1541" s="26" t="s">
        <v>147</v>
      </c>
      <c r="B1541" s="27"/>
      <c r="C1541" s="28">
        <v>14.282059268488</v>
      </c>
      <c r="D1541" s="27"/>
      <c r="E1541" s="29" t="s">
        <v>148</v>
      </c>
      <c r="F1541" s="30">
        <f>SUM(F1540)</f>
        <v>30895</v>
      </c>
    </row>
    <row r="1542" spans="1:6" x14ac:dyDescent="0.25">
      <c r="A1542" s="16" t="s">
        <v>139</v>
      </c>
      <c r="B1542" s="17" t="s">
        <v>149</v>
      </c>
      <c r="C1542" s="18" t="s">
        <v>3</v>
      </c>
      <c r="D1542" s="18" t="s">
        <v>141</v>
      </c>
      <c r="E1542" s="18" t="s">
        <v>142</v>
      </c>
      <c r="F1542" s="19" t="s">
        <v>143</v>
      </c>
    </row>
    <row r="1543" spans="1:6" ht="14.25" thickBot="1" x14ac:dyDescent="0.3">
      <c r="A1543" s="20" t="s">
        <v>150</v>
      </c>
      <c r="B1543" s="21" t="s">
        <v>151</v>
      </c>
      <c r="C1543" s="22" t="s">
        <v>152</v>
      </c>
      <c r="D1543" s="23">
        <v>0.05</v>
      </c>
      <c r="E1543" s="24">
        <f>F1541</f>
        <v>30895</v>
      </c>
      <c r="F1543" s="25">
        <f>ROUND(D1543*E1543,0)</f>
        <v>1545</v>
      </c>
    </row>
    <row r="1544" spans="1:6" ht="14.25" thickBot="1" x14ac:dyDescent="0.3">
      <c r="A1544" s="26" t="s">
        <v>153</v>
      </c>
      <c r="B1544" s="27"/>
      <c r="C1544" s="28">
        <v>0.71415858325175796</v>
      </c>
      <c r="D1544" s="27"/>
      <c r="E1544" s="29" t="s">
        <v>148</v>
      </c>
      <c r="F1544" s="30">
        <f>SUM(F1543)</f>
        <v>1545</v>
      </c>
    </row>
    <row r="1545" spans="1:6" x14ac:dyDescent="0.25">
      <c r="A1545" s="16" t="s">
        <v>139</v>
      </c>
      <c r="B1545" s="17" t="s">
        <v>161</v>
      </c>
      <c r="C1545" s="18" t="s">
        <v>3</v>
      </c>
      <c r="D1545" s="18" t="s">
        <v>141</v>
      </c>
      <c r="E1545" s="18" t="s">
        <v>142</v>
      </c>
      <c r="F1545" s="19" t="s">
        <v>143</v>
      </c>
    </row>
    <row r="1546" spans="1:6" ht="14.25" thickBot="1" x14ac:dyDescent="0.3">
      <c r="A1546" s="20" t="s">
        <v>165</v>
      </c>
      <c r="B1546" s="21" t="s">
        <v>166</v>
      </c>
      <c r="C1546" s="22" t="s">
        <v>164</v>
      </c>
      <c r="D1546" s="23">
        <v>0.45</v>
      </c>
      <c r="E1546" s="24">
        <f>16437*1.052</f>
        <v>17291.724000000002</v>
      </c>
      <c r="F1546" s="25">
        <f>ROUND(D1546*E1546,0)</f>
        <v>7781</v>
      </c>
    </row>
    <row r="1547" spans="1:6" ht="14.25" thickBot="1" x14ac:dyDescent="0.3">
      <c r="A1547" s="26"/>
      <c r="B1547" s="27"/>
      <c r="C1547" s="28"/>
      <c r="D1547" s="27"/>
      <c r="E1547" s="29" t="s">
        <v>148</v>
      </c>
      <c r="F1547" s="30">
        <f>SUM(F1546)</f>
        <v>7781</v>
      </c>
    </row>
    <row r="1548" spans="1:6" ht="15.75" thickBot="1" x14ac:dyDescent="0.3">
      <c r="A1548" s="180" t="s">
        <v>168</v>
      </c>
      <c r="B1548" s="181"/>
      <c r="C1548" s="181"/>
      <c r="D1548" s="181"/>
      <c r="E1548" s="182">
        <f>+F1538+F1541+F1544+F1547</f>
        <v>190444</v>
      </c>
      <c r="F1548" s="183"/>
    </row>
    <row r="1549" spans="1:6" x14ac:dyDescent="0.25">
      <c r="A1549" s="31"/>
      <c r="F1549" s="32"/>
    </row>
    <row r="1550" spans="1:6" ht="15.75" x14ac:dyDescent="0.25">
      <c r="A1550" s="184" t="s">
        <v>136</v>
      </c>
      <c r="B1550" s="185"/>
      <c r="C1550" s="185"/>
      <c r="D1550" s="185"/>
      <c r="E1550" s="185"/>
      <c r="F1550" s="186"/>
    </row>
    <row r="1551" spans="1:6" x14ac:dyDescent="0.25">
      <c r="A1551" s="174" t="str">
        <f>+'RESUMEN APUS'!B89</f>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
      <c r="B1551" s="175"/>
      <c r="C1551" s="175"/>
      <c r="D1551" s="176"/>
      <c r="E1551" s="12" t="s">
        <v>137</v>
      </c>
      <c r="F1551" s="13" t="s">
        <v>3</v>
      </c>
    </row>
    <row r="1552" spans="1:6" x14ac:dyDescent="0.25">
      <c r="A1552" s="177"/>
      <c r="B1552" s="178"/>
      <c r="C1552" s="178"/>
      <c r="D1552" s="179"/>
      <c r="E1552" s="14" t="s">
        <v>110</v>
      </c>
      <c r="F1552" s="15" t="s">
        <v>86</v>
      </c>
    </row>
    <row r="1553" spans="1:6" x14ac:dyDescent="0.25">
      <c r="A1553" s="16" t="s">
        <v>139</v>
      </c>
      <c r="B1553" s="17" t="s">
        <v>172</v>
      </c>
      <c r="C1553" s="18" t="s">
        <v>3</v>
      </c>
      <c r="D1553" s="18" t="s">
        <v>141</v>
      </c>
      <c r="E1553" s="18" t="s">
        <v>142</v>
      </c>
      <c r="F1553" s="19" t="s">
        <v>143</v>
      </c>
    </row>
    <row r="1554" spans="1:6" x14ac:dyDescent="0.25">
      <c r="A1554" s="20" t="s">
        <v>352</v>
      </c>
      <c r="B1554" s="21" t="s">
        <v>353</v>
      </c>
      <c r="C1554" s="22" t="s">
        <v>86</v>
      </c>
      <c r="D1554" s="23">
        <v>1.05</v>
      </c>
      <c r="E1554" s="24">
        <f>13195.3*1.052</f>
        <v>13881.455599999999</v>
      </c>
      <c r="F1554" s="25">
        <f t="shared" ref="F1554:F1563" si="26">ROUND(D1554*E1554,0)</f>
        <v>14576</v>
      </c>
    </row>
    <row r="1555" spans="1:6" x14ac:dyDescent="0.25">
      <c r="A1555" s="20" t="s">
        <v>453</v>
      </c>
      <c r="B1555" s="21" t="s">
        <v>454</v>
      </c>
      <c r="C1555" s="22" t="s">
        <v>171</v>
      </c>
      <c r="D1555" s="23">
        <v>0.16667000000000001</v>
      </c>
      <c r="E1555" s="24">
        <f>2889.459*1.052</f>
        <v>3039.7108680000001</v>
      </c>
      <c r="F1555" s="25">
        <f t="shared" si="26"/>
        <v>507</v>
      </c>
    </row>
    <row r="1556" spans="1:6" x14ac:dyDescent="0.25">
      <c r="A1556" s="20" t="s">
        <v>350</v>
      </c>
      <c r="B1556" s="21" t="s">
        <v>351</v>
      </c>
      <c r="C1556" s="22" t="s">
        <v>171</v>
      </c>
      <c r="D1556" s="23">
        <v>0.2</v>
      </c>
      <c r="E1556" s="24">
        <f>4280.68*1.052</f>
        <v>4503.2753600000005</v>
      </c>
      <c r="F1556" s="25">
        <f t="shared" si="26"/>
        <v>901</v>
      </c>
    </row>
    <row r="1557" spans="1:6" x14ac:dyDescent="0.25">
      <c r="A1557" s="20" t="s">
        <v>429</v>
      </c>
      <c r="B1557" s="21" t="s">
        <v>430</v>
      </c>
      <c r="C1557" s="22" t="s">
        <v>171</v>
      </c>
      <c r="D1557" s="23">
        <v>0.2</v>
      </c>
      <c r="E1557" s="24">
        <f>3577.277*1.052</f>
        <v>3763.2954040000004</v>
      </c>
      <c r="F1557" s="25">
        <f t="shared" si="26"/>
        <v>753</v>
      </c>
    </row>
    <row r="1558" spans="1:6" x14ac:dyDescent="0.25">
      <c r="A1558" s="20" t="s">
        <v>455</v>
      </c>
      <c r="B1558" s="21" t="s">
        <v>456</v>
      </c>
      <c r="C1558" s="22" t="s">
        <v>171</v>
      </c>
      <c r="D1558" s="23">
        <v>0.2</v>
      </c>
      <c r="E1558" s="24">
        <f>8183.164*1.052</f>
        <v>8608.6885280000006</v>
      </c>
      <c r="F1558" s="25">
        <f t="shared" si="26"/>
        <v>1722</v>
      </c>
    </row>
    <row r="1559" spans="1:6" x14ac:dyDescent="0.25">
      <c r="A1559" s="20" t="s">
        <v>435</v>
      </c>
      <c r="B1559" s="21" t="s">
        <v>436</v>
      </c>
      <c r="C1559" s="22" t="s">
        <v>171</v>
      </c>
      <c r="D1559" s="23">
        <v>0.2</v>
      </c>
      <c r="E1559" s="24">
        <f>6984.158*1.052</f>
        <v>7347.3342160000011</v>
      </c>
      <c r="F1559" s="25">
        <f t="shared" si="26"/>
        <v>1469</v>
      </c>
    </row>
    <row r="1560" spans="1:6" x14ac:dyDescent="0.25">
      <c r="A1560" s="20" t="s">
        <v>457</v>
      </c>
      <c r="B1560" s="21" t="s">
        <v>458</v>
      </c>
      <c r="C1560" s="22" t="s">
        <v>171</v>
      </c>
      <c r="D1560" s="23">
        <v>0.2</v>
      </c>
      <c r="E1560" s="24">
        <f>7278.195*1.052</f>
        <v>7656.6611400000002</v>
      </c>
      <c r="F1560" s="25">
        <f t="shared" si="26"/>
        <v>1531</v>
      </c>
    </row>
    <row r="1561" spans="1:6" x14ac:dyDescent="0.25">
      <c r="A1561" s="20" t="s">
        <v>433</v>
      </c>
      <c r="B1561" s="21" t="s">
        <v>434</v>
      </c>
      <c r="C1561" s="22" t="s">
        <v>171</v>
      </c>
      <c r="D1561" s="23">
        <v>0.1</v>
      </c>
      <c r="E1561" s="24">
        <f>7117.15*1.052</f>
        <v>7487.2417999999998</v>
      </c>
      <c r="F1561" s="25">
        <f t="shared" si="26"/>
        <v>749</v>
      </c>
    </row>
    <row r="1562" spans="1:6" x14ac:dyDescent="0.25">
      <c r="A1562" s="20" t="s">
        <v>382</v>
      </c>
      <c r="B1562" s="21" t="s">
        <v>383</v>
      </c>
      <c r="C1562" s="22" t="s">
        <v>171</v>
      </c>
      <c r="D1562" s="23">
        <v>0.01</v>
      </c>
      <c r="E1562" s="24">
        <f>52885.1*1.052</f>
        <v>55635.125200000002</v>
      </c>
      <c r="F1562" s="25">
        <f t="shared" si="26"/>
        <v>556</v>
      </c>
    </row>
    <row r="1563" spans="1:6" ht="14.25" thickBot="1" x14ac:dyDescent="0.3">
      <c r="A1563" s="20" t="s">
        <v>384</v>
      </c>
      <c r="B1563" s="21" t="s">
        <v>385</v>
      </c>
      <c r="C1563" s="22" t="s">
        <v>171</v>
      </c>
      <c r="D1563" s="23">
        <v>1.6670000000000001E-2</v>
      </c>
      <c r="E1563" s="24">
        <f>109682.035*1.052</f>
        <v>115385.50082000002</v>
      </c>
      <c r="F1563" s="25">
        <f t="shared" si="26"/>
        <v>1923</v>
      </c>
    </row>
    <row r="1564" spans="1:6" ht="14.25" thickBot="1" x14ac:dyDescent="0.3">
      <c r="A1564" s="26" t="s">
        <v>175</v>
      </c>
      <c r="B1564" s="27"/>
      <c r="C1564" s="28">
        <v>84.003421727972594</v>
      </c>
      <c r="D1564" s="27"/>
      <c r="E1564" s="29" t="s">
        <v>148</v>
      </c>
      <c r="F1564" s="30">
        <f>SUM(F1554:F1563)</f>
        <v>24687</v>
      </c>
    </row>
    <row r="1565" spans="1:6" x14ac:dyDescent="0.25">
      <c r="A1565" s="16" t="s">
        <v>139</v>
      </c>
      <c r="B1565" s="17" t="s">
        <v>140</v>
      </c>
      <c r="C1565" s="18" t="s">
        <v>3</v>
      </c>
      <c r="D1565" s="18" t="s">
        <v>141</v>
      </c>
      <c r="E1565" s="18" t="s">
        <v>142</v>
      </c>
      <c r="F1565" s="19" t="s">
        <v>143</v>
      </c>
    </row>
    <row r="1566" spans="1:6" ht="14.25" thickBot="1" x14ac:dyDescent="0.3">
      <c r="A1566" s="20" t="s">
        <v>386</v>
      </c>
      <c r="B1566" s="21" t="s">
        <v>387</v>
      </c>
      <c r="C1566" s="22" t="s">
        <v>146</v>
      </c>
      <c r="D1566" s="23">
        <v>2.9055350090359054E-2</v>
      </c>
      <c r="E1566" s="24">
        <f>283800*$J$1</f>
        <v>320693.99999999994</v>
      </c>
      <c r="F1566" s="25">
        <f>ROUND(D1566*E1566,0)</f>
        <v>9318</v>
      </c>
    </row>
    <row r="1567" spans="1:6" ht="14.25" thickBot="1" x14ac:dyDescent="0.3">
      <c r="A1567" s="26" t="s">
        <v>147</v>
      </c>
      <c r="B1567" s="27"/>
      <c r="C1567" s="28">
        <v>15.234128017257399</v>
      </c>
      <c r="D1567" s="27"/>
      <c r="E1567" s="29" t="s">
        <v>148</v>
      </c>
      <c r="F1567" s="30">
        <f>SUM(F1566)</f>
        <v>9318</v>
      </c>
    </row>
    <row r="1568" spans="1:6" x14ac:dyDescent="0.25">
      <c r="A1568" s="16" t="s">
        <v>139</v>
      </c>
      <c r="B1568" s="17" t="s">
        <v>149</v>
      </c>
      <c r="C1568" s="18" t="s">
        <v>3</v>
      </c>
      <c r="D1568" s="18" t="s">
        <v>141</v>
      </c>
      <c r="E1568" s="18" t="s">
        <v>142</v>
      </c>
      <c r="F1568" s="19" t="s">
        <v>143</v>
      </c>
    </row>
    <row r="1569" spans="1:6" ht="14.25" thickBot="1" x14ac:dyDescent="0.3">
      <c r="A1569" s="20" t="s">
        <v>150</v>
      </c>
      <c r="B1569" s="21" t="s">
        <v>151</v>
      </c>
      <c r="C1569" s="22" t="s">
        <v>152</v>
      </c>
      <c r="D1569" s="23">
        <v>0.05</v>
      </c>
      <c r="E1569" s="24">
        <f>F1567</f>
        <v>9318</v>
      </c>
      <c r="F1569" s="25">
        <f>ROUND(D1569*E1569,0)</f>
        <v>466</v>
      </c>
    </row>
    <row r="1570" spans="1:6" ht="14.25" thickBot="1" x14ac:dyDescent="0.3">
      <c r="A1570" s="26" t="s">
        <v>153</v>
      </c>
      <c r="B1570" s="27"/>
      <c r="C1570" s="28">
        <v>0.76245025476996298</v>
      </c>
      <c r="D1570" s="27"/>
      <c r="E1570" s="29" t="s">
        <v>148</v>
      </c>
      <c r="F1570" s="30">
        <f>SUM(F1569)</f>
        <v>466</v>
      </c>
    </row>
    <row r="1571" spans="1:6" x14ac:dyDescent="0.25">
      <c r="A1571" s="20" t="s">
        <v>184</v>
      </c>
      <c r="B1571" s="21" t="s">
        <v>185</v>
      </c>
      <c r="C1571" s="22" t="s">
        <v>171</v>
      </c>
      <c r="D1571" s="23">
        <v>0.2</v>
      </c>
      <c r="E1571" s="24">
        <f>2140*1.052</f>
        <v>2251.2800000000002</v>
      </c>
      <c r="F1571" s="25">
        <f>ROUND(D1571*E1571,0)</f>
        <v>450</v>
      </c>
    </row>
    <row r="1572" spans="1:6" ht="14.25" thickBot="1" x14ac:dyDescent="0.3">
      <c r="A1572" s="34" t="s">
        <v>191</v>
      </c>
      <c r="B1572" s="35" t="s">
        <v>192</v>
      </c>
      <c r="C1572" s="36" t="s">
        <v>193</v>
      </c>
      <c r="D1572" s="37">
        <f>+(SUM(D1554:D1561))*1.8/1000</f>
        <v>4.1700060000000004E-3</v>
      </c>
      <c r="E1572" s="38">
        <f>176630*1.052</f>
        <v>185814.76</v>
      </c>
      <c r="F1572" s="25">
        <f>ROUND(D1572*E1572,0)</f>
        <v>775</v>
      </c>
    </row>
    <row r="1573" spans="1:6" ht="14.25" thickBot="1" x14ac:dyDescent="0.3">
      <c r="A1573" s="26"/>
      <c r="B1573" s="27"/>
      <c r="C1573" s="28"/>
      <c r="D1573" s="27"/>
      <c r="E1573" s="29" t="s">
        <v>148</v>
      </c>
      <c r="F1573" s="30">
        <f>SUM(F1571:F1572)</f>
        <v>1225</v>
      </c>
    </row>
    <row r="1574" spans="1:6" ht="15.75" thickBot="1" x14ac:dyDescent="0.3">
      <c r="A1574" s="180" t="s">
        <v>168</v>
      </c>
      <c r="B1574" s="181"/>
      <c r="C1574" s="181"/>
      <c r="D1574" s="181"/>
      <c r="E1574" s="182">
        <f>+F1564+F1567+F1570+F1573</f>
        <v>35696</v>
      </c>
      <c r="F1574" s="183"/>
    </row>
    <row r="1575" spans="1:6" x14ac:dyDescent="0.25">
      <c r="A1575" s="31"/>
      <c r="F1575" s="32"/>
    </row>
    <row r="1576" spans="1:6" ht="15.75" x14ac:dyDescent="0.25">
      <c r="A1576" s="184" t="s">
        <v>136</v>
      </c>
      <c r="B1576" s="185"/>
      <c r="C1576" s="185"/>
      <c r="D1576" s="185"/>
      <c r="E1576" s="185"/>
      <c r="F1576" s="186"/>
    </row>
    <row r="1577" spans="1:6" x14ac:dyDescent="0.25">
      <c r="A1577" s="174" t="str">
        <f>+'RESUMEN APUS'!B90</f>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
      <c r="B1577" s="175"/>
      <c r="C1577" s="175"/>
      <c r="D1577" s="176"/>
      <c r="E1577" s="12" t="s">
        <v>137</v>
      </c>
      <c r="F1577" s="13" t="s">
        <v>3</v>
      </c>
    </row>
    <row r="1578" spans="1:6" x14ac:dyDescent="0.25">
      <c r="A1578" s="177"/>
      <c r="B1578" s="178"/>
      <c r="C1578" s="178"/>
      <c r="D1578" s="179"/>
      <c r="E1578" s="14" t="s">
        <v>112</v>
      </c>
      <c r="F1578" s="15" t="s">
        <v>86</v>
      </c>
    </row>
    <row r="1579" spans="1:6" x14ac:dyDescent="0.25">
      <c r="A1579" s="16" t="s">
        <v>139</v>
      </c>
      <c r="B1579" s="17" t="s">
        <v>172</v>
      </c>
      <c r="C1579" s="18" t="s">
        <v>3</v>
      </c>
      <c r="D1579" s="18" t="s">
        <v>141</v>
      </c>
      <c r="E1579" s="18" t="s">
        <v>142</v>
      </c>
      <c r="F1579" s="19" t="s">
        <v>143</v>
      </c>
    </row>
    <row r="1580" spans="1:6" x14ac:dyDescent="0.25">
      <c r="A1580" s="20" t="s">
        <v>362</v>
      </c>
      <c r="B1580" s="21" t="s">
        <v>363</v>
      </c>
      <c r="C1580" s="22" t="s">
        <v>86</v>
      </c>
      <c r="D1580" s="23">
        <v>1.05</v>
      </c>
      <c r="E1580" s="24">
        <f>19657.88*1.052</f>
        <v>20680.089760000003</v>
      </c>
      <c r="F1580" s="25">
        <f t="shared" ref="F1580:F1590" si="27">ROUND(D1580*E1580,0)</f>
        <v>21714</v>
      </c>
    </row>
    <row r="1581" spans="1:6" x14ac:dyDescent="0.25">
      <c r="A1581" s="20" t="s">
        <v>364</v>
      </c>
      <c r="B1581" s="21" t="s">
        <v>365</v>
      </c>
      <c r="C1581" s="22" t="s">
        <v>171</v>
      </c>
      <c r="D1581" s="23">
        <v>0.16667000000000001</v>
      </c>
      <c r="E1581" s="24">
        <f>4172.624*1.052</f>
        <v>4389.6004480000001</v>
      </c>
      <c r="F1581" s="25">
        <f t="shared" si="27"/>
        <v>732</v>
      </c>
    </row>
    <row r="1582" spans="1:6" x14ac:dyDescent="0.25">
      <c r="A1582" s="20" t="s">
        <v>366</v>
      </c>
      <c r="B1582" s="21" t="s">
        <v>367</v>
      </c>
      <c r="C1582" s="22" t="s">
        <v>171</v>
      </c>
      <c r="D1582" s="23">
        <v>0.2</v>
      </c>
      <c r="E1582" s="24">
        <f>9184.76*1.052</f>
        <v>9662.3675199999998</v>
      </c>
      <c r="F1582" s="25">
        <f t="shared" si="27"/>
        <v>1932</v>
      </c>
    </row>
    <row r="1583" spans="1:6" x14ac:dyDescent="0.25">
      <c r="A1583" s="20" t="s">
        <v>368</v>
      </c>
      <c r="B1583" s="21" t="s">
        <v>369</v>
      </c>
      <c r="C1583" s="22" t="s">
        <v>171</v>
      </c>
      <c r="D1583" s="23">
        <v>0.2</v>
      </c>
      <c r="E1583" s="24">
        <f>8272.518*1.052</f>
        <v>8702.6889360000005</v>
      </c>
      <c r="F1583" s="25">
        <f t="shared" si="27"/>
        <v>1741</v>
      </c>
    </row>
    <row r="1584" spans="1:6" x14ac:dyDescent="0.25">
      <c r="A1584" s="20" t="s">
        <v>370</v>
      </c>
      <c r="B1584" s="21" t="s">
        <v>371</v>
      </c>
      <c r="C1584" s="22" t="s">
        <v>171</v>
      </c>
      <c r="D1584" s="23">
        <v>0.1</v>
      </c>
      <c r="E1584" s="24">
        <f>16796.474*1.052</f>
        <v>17669.890648000001</v>
      </c>
      <c r="F1584" s="25">
        <f t="shared" si="27"/>
        <v>1767</v>
      </c>
    </row>
    <row r="1585" spans="1:6" x14ac:dyDescent="0.25">
      <c r="A1585" s="20" t="s">
        <v>372</v>
      </c>
      <c r="B1585" s="21" t="s">
        <v>373</v>
      </c>
      <c r="C1585" s="22" t="s">
        <v>171</v>
      </c>
      <c r="D1585" s="23">
        <v>0.1</v>
      </c>
      <c r="E1585" s="24">
        <f>17517.54*1.052</f>
        <v>18428.452080000003</v>
      </c>
      <c r="F1585" s="25">
        <f t="shared" si="27"/>
        <v>1843</v>
      </c>
    </row>
    <row r="1586" spans="1:6" x14ac:dyDescent="0.25">
      <c r="A1586" s="20" t="s">
        <v>374</v>
      </c>
      <c r="B1586" s="21" t="s">
        <v>375</v>
      </c>
      <c r="C1586" s="22" t="s">
        <v>171</v>
      </c>
      <c r="D1586" s="23">
        <v>0.2</v>
      </c>
      <c r="E1586" s="24">
        <f>9138.005*1.052</f>
        <v>9613.1812599999994</v>
      </c>
      <c r="F1586" s="25">
        <f t="shared" si="27"/>
        <v>1923</v>
      </c>
    </row>
    <row r="1587" spans="1:6" x14ac:dyDescent="0.25">
      <c r="A1587" s="20" t="s">
        <v>376</v>
      </c>
      <c r="B1587" s="21" t="s">
        <v>377</v>
      </c>
      <c r="C1587" s="22" t="s">
        <v>171</v>
      </c>
      <c r="D1587" s="23">
        <v>0.1</v>
      </c>
      <c r="E1587" s="24">
        <f>17517.54*1.052</f>
        <v>18428.452080000003</v>
      </c>
      <c r="F1587" s="25">
        <f t="shared" si="27"/>
        <v>1843</v>
      </c>
    </row>
    <row r="1588" spans="1:6" x14ac:dyDescent="0.25">
      <c r="A1588" s="20" t="s">
        <v>378</v>
      </c>
      <c r="B1588" s="21" t="s">
        <v>379</v>
      </c>
      <c r="C1588" s="22" t="s">
        <v>171</v>
      </c>
      <c r="D1588" s="23">
        <v>0.1</v>
      </c>
      <c r="E1588" s="24">
        <f>6072.955*1.052</f>
        <v>6388.7486600000002</v>
      </c>
      <c r="F1588" s="25">
        <f t="shared" si="27"/>
        <v>639</v>
      </c>
    </row>
    <row r="1589" spans="1:6" x14ac:dyDescent="0.25">
      <c r="A1589" s="20" t="s">
        <v>382</v>
      </c>
      <c r="B1589" s="21" t="s">
        <v>383</v>
      </c>
      <c r="C1589" s="22" t="s">
        <v>171</v>
      </c>
      <c r="D1589" s="23">
        <v>0.02</v>
      </c>
      <c r="E1589" s="24">
        <f>52885.1*1.052</f>
        <v>55635.125200000002</v>
      </c>
      <c r="F1589" s="25">
        <f t="shared" si="27"/>
        <v>1113</v>
      </c>
    </row>
    <row r="1590" spans="1:6" ht="14.25" thickBot="1" x14ac:dyDescent="0.3">
      <c r="A1590" s="20" t="s">
        <v>384</v>
      </c>
      <c r="B1590" s="21" t="s">
        <v>385</v>
      </c>
      <c r="C1590" s="22" t="s">
        <v>171</v>
      </c>
      <c r="D1590" s="23">
        <v>2.222E-2</v>
      </c>
      <c r="E1590" s="24">
        <f>109682.035*1.052</f>
        <v>115385.50082000002</v>
      </c>
      <c r="F1590" s="25">
        <f t="shared" si="27"/>
        <v>2564</v>
      </c>
    </row>
    <row r="1591" spans="1:6" ht="14.25" thickBot="1" x14ac:dyDescent="0.3">
      <c r="A1591" s="26" t="s">
        <v>175</v>
      </c>
      <c r="B1591" s="27"/>
      <c r="C1591" s="28">
        <v>86.028351156428698</v>
      </c>
      <c r="D1591" s="27"/>
      <c r="E1591" s="29" t="s">
        <v>148</v>
      </c>
      <c r="F1591" s="30">
        <f>SUM(F1580:F1590)</f>
        <v>37811</v>
      </c>
    </row>
    <row r="1592" spans="1:6" x14ac:dyDescent="0.25">
      <c r="A1592" s="16" t="s">
        <v>139</v>
      </c>
      <c r="B1592" s="17" t="s">
        <v>140</v>
      </c>
      <c r="C1592" s="18" t="s">
        <v>3</v>
      </c>
      <c r="D1592" s="18" t="s">
        <v>141</v>
      </c>
      <c r="E1592" s="18" t="s">
        <v>142</v>
      </c>
      <c r="F1592" s="19" t="s">
        <v>143</v>
      </c>
    </row>
    <row r="1593" spans="1:6" ht="14.25" thickBot="1" x14ac:dyDescent="0.3">
      <c r="A1593" s="20" t="s">
        <v>386</v>
      </c>
      <c r="B1593" s="21" t="s">
        <v>387</v>
      </c>
      <c r="C1593" s="22" t="s">
        <v>146</v>
      </c>
      <c r="D1593" s="23">
        <v>4.2754887218045115E-2</v>
      </c>
      <c r="E1593" s="24">
        <f>283800*$J$1</f>
        <v>320693.99999999994</v>
      </c>
      <c r="F1593" s="25">
        <f>ROUND(D1593*E1593,0)</f>
        <v>13711</v>
      </c>
    </row>
    <row r="1594" spans="1:6" ht="14.25" thickBot="1" x14ac:dyDescent="0.3">
      <c r="A1594" s="26" t="s">
        <v>147</v>
      </c>
      <c r="B1594" s="27"/>
      <c r="C1594" s="28">
        <v>13.305147973141001</v>
      </c>
      <c r="D1594" s="27"/>
      <c r="E1594" s="29" t="s">
        <v>148</v>
      </c>
      <c r="F1594" s="30">
        <f>SUM(F1593)</f>
        <v>13711</v>
      </c>
    </row>
    <row r="1595" spans="1:6" x14ac:dyDescent="0.25">
      <c r="A1595" s="16" t="s">
        <v>139</v>
      </c>
      <c r="B1595" s="17" t="s">
        <v>149</v>
      </c>
      <c r="C1595" s="18" t="s">
        <v>3</v>
      </c>
      <c r="D1595" s="18" t="s">
        <v>141</v>
      </c>
      <c r="E1595" s="18" t="s">
        <v>142</v>
      </c>
      <c r="F1595" s="19" t="s">
        <v>143</v>
      </c>
    </row>
    <row r="1596" spans="1:6" ht="14.25" thickBot="1" x14ac:dyDescent="0.3">
      <c r="A1596" s="20" t="s">
        <v>150</v>
      </c>
      <c r="B1596" s="21" t="s">
        <v>151</v>
      </c>
      <c r="C1596" s="22" t="s">
        <v>152</v>
      </c>
      <c r="D1596" s="23">
        <v>0.05</v>
      </c>
      <c r="E1596" s="24">
        <f>F1594</f>
        <v>13711</v>
      </c>
      <c r="F1596" s="25">
        <f>ROUND(D1596*E1596,0)</f>
        <v>686</v>
      </c>
    </row>
    <row r="1597" spans="1:6" ht="14.25" thickBot="1" x14ac:dyDescent="0.3">
      <c r="A1597" s="26" t="s">
        <v>153</v>
      </c>
      <c r="B1597" s="27"/>
      <c r="C1597" s="28">
        <v>0.66650087043024098</v>
      </c>
      <c r="D1597" s="27"/>
      <c r="E1597" s="29" t="s">
        <v>148</v>
      </c>
      <c r="F1597" s="30">
        <f>SUM(F1596)</f>
        <v>686</v>
      </c>
    </row>
    <row r="1598" spans="1:6" x14ac:dyDescent="0.25">
      <c r="A1598" s="20" t="s">
        <v>184</v>
      </c>
      <c r="B1598" s="21" t="s">
        <v>185</v>
      </c>
      <c r="C1598" s="22" t="s">
        <v>171</v>
      </c>
      <c r="D1598" s="23">
        <v>0.2</v>
      </c>
      <c r="E1598" s="24">
        <f>2140*1.052</f>
        <v>2251.2800000000002</v>
      </c>
      <c r="F1598" s="25">
        <f>ROUND(D1598*E1598,0)</f>
        <v>450</v>
      </c>
    </row>
    <row r="1599" spans="1:6" ht="14.25" thickBot="1" x14ac:dyDescent="0.3">
      <c r="A1599" s="34" t="s">
        <v>191</v>
      </c>
      <c r="B1599" s="35" t="s">
        <v>192</v>
      </c>
      <c r="C1599" s="36" t="s">
        <v>193</v>
      </c>
      <c r="D1599" s="37">
        <f>+(SUM(D1580:D1588))*1.8/1000</f>
        <v>3.9900060000000008E-3</v>
      </c>
      <c r="E1599" s="38">
        <f>176630*1.052</f>
        <v>185814.76</v>
      </c>
      <c r="F1599" s="25">
        <f>ROUND(D1599*E1599,0)</f>
        <v>741</v>
      </c>
    </row>
    <row r="1600" spans="1:6" ht="14.25" thickBot="1" x14ac:dyDescent="0.3">
      <c r="A1600" s="26"/>
      <c r="B1600" s="27"/>
      <c r="C1600" s="28"/>
      <c r="D1600" s="27"/>
      <c r="E1600" s="29" t="s">
        <v>148</v>
      </c>
      <c r="F1600" s="30">
        <f>SUM(F1598:F1599)</f>
        <v>1191</v>
      </c>
    </row>
    <row r="1601" spans="1:6" ht="15.75" thickBot="1" x14ac:dyDescent="0.3">
      <c r="A1601" s="180" t="s">
        <v>168</v>
      </c>
      <c r="B1601" s="181"/>
      <c r="C1601" s="181"/>
      <c r="D1601" s="181"/>
      <c r="E1601" s="182">
        <f>+F1591+F1594+F1597+F1600</f>
        <v>53399</v>
      </c>
      <c r="F1601" s="183"/>
    </row>
    <row r="1602" spans="1:6" x14ac:dyDescent="0.25">
      <c r="A1602" s="31"/>
      <c r="F1602" s="32"/>
    </row>
    <row r="1603" spans="1:6" ht="15.75" x14ac:dyDescent="0.25">
      <c r="A1603" s="184" t="s">
        <v>136</v>
      </c>
      <c r="B1603" s="185"/>
      <c r="C1603" s="185"/>
      <c r="D1603" s="185"/>
      <c r="E1603" s="185"/>
      <c r="F1603" s="186"/>
    </row>
    <row r="1604" spans="1:6" x14ac:dyDescent="0.25">
      <c r="A1604" s="174" t="str">
        <f>+'RESUMEN APUS'!B91</f>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
      <c r="B1604" s="175"/>
      <c r="C1604" s="175"/>
      <c r="D1604" s="176"/>
      <c r="E1604" s="12" t="s">
        <v>137</v>
      </c>
      <c r="F1604" s="13" t="s">
        <v>3</v>
      </c>
    </row>
    <row r="1605" spans="1:6" x14ac:dyDescent="0.25">
      <c r="A1605" s="177"/>
      <c r="B1605" s="178"/>
      <c r="C1605" s="178"/>
      <c r="D1605" s="179"/>
      <c r="E1605" s="14" t="s">
        <v>114</v>
      </c>
      <c r="F1605" s="15" t="s">
        <v>86</v>
      </c>
    </row>
    <row r="1606" spans="1:6" x14ac:dyDescent="0.25">
      <c r="A1606" s="16" t="s">
        <v>139</v>
      </c>
      <c r="B1606" s="17" t="s">
        <v>172</v>
      </c>
      <c r="C1606" s="18" t="s">
        <v>3</v>
      </c>
      <c r="D1606" s="18" t="s">
        <v>141</v>
      </c>
      <c r="E1606" s="18" t="s">
        <v>142</v>
      </c>
      <c r="F1606" s="19" t="s">
        <v>143</v>
      </c>
    </row>
    <row r="1607" spans="1:6" x14ac:dyDescent="0.25">
      <c r="A1607" s="20" t="s">
        <v>441</v>
      </c>
      <c r="B1607" s="21" t="s">
        <v>442</v>
      </c>
      <c r="C1607" s="22" t="s">
        <v>86</v>
      </c>
      <c r="D1607" s="23">
        <v>1.05</v>
      </c>
      <c r="E1607" s="24">
        <f>27341.285*1.052</f>
        <v>28763.03182</v>
      </c>
      <c r="F1607" s="25">
        <f t="shared" ref="F1607:F1620" si="28">ROUND(D1607*E1607,0)</f>
        <v>30201</v>
      </c>
    </row>
    <row r="1608" spans="1:6" x14ac:dyDescent="0.25">
      <c r="A1608" s="20" t="s">
        <v>459</v>
      </c>
      <c r="B1608" s="21" t="s">
        <v>460</v>
      </c>
      <c r="C1608" s="22" t="s">
        <v>171</v>
      </c>
      <c r="D1608" s="23">
        <v>0.16667000000000001</v>
      </c>
      <c r="E1608" s="24">
        <f>8314.078*1.052</f>
        <v>8746.4100560000006</v>
      </c>
      <c r="F1608" s="25">
        <f t="shared" si="28"/>
        <v>1458</v>
      </c>
    </row>
    <row r="1609" spans="1:6" x14ac:dyDescent="0.25">
      <c r="A1609" s="20" t="s">
        <v>445</v>
      </c>
      <c r="B1609" s="21" t="s">
        <v>446</v>
      </c>
      <c r="C1609" s="22" t="s">
        <v>171</v>
      </c>
      <c r="D1609" s="23">
        <v>0.1</v>
      </c>
      <c r="E1609" s="24">
        <f>16016.185*1.052</f>
        <v>16849.026620000001</v>
      </c>
      <c r="F1609" s="25">
        <f t="shared" si="28"/>
        <v>1685</v>
      </c>
    </row>
    <row r="1610" spans="1:6" x14ac:dyDescent="0.25">
      <c r="A1610" s="20" t="s">
        <v>443</v>
      </c>
      <c r="B1610" s="21" t="s">
        <v>444</v>
      </c>
      <c r="C1610" s="22" t="s">
        <v>171</v>
      </c>
      <c r="D1610" s="23">
        <v>0.1</v>
      </c>
      <c r="E1610" s="24">
        <f>14240.534*1.052</f>
        <v>14981.041768000001</v>
      </c>
      <c r="F1610" s="25">
        <f t="shared" si="28"/>
        <v>1498</v>
      </c>
    </row>
    <row r="1611" spans="1:6" x14ac:dyDescent="0.25">
      <c r="A1611" s="20" t="s">
        <v>461</v>
      </c>
      <c r="B1611" s="21" t="s">
        <v>462</v>
      </c>
      <c r="C1611" s="22" t="s">
        <v>171</v>
      </c>
      <c r="D1611" s="23">
        <v>0.1</v>
      </c>
      <c r="E1611" s="24">
        <f>18848.499*1.052</f>
        <v>19828.620948</v>
      </c>
      <c r="F1611" s="25">
        <f t="shared" si="28"/>
        <v>1983</v>
      </c>
    </row>
    <row r="1612" spans="1:6" x14ac:dyDescent="0.25">
      <c r="A1612" s="20" t="s">
        <v>463</v>
      </c>
      <c r="B1612" s="21" t="s">
        <v>464</v>
      </c>
      <c r="C1612" s="22" t="s">
        <v>171</v>
      </c>
      <c r="D1612" s="23">
        <v>0.05</v>
      </c>
      <c r="E1612" s="24">
        <f>30266.07*1.052</f>
        <v>31839.905640000001</v>
      </c>
      <c r="F1612" s="25">
        <f t="shared" si="28"/>
        <v>1592</v>
      </c>
    </row>
    <row r="1613" spans="1:6" x14ac:dyDescent="0.25">
      <c r="A1613" s="20" t="s">
        <v>465</v>
      </c>
      <c r="B1613" s="21" t="s">
        <v>466</v>
      </c>
      <c r="C1613" s="22" t="s">
        <v>171</v>
      </c>
      <c r="D1613" s="23">
        <v>0.05</v>
      </c>
      <c r="E1613" s="24">
        <f>30266.07*1.052</f>
        <v>31839.905640000001</v>
      </c>
      <c r="F1613" s="25">
        <f t="shared" si="28"/>
        <v>1592</v>
      </c>
    </row>
    <row r="1614" spans="1:6" x14ac:dyDescent="0.25">
      <c r="A1614" s="20" t="s">
        <v>467</v>
      </c>
      <c r="B1614" s="21" t="s">
        <v>468</v>
      </c>
      <c r="C1614" s="22" t="s">
        <v>171</v>
      </c>
      <c r="D1614" s="23">
        <v>0.05</v>
      </c>
      <c r="E1614" s="24">
        <f>18848.499*1.052</f>
        <v>19828.620948</v>
      </c>
      <c r="F1614" s="25">
        <f t="shared" si="28"/>
        <v>991</v>
      </c>
    </row>
    <row r="1615" spans="1:6" x14ac:dyDescent="0.25">
      <c r="A1615" s="20" t="s">
        <v>451</v>
      </c>
      <c r="B1615" s="21" t="s">
        <v>452</v>
      </c>
      <c r="C1615" s="22" t="s">
        <v>171</v>
      </c>
      <c r="D1615" s="23">
        <v>0.05</v>
      </c>
      <c r="E1615" s="24">
        <f>30266.07*1.052</f>
        <v>31839.905640000001</v>
      </c>
      <c r="F1615" s="25">
        <f t="shared" si="28"/>
        <v>1592</v>
      </c>
    </row>
    <row r="1616" spans="1:6" x14ac:dyDescent="0.25">
      <c r="A1616" s="20" t="s">
        <v>469</v>
      </c>
      <c r="B1616" s="21" t="s">
        <v>470</v>
      </c>
      <c r="C1616" s="22" t="s">
        <v>171</v>
      </c>
      <c r="D1616" s="23">
        <v>0.05</v>
      </c>
      <c r="E1616" s="24">
        <f>30266.07*1.052</f>
        <v>31839.905640000001</v>
      </c>
      <c r="F1616" s="25">
        <f t="shared" si="28"/>
        <v>1592</v>
      </c>
    </row>
    <row r="1617" spans="1:6" x14ac:dyDescent="0.25">
      <c r="A1617" s="20" t="s">
        <v>449</v>
      </c>
      <c r="B1617" s="21" t="s">
        <v>450</v>
      </c>
      <c r="C1617" s="22" t="s">
        <v>171</v>
      </c>
      <c r="D1617" s="23">
        <v>0.05</v>
      </c>
      <c r="E1617" s="24">
        <f>40460.738*1.052</f>
        <v>42564.696376</v>
      </c>
      <c r="F1617" s="25">
        <f t="shared" si="28"/>
        <v>2128</v>
      </c>
    </row>
    <row r="1618" spans="1:6" x14ac:dyDescent="0.25">
      <c r="A1618" s="20" t="s">
        <v>471</v>
      </c>
      <c r="B1618" s="21" t="s">
        <v>472</v>
      </c>
      <c r="C1618" s="22" t="s">
        <v>171</v>
      </c>
      <c r="D1618" s="23">
        <v>0.05</v>
      </c>
      <c r="E1618" s="24">
        <f>10589.488*1.052</f>
        <v>11140.141376</v>
      </c>
      <c r="F1618" s="25">
        <f t="shared" si="28"/>
        <v>557</v>
      </c>
    </row>
    <row r="1619" spans="1:6" x14ac:dyDescent="0.25">
      <c r="A1619" s="20" t="s">
        <v>382</v>
      </c>
      <c r="B1619" s="21" t="s">
        <v>383</v>
      </c>
      <c r="C1619" s="22" t="s">
        <v>171</v>
      </c>
      <c r="D1619" s="23">
        <v>2.1999999999999999E-2</v>
      </c>
      <c r="E1619" s="24">
        <f>50900*1.052</f>
        <v>53546.8</v>
      </c>
      <c r="F1619" s="25">
        <f t="shared" si="28"/>
        <v>1178</v>
      </c>
    </row>
    <row r="1620" spans="1:6" ht="14.25" thickBot="1" x14ac:dyDescent="0.3">
      <c r="A1620" s="20" t="s">
        <v>384</v>
      </c>
      <c r="B1620" s="21" t="s">
        <v>385</v>
      </c>
      <c r="C1620" s="22" t="s">
        <v>171</v>
      </c>
      <c r="D1620" s="23">
        <v>2.1999999999999999E-2</v>
      </c>
      <c r="E1620" s="24">
        <f>105565*1.052</f>
        <v>111054.38</v>
      </c>
      <c r="F1620" s="25">
        <f t="shared" si="28"/>
        <v>2443</v>
      </c>
    </row>
    <row r="1621" spans="1:6" ht="14.25" thickBot="1" x14ac:dyDescent="0.3">
      <c r="A1621" s="26" t="s">
        <v>175</v>
      </c>
      <c r="B1621" s="27"/>
      <c r="C1621" s="28">
        <v>87.609213661636204</v>
      </c>
      <c r="D1621" s="27"/>
      <c r="E1621" s="29" t="s">
        <v>148</v>
      </c>
      <c r="F1621" s="30">
        <f>SUM(F1607:F1620)</f>
        <v>50490</v>
      </c>
    </row>
    <row r="1622" spans="1:6" x14ac:dyDescent="0.25">
      <c r="A1622" s="16" t="s">
        <v>139</v>
      </c>
      <c r="B1622" s="17" t="s">
        <v>140</v>
      </c>
      <c r="C1622" s="18" t="s">
        <v>3</v>
      </c>
      <c r="D1622" s="18" t="s">
        <v>141</v>
      </c>
      <c r="E1622" s="18" t="s">
        <v>142</v>
      </c>
      <c r="F1622" s="19" t="s">
        <v>143</v>
      </c>
    </row>
    <row r="1623" spans="1:6" ht="14.25" thickBot="1" x14ac:dyDescent="0.3">
      <c r="A1623" s="20" t="s">
        <v>386</v>
      </c>
      <c r="B1623" s="21" t="s">
        <v>387</v>
      </c>
      <c r="C1623" s="22" t="s">
        <v>146</v>
      </c>
      <c r="D1623" s="23">
        <v>5.1334962406015046E-2</v>
      </c>
      <c r="E1623" s="24">
        <f>283800*$J$1</f>
        <v>320693.99999999994</v>
      </c>
      <c r="F1623" s="25">
        <f>ROUND(D1623*E1623,0)</f>
        <v>16463</v>
      </c>
    </row>
    <row r="1624" spans="1:6" ht="14.25" thickBot="1" x14ac:dyDescent="0.3">
      <c r="A1624" s="26" t="s">
        <v>147</v>
      </c>
      <c r="B1624" s="27"/>
      <c r="C1624" s="28">
        <v>11.800748893679801</v>
      </c>
      <c r="D1624" s="27"/>
      <c r="E1624" s="29" t="s">
        <v>148</v>
      </c>
      <c r="F1624" s="30">
        <f>SUM(F1623)</f>
        <v>16463</v>
      </c>
    </row>
    <row r="1625" spans="1:6" x14ac:dyDescent="0.25">
      <c r="A1625" s="16" t="s">
        <v>139</v>
      </c>
      <c r="B1625" s="17" t="s">
        <v>149</v>
      </c>
      <c r="C1625" s="18" t="s">
        <v>3</v>
      </c>
      <c r="D1625" s="18" t="s">
        <v>141</v>
      </c>
      <c r="E1625" s="18" t="s">
        <v>142</v>
      </c>
      <c r="F1625" s="19" t="s">
        <v>143</v>
      </c>
    </row>
    <row r="1626" spans="1:6" ht="14.25" thickBot="1" x14ac:dyDescent="0.3">
      <c r="A1626" s="20" t="s">
        <v>150</v>
      </c>
      <c r="B1626" s="21" t="s">
        <v>151</v>
      </c>
      <c r="C1626" s="22" t="s">
        <v>152</v>
      </c>
      <c r="D1626" s="23">
        <v>0.05</v>
      </c>
      <c r="E1626" s="24">
        <f>F1624</f>
        <v>16463</v>
      </c>
      <c r="F1626" s="25">
        <f>ROUND(D1626*E1626,0)</f>
        <v>823</v>
      </c>
    </row>
    <row r="1627" spans="1:6" ht="14.25" thickBot="1" x14ac:dyDescent="0.3">
      <c r="A1627" s="26" t="s">
        <v>153</v>
      </c>
      <c r="B1627" s="27"/>
      <c r="C1627" s="28">
        <v>0.59003744468399</v>
      </c>
      <c r="D1627" s="27"/>
      <c r="E1627" s="29" t="s">
        <v>148</v>
      </c>
      <c r="F1627" s="30">
        <f>SUM(F1626)</f>
        <v>823</v>
      </c>
    </row>
    <row r="1628" spans="1:6" x14ac:dyDescent="0.25">
      <c r="A1628" s="20" t="s">
        <v>184</v>
      </c>
      <c r="B1628" s="21" t="s">
        <v>185</v>
      </c>
      <c r="C1628" s="22" t="s">
        <v>171</v>
      </c>
      <c r="D1628" s="23">
        <v>0.2</v>
      </c>
      <c r="E1628" s="24">
        <f>2140*1.052</f>
        <v>2251.2800000000002</v>
      </c>
      <c r="F1628" s="25">
        <f>ROUND(D1628*E1628,0)</f>
        <v>450</v>
      </c>
    </row>
    <row r="1629" spans="1:6" ht="14.25" thickBot="1" x14ac:dyDescent="0.3">
      <c r="A1629" s="34" t="s">
        <v>191</v>
      </c>
      <c r="B1629" s="35" t="s">
        <v>192</v>
      </c>
      <c r="C1629" s="36" t="s">
        <v>193</v>
      </c>
      <c r="D1629" s="37">
        <f>+(SUM(D1607:D1618))*2/1000</f>
        <v>3.7333400000000012E-3</v>
      </c>
      <c r="E1629" s="38">
        <f>176630*1.052</f>
        <v>185814.76</v>
      </c>
      <c r="F1629" s="25">
        <f>ROUND(D1629*E1629,0)</f>
        <v>694</v>
      </c>
    </row>
    <row r="1630" spans="1:6" ht="14.25" thickBot="1" x14ac:dyDescent="0.3">
      <c r="A1630" s="26"/>
      <c r="B1630" s="27"/>
      <c r="C1630" s="28"/>
      <c r="D1630" s="27"/>
      <c r="E1630" s="29" t="s">
        <v>148</v>
      </c>
      <c r="F1630" s="30">
        <f>SUM(F1628:F1629)</f>
        <v>1144</v>
      </c>
    </row>
    <row r="1631" spans="1:6" ht="15.75" thickBot="1" x14ac:dyDescent="0.3">
      <c r="A1631" s="180" t="s">
        <v>168</v>
      </c>
      <c r="B1631" s="181"/>
      <c r="C1631" s="181"/>
      <c r="D1631" s="181"/>
      <c r="E1631" s="182">
        <f>+F1621+F1624+F1627+F1630</f>
        <v>68920</v>
      </c>
      <c r="F1631" s="183"/>
    </row>
    <row r="1632" spans="1:6" x14ac:dyDescent="0.25">
      <c r="A1632" s="31"/>
      <c r="F1632" s="32"/>
    </row>
    <row r="1633" spans="1:6" ht="15.75" x14ac:dyDescent="0.25">
      <c r="A1633" s="184" t="s">
        <v>136</v>
      </c>
      <c r="B1633" s="185"/>
      <c r="C1633" s="185"/>
      <c r="D1633" s="185"/>
      <c r="E1633" s="185"/>
      <c r="F1633" s="186"/>
    </row>
    <row r="1634" spans="1:6" x14ac:dyDescent="0.25">
      <c r="A1634" s="174" t="str">
        <f>+'RESUMEN APUS'!B92</f>
        <v>Suministro, transporte e instalación de REJILLA METÁLICA DE PISO combinada Aluminio/bronce DE 3x2" para desagüe de 2". Incluye suministro y transporte de los materiales y todos los elementos necesarios para su correcta instalación.</v>
      </c>
      <c r="B1634" s="175"/>
      <c r="C1634" s="175"/>
      <c r="D1634" s="176"/>
      <c r="E1634" s="12" t="s">
        <v>137</v>
      </c>
      <c r="F1634" s="13" t="s">
        <v>3</v>
      </c>
    </row>
    <row r="1635" spans="1:6" x14ac:dyDescent="0.25">
      <c r="A1635" s="177"/>
      <c r="B1635" s="178"/>
      <c r="C1635" s="178"/>
      <c r="D1635" s="179"/>
      <c r="E1635" s="14" t="s">
        <v>116</v>
      </c>
      <c r="F1635" s="15" t="s">
        <v>171</v>
      </c>
    </row>
    <row r="1636" spans="1:6" x14ac:dyDescent="0.25">
      <c r="A1636" s="16" t="s">
        <v>139</v>
      </c>
      <c r="B1636" s="17" t="s">
        <v>172</v>
      </c>
      <c r="C1636" s="18" t="s">
        <v>3</v>
      </c>
      <c r="D1636" s="18" t="s">
        <v>141</v>
      </c>
      <c r="E1636" s="18" t="s">
        <v>142</v>
      </c>
      <c r="F1636" s="19" t="s">
        <v>143</v>
      </c>
    </row>
    <row r="1637" spans="1:6" x14ac:dyDescent="0.25">
      <c r="A1637" s="20" t="s">
        <v>473</v>
      </c>
      <c r="B1637" s="21" t="s">
        <v>474</v>
      </c>
      <c r="C1637" s="22" t="s">
        <v>171</v>
      </c>
      <c r="D1637" s="23">
        <v>1</v>
      </c>
      <c r="E1637" s="24">
        <f>20735*1.052</f>
        <v>21813.22</v>
      </c>
      <c r="F1637" s="25">
        <f>ROUND(D1637*E1637,0)</f>
        <v>21813</v>
      </c>
    </row>
    <row r="1638" spans="1:6" ht="14.25" thickBot="1" x14ac:dyDescent="0.3">
      <c r="A1638" s="20" t="s">
        <v>330</v>
      </c>
      <c r="B1638" s="21" t="s">
        <v>331</v>
      </c>
      <c r="C1638" s="22" t="s">
        <v>202</v>
      </c>
      <c r="D1638" s="23">
        <v>0.12</v>
      </c>
      <c r="E1638" s="24">
        <f>2364.764*1.052</f>
        <v>2487.7317280000002</v>
      </c>
      <c r="F1638" s="25">
        <f>ROUND(D1638*E1638,0)</f>
        <v>299</v>
      </c>
    </row>
    <row r="1639" spans="1:6" ht="14.25" thickBot="1" x14ac:dyDescent="0.3">
      <c r="A1639" s="26" t="s">
        <v>175</v>
      </c>
      <c r="B1639" s="27"/>
      <c r="C1639" s="28">
        <v>48.684092068541197</v>
      </c>
      <c r="D1639" s="27"/>
      <c r="E1639" s="29" t="s">
        <v>148</v>
      </c>
      <c r="F1639" s="30">
        <f>SUM(F1637:F1638)</f>
        <v>22112</v>
      </c>
    </row>
    <row r="1640" spans="1:6" x14ac:dyDescent="0.25">
      <c r="A1640" s="16" t="s">
        <v>139</v>
      </c>
      <c r="B1640" s="17" t="s">
        <v>140</v>
      </c>
      <c r="C1640" s="18" t="s">
        <v>3</v>
      </c>
      <c r="D1640" s="18" t="s">
        <v>141</v>
      </c>
      <c r="E1640" s="18" t="s">
        <v>142</v>
      </c>
      <c r="F1640" s="19" t="s">
        <v>143</v>
      </c>
    </row>
    <row r="1641" spans="1:6" ht="14.25" thickBot="1" x14ac:dyDescent="0.3">
      <c r="A1641" s="20" t="s">
        <v>475</v>
      </c>
      <c r="B1641" s="21" t="s">
        <v>476</v>
      </c>
      <c r="C1641" s="22" t="s">
        <v>146</v>
      </c>
      <c r="D1641" s="23">
        <v>0.12757068062827229</v>
      </c>
      <c r="E1641" s="24">
        <f>151633.089202223*1.23</f>
        <v>186508.69971873428</v>
      </c>
      <c r="F1641" s="25">
        <f>ROUND(D1641*E1641,0)</f>
        <v>23793</v>
      </c>
    </row>
    <row r="1642" spans="1:6" ht="14.25" thickBot="1" x14ac:dyDescent="0.3">
      <c r="A1642" s="26" t="s">
        <v>147</v>
      </c>
      <c r="B1642" s="27"/>
      <c r="C1642" s="28">
        <v>48.873150676709798</v>
      </c>
      <c r="D1642" s="27"/>
      <c r="E1642" s="29" t="s">
        <v>148</v>
      </c>
      <c r="F1642" s="30">
        <f>SUM(F1641)</f>
        <v>23793</v>
      </c>
    </row>
    <row r="1643" spans="1:6" x14ac:dyDescent="0.25">
      <c r="A1643" s="16" t="s">
        <v>139</v>
      </c>
      <c r="B1643" s="17" t="s">
        <v>149</v>
      </c>
      <c r="C1643" s="18" t="s">
        <v>3</v>
      </c>
      <c r="D1643" s="18" t="s">
        <v>141</v>
      </c>
      <c r="E1643" s="18" t="s">
        <v>142</v>
      </c>
      <c r="F1643" s="19" t="s">
        <v>143</v>
      </c>
    </row>
    <row r="1644" spans="1:6" ht="14.25" thickBot="1" x14ac:dyDescent="0.3">
      <c r="A1644" s="20" t="s">
        <v>150</v>
      </c>
      <c r="B1644" s="21" t="s">
        <v>151</v>
      </c>
      <c r="C1644" s="22" t="s">
        <v>152</v>
      </c>
      <c r="D1644" s="23">
        <v>0.05</v>
      </c>
      <c r="E1644" s="24">
        <f>F1642</f>
        <v>23793</v>
      </c>
      <c r="F1644" s="25">
        <f>ROUND(D1644*E1644,0)</f>
        <v>1190</v>
      </c>
    </row>
    <row r="1645" spans="1:6" ht="14.25" thickBot="1" x14ac:dyDescent="0.3">
      <c r="A1645" s="26"/>
      <c r="B1645" s="27"/>
      <c r="C1645" s="28"/>
      <c r="D1645" s="27"/>
      <c r="E1645" s="29" t="s">
        <v>148</v>
      </c>
      <c r="F1645" s="30">
        <f>SUM(F1644)</f>
        <v>1190</v>
      </c>
    </row>
    <row r="1646" spans="1:6" ht="15.75" thickBot="1" x14ac:dyDescent="0.3">
      <c r="A1646" s="180" t="s">
        <v>168</v>
      </c>
      <c r="B1646" s="181"/>
      <c r="C1646" s="181"/>
      <c r="D1646" s="181"/>
      <c r="E1646" s="182">
        <f>+F1639+F1642+F1645</f>
        <v>47095</v>
      </c>
      <c r="F1646" s="183"/>
    </row>
    <row r="1647" spans="1:6" x14ac:dyDescent="0.25">
      <c r="A1647" s="31"/>
      <c r="F1647" s="32"/>
    </row>
    <row r="1648" spans="1:6" ht="15.75" x14ac:dyDescent="0.25">
      <c r="A1648" s="184" t="s">
        <v>136</v>
      </c>
      <c r="B1648" s="185"/>
      <c r="C1648" s="185"/>
      <c r="D1648" s="185"/>
      <c r="E1648" s="185"/>
      <c r="F1648" s="186"/>
    </row>
    <row r="1649" spans="1:6" x14ac:dyDescent="0.25">
      <c r="A1649" s="174" t="str">
        <f>+'RESUMEN APUS'!B93</f>
        <v>Suministro, transporte e instalación de REJILLA METÁLICA DE PISO combinada Aluminio/bronce DE 4x3" para desagüe de 3". Incluye suministro y transporte de los materiales y todos los elementos necesarios para su correcta instalación.</v>
      </c>
      <c r="B1649" s="175"/>
      <c r="C1649" s="175"/>
      <c r="D1649" s="176"/>
      <c r="E1649" s="12" t="s">
        <v>137</v>
      </c>
      <c r="F1649" s="13" t="s">
        <v>3</v>
      </c>
    </row>
    <row r="1650" spans="1:6" x14ac:dyDescent="0.25">
      <c r="A1650" s="177"/>
      <c r="B1650" s="178"/>
      <c r="C1650" s="178"/>
      <c r="D1650" s="179"/>
      <c r="E1650" s="14" t="s">
        <v>118</v>
      </c>
      <c r="F1650" s="15" t="s">
        <v>171</v>
      </c>
    </row>
    <row r="1651" spans="1:6" x14ac:dyDescent="0.25">
      <c r="A1651" s="16" t="s">
        <v>139</v>
      </c>
      <c r="B1651" s="17" t="s">
        <v>172</v>
      </c>
      <c r="C1651" s="18" t="s">
        <v>3</v>
      </c>
      <c r="D1651" s="18" t="s">
        <v>141</v>
      </c>
      <c r="E1651" s="18" t="s">
        <v>142</v>
      </c>
      <c r="F1651" s="19" t="s">
        <v>143</v>
      </c>
    </row>
    <row r="1652" spans="1:6" x14ac:dyDescent="0.25">
      <c r="A1652" s="20" t="s">
        <v>477</v>
      </c>
      <c r="B1652" s="21" t="s">
        <v>478</v>
      </c>
      <c r="C1652" s="22" t="s">
        <v>171</v>
      </c>
      <c r="D1652" s="23">
        <v>1</v>
      </c>
      <c r="E1652" s="24">
        <f>23885.012378677*1.052</f>
        <v>25127.033022368203</v>
      </c>
      <c r="F1652" s="25">
        <f>ROUND(D1652*E1652,0)</f>
        <v>25127</v>
      </c>
    </row>
    <row r="1653" spans="1:6" ht="14.25" thickBot="1" x14ac:dyDescent="0.3">
      <c r="A1653" s="20" t="s">
        <v>330</v>
      </c>
      <c r="B1653" s="21" t="s">
        <v>331</v>
      </c>
      <c r="C1653" s="22" t="s">
        <v>202</v>
      </c>
      <c r="D1653" s="23">
        <v>0.12</v>
      </c>
      <c r="E1653" s="24">
        <f>2364.764*1.052</f>
        <v>2487.7317280000002</v>
      </c>
      <c r="F1653" s="25">
        <f>ROUND(D1653*E1653,0)</f>
        <v>299</v>
      </c>
    </row>
    <row r="1654" spans="1:6" ht="14.25" thickBot="1" x14ac:dyDescent="0.3">
      <c r="A1654" s="26" t="s">
        <v>175</v>
      </c>
      <c r="B1654" s="27"/>
      <c r="C1654" s="28">
        <v>60.529049234817499</v>
      </c>
      <c r="D1654" s="27"/>
      <c r="E1654" s="29" t="s">
        <v>148</v>
      </c>
      <c r="F1654" s="30">
        <f>SUM(F1652:F1653)</f>
        <v>25426</v>
      </c>
    </row>
    <row r="1655" spans="1:6" x14ac:dyDescent="0.25">
      <c r="A1655" s="16" t="s">
        <v>139</v>
      </c>
      <c r="B1655" s="17" t="s">
        <v>140</v>
      </c>
      <c r="C1655" s="18" t="s">
        <v>3</v>
      </c>
      <c r="D1655" s="18" t="s">
        <v>141</v>
      </c>
      <c r="E1655" s="18" t="s">
        <v>142</v>
      </c>
      <c r="F1655" s="19" t="s">
        <v>143</v>
      </c>
    </row>
    <row r="1656" spans="1:6" ht="14.25" thickBot="1" x14ac:dyDescent="0.3">
      <c r="A1656" s="20" t="s">
        <v>475</v>
      </c>
      <c r="B1656" s="21" t="s">
        <v>476</v>
      </c>
      <c r="C1656" s="22" t="s">
        <v>146</v>
      </c>
      <c r="D1656" s="23">
        <v>0.12757068062827229</v>
      </c>
      <c r="E1656" s="24">
        <f>151633.089202223*1.23</f>
        <v>186508.69971873428</v>
      </c>
      <c r="F1656" s="25">
        <f>ROUND(D1656*E1656,0)</f>
        <v>23793</v>
      </c>
    </row>
    <row r="1657" spans="1:6" ht="14.25" thickBot="1" x14ac:dyDescent="0.3">
      <c r="A1657" s="26" t="s">
        <v>147</v>
      </c>
      <c r="B1657" s="27"/>
      <c r="C1657" s="28">
        <v>37.592041179050398</v>
      </c>
      <c r="D1657" s="27"/>
      <c r="E1657" s="29" t="s">
        <v>148</v>
      </c>
      <c r="F1657" s="30">
        <f>SUM(F1656)</f>
        <v>23793</v>
      </c>
    </row>
    <row r="1658" spans="1:6" x14ac:dyDescent="0.25">
      <c r="A1658" s="16" t="s">
        <v>139</v>
      </c>
      <c r="B1658" s="17" t="s">
        <v>149</v>
      </c>
      <c r="C1658" s="18" t="s">
        <v>3</v>
      </c>
      <c r="D1658" s="18" t="s">
        <v>141</v>
      </c>
      <c r="E1658" s="18" t="s">
        <v>142</v>
      </c>
      <c r="F1658" s="19" t="s">
        <v>143</v>
      </c>
    </row>
    <row r="1659" spans="1:6" ht="14.25" thickBot="1" x14ac:dyDescent="0.3">
      <c r="A1659" s="20" t="s">
        <v>150</v>
      </c>
      <c r="B1659" s="21" t="s">
        <v>151</v>
      </c>
      <c r="C1659" s="22" t="s">
        <v>152</v>
      </c>
      <c r="D1659" s="23">
        <v>0.05</v>
      </c>
      <c r="E1659" s="24">
        <f>F1657</f>
        <v>23793</v>
      </c>
      <c r="F1659" s="25">
        <f>ROUND(D1659*E1659,0)</f>
        <v>1190</v>
      </c>
    </row>
    <row r="1660" spans="1:6" ht="14.25" thickBot="1" x14ac:dyDescent="0.3">
      <c r="A1660" s="26"/>
      <c r="B1660" s="27"/>
      <c r="C1660" s="28"/>
      <c r="D1660" s="27"/>
      <c r="E1660" s="29" t="s">
        <v>148</v>
      </c>
      <c r="F1660" s="30">
        <f>SUM(F1659)</f>
        <v>1190</v>
      </c>
    </row>
    <row r="1661" spans="1:6" ht="15.75" thickBot="1" x14ac:dyDescent="0.3">
      <c r="A1661" s="180" t="s">
        <v>168</v>
      </c>
      <c r="B1661" s="181"/>
      <c r="C1661" s="181"/>
      <c r="D1661" s="181"/>
      <c r="E1661" s="182">
        <f>+F1654+F1657+F1660</f>
        <v>50409</v>
      </c>
      <c r="F1661" s="183"/>
    </row>
    <row r="1662" spans="1:6" x14ac:dyDescent="0.25">
      <c r="A1662" s="31"/>
      <c r="F1662" s="32"/>
    </row>
    <row r="1663" spans="1:6" ht="15.75" x14ac:dyDescent="0.25">
      <c r="A1663" s="184" t="s">
        <v>136</v>
      </c>
      <c r="B1663" s="185"/>
      <c r="C1663" s="185"/>
      <c r="D1663" s="185"/>
      <c r="E1663" s="185"/>
      <c r="F1663" s="186"/>
    </row>
    <row r="1664" spans="1:6" x14ac:dyDescent="0.25">
      <c r="A1664" s="174" t="str">
        <f>+'RESUMEN APUS'!B94</f>
        <v>KIT SÉPTICO: Trampa de Grasa 250 Lt, Tanque 500 Lt, FAFA 500 Lt. Incluye la excavación, suministro e instalación de todos los accesorios y materiales necesarios para su correcta instalación que se encontraran dispuestos en el sitio del proyecto.</v>
      </c>
      <c r="B1664" s="175"/>
      <c r="C1664" s="175"/>
      <c r="D1664" s="176"/>
      <c r="E1664" s="12" t="s">
        <v>137</v>
      </c>
      <c r="F1664" s="13" t="s">
        <v>3</v>
      </c>
    </row>
    <row r="1665" spans="1:6" x14ac:dyDescent="0.25">
      <c r="A1665" s="177"/>
      <c r="B1665" s="178"/>
      <c r="C1665" s="178"/>
      <c r="D1665" s="179"/>
      <c r="E1665" s="14" t="s">
        <v>120</v>
      </c>
      <c r="F1665" s="15" t="s">
        <v>171</v>
      </c>
    </row>
    <row r="1666" spans="1:6" x14ac:dyDescent="0.25">
      <c r="A1666" s="16" t="s">
        <v>139</v>
      </c>
      <c r="B1666" s="17" t="s">
        <v>172</v>
      </c>
      <c r="C1666" s="18" t="s">
        <v>3</v>
      </c>
      <c r="D1666" s="18" t="s">
        <v>141</v>
      </c>
      <c r="E1666" s="18" t="s">
        <v>142</v>
      </c>
      <c r="F1666" s="19" t="s">
        <v>143</v>
      </c>
    </row>
    <row r="1667" spans="1:6" x14ac:dyDescent="0.25">
      <c r="A1667" s="20" t="s">
        <v>441</v>
      </c>
      <c r="B1667" s="21" t="s">
        <v>442</v>
      </c>
      <c r="C1667" s="22" t="s">
        <v>86</v>
      </c>
      <c r="D1667" s="23">
        <v>4</v>
      </c>
      <c r="E1667" s="24">
        <f>27341.285*1.052</f>
        <v>28763.03182</v>
      </c>
      <c r="F1667" s="25">
        <f t="shared" ref="F1667:F1684" si="29">ROUND(D1667*E1667,0)</f>
        <v>115052</v>
      </c>
    </row>
    <row r="1668" spans="1:6" x14ac:dyDescent="0.25">
      <c r="A1668" s="20" t="s">
        <v>352</v>
      </c>
      <c r="B1668" s="21" t="s">
        <v>353</v>
      </c>
      <c r="C1668" s="22" t="s">
        <v>86</v>
      </c>
      <c r="D1668" s="23">
        <v>3</v>
      </c>
      <c r="E1668" s="24">
        <f>13195.3*1.052</f>
        <v>13881.455599999999</v>
      </c>
      <c r="F1668" s="25">
        <f t="shared" si="29"/>
        <v>41644</v>
      </c>
    </row>
    <row r="1669" spans="1:6" x14ac:dyDescent="0.25">
      <c r="A1669" s="20" t="s">
        <v>362</v>
      </c>
      <c r="B1669" s="21" t="s">
        <v>363</v>
      </c>
      <c r="C1669" s="22" t="s">
        <v>86</v>
      </c>
      <c r="D1669" s="23">
        <v>3</v>
      </c>
      <c r="E1669" s="24">
        <f>19657.88*1.052</f>
        <v>20680.089760000003</v>
      </c>
      <c r="F1669" s="25">
        <f t="shared" si="29"/>
        <v>62040</v>
      </c>
    </row>
    <row r="1670" spans="1:6" x14ac:dyDescent="0.25">
      <c r="A1670" s="20" t="s">
        <v>368</v>
      </c>
      <c r="B1670" s="21" t="s">
        <v>369</v>
      </c>
      <c r="C1670" s="22" t="s">
        <v>171</v>
      </c>
      <c r="D1670" s="23">
        <v>1</v>
      </c>
      <c r="E1670" s="24">
        <f>8272.518*1.052</f>
        <v>8702.6889360000005</v>
      </c>
      <c r="F1670" s="25">
        <f t="shared" si="29"/>
        <v>8703</v>
      </c>
    </row>
    <row r="1671" spans="1:6" x14ac:dyDescent="0.25">
      <c r="A1671" s="20" t="s">
        <v>443</v>
      </c>
      <c r="B1671" s="21" t="s">
        <v>444</v>
      </c>
      <c r="C1671" s="22" t="s">
        <v>171</v>
      </c>
      <c r="D1671" s="23">
        <v>2</v>
      </c>
      <c r="E1671" s="24">
        <f>14240.534*1.052</f>
        <v>14981.041768000001</v>
      </c>
      <c r="F1671" s="25">
        <f t="shared" si="29"/>
        <v>29962</v>
      </c>
    </row>
    <row r="1672" spans="1:6" x14ac:dyDescent="0.25">
      <c r="A1672" s="20" t="s">
        <v>429</v>
      </c>
      <c r="B1672" s="21" t="s">
        <v>430</v>
      </c>
      <c r="C1672" s="22" t="s">
        <v>171</v>
      </c>
      <c r="D1672" s="23">
        <v>1</v>
      </c>
      <c r="E1672" s="24">
        <f>3577.277*1.052</f>
        <v>3763.2954040000004</v>
      </c>
      <c r="F1672" s="25">
        <f t="shared" si="29"/>
        <v>3763</v>
      </c>
    </row>
    <row r="1673" spans="1:6" x14ac:dyDescent="0.25">
      <c r="A1673" s="20" t="s">
        <v>457</v>
      </c>
      <c r="B1673" s="21" t="s">
        <v>458</v>
      </c>
      <c r="C1673" s="22" t="s">
        <v>171</v>
      </c>
      <c r="D1673" s="23">
        <v>1</v>
      </c>
      <c r="E1673" s="24">
        <f>7278.195*1.052</f>
        <v>7656.6611400000002</v>
      </c>
      <c r="F1673" s="25">
        <f t="shared" si="29"/>
        <v>7657</v>
      </c>
    </row>
    <row r="1674" spans="1:6" x14ac:dyDescent="0.25">
      <c r="A1674" s="20" t="s">
        <v>467</v>
      </c>
      <c r="B1674" s="21" t="s">
        <v>468</v>
      </c>
      <c r="C1674" s="22" t="s">
        <v>171</v>
      </c>
      <c r="D1674" s="23">
        <v>2</v>
      </c>
      <c r="E1674" s="24">
        <f>18848.499*1.052</f>
        <v>19828.620948</v>
      </c>
      <c r="F1674" s="25">
        <f t="shared" si="29"/>
        <v>39657</v>
      </c>
    </row>
    <row r="1675" spans="1:6" x14ac:dyDescent="0.25">
      <c r="A1675" s="20" t="s">
        <v>449</v>
      </c>
      <c r="B1675" s="21" t="s">
        <v>450</v>
      </c>
      <c r="C1675" s="22" t="s">
        <v>171</v>
      </c>
      <c r="D1675" s="23">
        <v>1</v>
      </c>
      <c r="E1675" s="24">
        <f>40460.738*1.052</f>
        <v>42564.696376</v>
      </c>
      <c r="F1675" s="25">
        <f t="shared" si="29"/>
        <v>42565</v>
      </c>
    </row>
    <row r="1676" spans="1:6" x14ac:dyDescent="0.25">
      <c r="A1676" s="20" t="s">
        <v>479</v>
      </c>
      <c r="B1676" s="21" t="s">
        <v>480</v>
      </c>
      <c r="C1676" s="22" t="s">
        <v>171</v>
      </c>
      <c r="D1676" s="23">
        <v>2</v>
      </c>
      <c r="E1676" s="24">
        <f>21084.427*1.052</f>
        <v>22180.817203999999</v>
      </c>
      <c r="F1676" s="25">
        <f t="shared" si="29"/>
        <v>44362</v>
      </c>
    </row>
    <row r="1677" spans="1:6" x14ac:dyDescent="0.25">
      <c r="A1677" s="20" t="s">
        <v>481</v>
      </c>
      <c r="B1677" s="21" t="s">
        <v>482</v>
      </c>
      <c r="C1677" s="22" t="s">
        <v>171</v>
      </c>
      <c r="D1677" s="23">
        <v>1</v>
      </c>
      <c r="E1677" s="24">
        <f>22754.1*1.052</f>
        <v>23937.313200000001</v>
      </c>
      <c r="F1677" s="25">
        <f t="shared" si="29"/>
        <v>23937</v>
      </c>
    </row>
    <row r="1678" spans="1:6" x14ac:dyDescent="0.25">
      <c r="A1678" s="20" t="s">
        <v>431</v>
      </c>
      <c r="B1678" s="21" t="s">
        <v>432</v>
      </c>
      <c r="C1678" s="22" t="s">
        <v>171</v>
      </c>
      <c r="D1678" s="23">
        <v>1</v>
      </c>
      <c r="E1678" s="24">
        <f>1340.31*1.052</f>
        <v>1410.00612</v>
      </c>
      <c r="F1678" s="25">
        <f t="shared" si="29"/>
        <v>1410</v>
      </c>
    </row>
    <row r="1679" spans="1:6" x14ac:dyDescent="0.25">
      <c r="A1679" s="20" t="s">
        <v>483</v>
      </c>
      <c r="B1679" s="21" t="s">
        <v>484</v>
      </c>
      <c r="C1679" s="22" t="s">
        <v>171</v>
      </c>
      <c r="D1679" s="23">
        <v>200</v>
      </c>
      <c r="E1679" s="24">
        <f>1558.5*1.052</f>
        <v>1639.5420000000001</v>
      </c>
      <c r="F1679" s="33">
        <f t="shared" si="29"/>
        <v>327908</v>
      </c>
    </row>
    <row r="1680" spans="1:6" x14ac:dyDescent="0.25">
      <c r="A1680" s="20" t="s">
        <v>439</v>
      </c>
      <c r="B1680" s="21" t="s">
        <v>440</v>
      </c>
      <c r="C1680" s="22" t="s">
        <v>171</v>
      </c>
      <c r="D1680" s="23">
        <v>3</v>
      </c>
      <c r="E1680" s="24">
        <f>1702.921*1.052</f>
        <v>1791.4728920000002</v>
      </c>
      <c r="F1680" s="25">
        <f t="shared" si="29"/>
        <v>5374</v>
      </c>
    </row>
    <row r="1681" spans="1:6" x14ac:dyDescent="0.25">
      <c r="A1681" s="20" t="s">
        <v>485</v>
      </c>
      <c r="B1681" s="21" t="s">
        <v>486</v>
      </c>
      <c r="C1681" s="22" t="s">
        <v>171</v>
      </c>
      <c r="D1681" s="23">
        <v>1</v>
      </c>
      <c r="E1681" s="24">
        <f>1354362.00561051*1.052</f>
        <v>1424788.8299022566</v>
      </c>
      <c r="F1681" s="33">
        <f t="shared" si="29"/>
        <v>1424789</v>
      </c>
    </row>
    <row r="1682" spans="1:6" x14ac:dyDescent="0.25">
      <c r="A1682" s="20" t="s">
        <v>487</v>
      </c>
      <c r="B1682" s="21" t="s">
        <v>488</v>
      </c>
      <c r="C1682" s="22" t="s">
        <v>171</v>
      </c>
      <c r="D1682" s="23">
        <v>1</v>
      </c>
      <c r="E1682" s="24">
        <f>400688.272*1.052</f>
        <v>421524.06214400003</v>
      </c>
      <c r="F1682" s="25">
        <f t="shared" si="29"/>
        <v>421524</v>
      </c>
    </row>
    <row r="1683" spans="1:6" x14ac:dyDescent="0.25">
      <c r="A1683" s="20" t="s">
        <v>489</v>
      </c>
      <c r="B1683" s="21" t="s">
        <v>490</v>
      </c>
      <c r="C1683" s="22" t="s">
        <v>491</v>
      </c>
      <c r="D1683" s="23">
        <v>1</v>
      </c>
      <c r="E1683" s="24">
        <f>77925*1.052</f>
        <v>81977.100000000006</v>
      </c>
      <c r="F1683" s="33">
        <f t="shared" si="29"/>
        <v>81977</v>
      </c>
    </row>
    <row r="1684" spans="1:6" ht="14.25" thickBot="1" x14ac:dyDescent="0.3">
      <c r="A1684" s="20" t="s">
        <v>180</v>
      </c>
      <c r="B1684" s="21" t="s">
        <v>181</v>
      </c>
      <c r="C1684" s="22" t="s">
        <v>171</v>
      </c>
      <c r="D1684" s="23">
        <v>30</v>
      </c>
      <c r="E1684" s="24">
        <f>1350.7*1.052</f>
        <v>1420.9364</v>
      </c>
      <c r="F1684" s="25">
        <f t="shared" si="29"/>
        <v>42628</v>
      </c>
    </row>
    <row r="1685" spans="1:6" ht="14.25" thickBot="1" x14ac:dyDescent="0.3">
      <c r="A1685" s="26" t="s">
        <v>175</v>
      </c>
      <c r="B1685" s="27"/>
      <c r="C1685" s="28">
        <v>73.209093463047097</v>
      </c>
      <c r="D1685" s="27"/>
      <c r="E1685" s="29" t="s">
        <v>148</v>
      </c>
      <c r="F1685" s="30">
        <f>SUM(F1667:F1684)</f>
        <v>2724952</v>
      </c>
    </row>
    <row r="1686" spans="1:6" x14ac:dyDescent="0.25">
      <c r="A1686" s="16" t="s">
        <v>139</v>
      </c>
      <c r="B1686" s="17" t="s">
        <v>140</v>
      </c>
      <c r="C1686" s="18" t="s">
        <v>3</v>
      </c>
      <c r="D1686" s="18" t="s">
        <v>141</v>
      </c>
      <c r="E1686" s="18" t="s">
        <v>142</v>
      </c>
      <c r="F1686" s="19" t="s">
        <v>143</v>
      </c>
    </row>
    <row r="1687" spans="1:6" ht="14.25" thickBot="1" x14ac:dyDescent="0.3">
      <c r="A1687" s="20" t="s">
        <v>189</v>
      </c>
      <c r="B1687" s="21" t="s">
        <v>190</v>
      </c>
      <c r="C1687" s="22" t="s">
        <v>146</v>
      </c>
      <c r="D1687" s="23">
        <v>2.5</v>
      </c>
      <c r="E1687" s="24">
        <f>283800*$J$1</f>
        <v>320693.99999999994</v>
      </c>
      <c r="F1687" s="25">
        <f>ROUND(D1687*E1687,0)</f>
        <v>801735</v>
      </c>
    </row>
    <row r="1688" spans="1:6" ht="14.25" thickBot="1" x14ac:dyDescent="0.3">
      <c r="A1688" s="26" t="s">
        <v>147</v>
      </c>
      <c r="B1688" s="27"/>
      <c r="C1688" s="28">
        <v>19.6974221343783</v>
      </c>
      <c r="D1688" s="27"/>
      <c r="E1688" s="29" t="s">
        <v>148</v>
      </c>
      <c r="F1688" s="30">
        <f>SUM(F1687)</f>
        <v>801735</v>
      </c>
    </row>
    <row r="1689" spans="1:6" x14ac:dyDescent="0.25">
      <c r="A1689" s="16" t="s">
        <v>139</v>
      </c>
      <c r="B1689" s="17" t="s">
        <v>149</v>
      </c>
      <c r="C1689" s="18" t="s">
        <v>3</v>
      </c>
      <c r="D1689" s="18" t="s">
        <v>141</v>
      </c>
      <c r="E1689" s="18" t="s">
        <v>142</v>
      </c>
      <c r="F1689" s="19" t="s">
        <v>143</v>
      </c>
    </row>
    <row r="1690" spans="1:6" ht="14.25" thickBot="1" x14ac:dyDescent="0.3">
      <c r="A1690" s="20" t="s">
        <v>150</v>
      </c>
      <c r="B1690" s="21" t="s">
        <v>151</v>
      </c>
      <c r="C1690" s="22" t="s">
        <v>152</v>
      </c>
      <c r="D1690" s="23">
        <v>0.05</v>
      </c>
      <c r="E1690" s="24">
        <f>F1688</f>
        <v>801735</v>
      </c>
      <c r="F1690" s="25">
        <f>ROUND(D1690*E1690,0)</f>
        <v>40087</v>
      </c>
    </row>
    <row r="1691" spans="1:6" ht="14.25" thickBot="1" x14ac:dyDescent="0.3">
      <c r="A1691" s="26" t="s">
        <v>153</v>
      </c>
      <c r="B1691" s="27"/>
      <c r="C1691" s="28">
        <v>0.98485637879340704</v>
      </c>
      <c r="D1691" s="27"/>
      <c r="E1691" s="29" t="s">
        <v>148</v>
      </c>
      <c r="F1691" s="30">
        <f>SUM(F1690)</f>
        <v>40087</v>
      </c>
    </row>
    <row r="1692" spans="1:6" x14ac:dyDescent="0.25">
      <c r="A1692" s="16" t="s">
        <v>139</v>
      </c>
      <c r="B1692" s="17" t="s">
        <v>161</v>
      </c>
      <c r="C1692" s="18" t="s">
        <v>3</v>
      </c>
      <c r="D1692" s="18" t="s">
        <v>141</v>
      </c>
      <c r="E1692" s="18" t="s">
        <v>142</v>
      </c>
      <c r="F1692" s="19" t="s">
        <v>143</v>
      </c>
    </row>
    <row r="1693" spans="1:6" ht="27.75" thickBot="1" x14ac:dyDescent="0.3">
      <c r="A1693" s="20" t="s">
        <v>162</v>
      </c>
      <c r="B1693" s="21" t="s">
        <v>163</v>
      </c>
      <c r="C1693" s="22" t="s">
        <v>164</v>
      </c>
      <c r="D1693" s="23">
        <v>3</v>
      </c>
      <c r="E1693" s="24">
        <f>57458.778*1.052</f>
        <v>60446.634456</v>
      </c>
      <c r="F1693" s="25">
        <f>ROUND(D1693*E1693,0)</f>
        <v>181340</v>
      </c>
    </row>
    <row r="1694" spans="1:6" ht="14.25" thickBot="1" x14ac:dyDescent="0.3">
      <c r="A1694" s="26" t="s">
        <v>167</v>
      </c>
      <c r="B1694" s="27"/>
      <c r="C1694" s="28">
        <v>6.1086280237811801</v>
      </c>
      <c r="D1694" s="27"/>
      <c r="E1694" s="29" t="s">
        <v>148</v>
      </c>
      <c r="F1694" s="30">
        <f>SUM(F1693)</f>
        <v>181340</v>
      </c>
    </row>
    <row r="1695" spans="1:6" x14ac:dyDescent="0.25">
      <c r="A1695" s="20" t="s">
        <v>184</v>
      </c>
      <c r="B1695" s="21" t="s">
        <v>185</v>
      </c>
      <c r="C1695" s="22" t="s">
        <v>171</v>
      </c>
      <c r="D1695" s="23">
        <v>2</v>
      </c>
      <c r="E1695" s="24">
        <f>2140*1.052</f>
        <v>2251.2800000000002</v>
      </c>
      <c r="F1695" s="25">
        <f>ROUND(D1695*E1695,0)</f>
        <v>4503</v>
      </c>
    </row>
    <row r="1696" spans="1:6" ht="14.25" thickBot="1" x14ac:dyDescent="0.3">
      <c r="A1696" s="34" t="s">
        <v>191</v>
      </c>
      <c r="B1696" s="35" t="s">
        <v>192</v>
      </c>
      <c r="C1696" s="36" t="s">
        <v>193</v>
      </c>
      <c r="D1696" s="37">
        <f>+(500/1000)</f>
        <v>0.5</v>
      </c>
      <c r="E1696" s="38">
        <f>176630*1.052</f>
        <v>185814.76</v>
      </c>
      <c r="F1696" s="25">
        <f>ROUND(D1696*E1696,0)</f>
        <v>92907</v>
      </c>
    </row>
    <row r="1697" spans="1:6" ht="14.25" thickBot="1" x14ac:dyDescent="0.3">
      <c r="A1697" s="26"/>
      <c r="B1697" s="27"/>
      <c r="C1697" s="28"/>
      <c r="D1697" s="27"/>
      <c r="E1697" s="29" t="s">
        <v>148</v>
      </c>
      <c r="F1697" s="30">
        <f>SUM(F1695:F1696)</f>
        <v>97410</v>
      </c>
    </row>
    <row r="1698" spans="1:6" ht="15.75" thickBot="1" x14ac:dyDescent="0.3">
      <c r="A1698" s="171" t="s">
        <v>168</v>
      </c>
      <c r="B1698" s="172"/>
      <c r="C1698" s="172"/>
      <c r="D1698" s="173"/>
      <c r="E1698" s="158">
        <f>F1685+F1688+F1691+F1694+F1697</f>
        <v>3845524</v>
      </c>
      <c r="F1698" s="159"/>
    </row>
    <row r="1699" spans="1:6" x14ac:dyDescent="0.25">
      <c r="A1699" s="31"/>
      <c r="F1699" s="32"/>
    </row>
    <row r="1700" spans="1:6" ht="15.75" x14ac:dyDescent="0.25">
      <c r="A1700" s="184" t="s">
        <v>136</v>
      </c>
      <c r="B1700" s="185"/>
      <c r="C1700" s="185"/>
      <c r="D1700" s="185"/>
      <c r="E1700" s="185"/>
      <c r="F1700" s="186"/>
    </row>
    <row r="1701" spans="1:6" x14ac:dyDescent="0.25">
      <c r="A1701" s="174" t="str">
        <f>+'RESUMEN APUS'!B95</f>
        <v>Construcción en sitio de pozo de absorción de 1.50m de diámetro interno, profundidad de referencia de 2.0 m en mampostería, para disposición final de aguas provenientes de sistema séptico. Incluye excavación, lleno en gravilla, accesorios en PVC, concreto, formaletas, refuerzos, tapa y disposición de material de excavación.</v>
      </c>
      <c r="B1701" s="175"/>
      <c r="C1701" s="175"/>
      <c r="D1701" s="176"/>
      <c r="E1701" s="12" t="s">
        <v>137</v>
      </c>
      <c r="F1701" s="13" t="s">
        <v>3</v>
      </c>
    </row>
    <row r="1702" spans="1:6" x14ac:dyDescent="0.25">
      <c r="A1702" s="177"/>
      <c r="B1702" s="178"/>
      <c r="C1702" s="178"/>
      <c r="D1702" s="179"/>
      <c r="E1702" s="14">
        <v>11.12</v>
      </c>
      <c r="F1702" s="15" t="s">
        <v>171</v>
      </c>
    </row>
    <row r="1703" spans="1:6" x14ac:dyDescent="0.25">
      <c r="A1703" s="16" t="s">
        <v>139</v>
      </c>
      <c r="B1703" s="17" t="s">
        <v>172</v>
      </c>
      <c r="C1703" s="18" t="s">
        <v>3</v>
      </c>
      <c r="D1703" s="18" t="s">
        <v>141</v>
      </c>
      <c r="E1703" s="18" t="s">
        <v>142</v>
      </c>
      <c r="F1703" s="19" t="s">
        <v>143</v>
      </c>
    </row>
    <row r="1704" spans="1:6" ht="27" x14ac:dyDescent="0.25">
      <c r="A1704" s="20" t="s">
        <v>231</v>
      </c>
      <c r="B1704" s="21" t="s">
        <v>232</v>
      </c>
      <c r="C1704" s="22" t="s">
        <v>171</v>
      </c>
      <c r="D1704" s="23">
        <v>133</v>
      </c>
      <c r="E1704" s="24">
        <f>3428.7*1.052</f>
        <v>3606.9924000000001</v>
      </c>
      <c r="F1704" s="25">
        <f t="shared" ref="F1704:F1713" si="30">ROUND(D1704*E1704,0)</f>
        <v>479730</v>
      </c>
    </row>
    <row r="1705" spans="1:6" x14ac:dyDescent="0.25">
      <c r="A1705" s="20" t="s">
        <v>223</v>
      </c>
      <c r="B1705" s="21" t="s">
        <v>224</v>
      </c>
      <c r="C1705" s="22" t="s">
        <v>164</v>
      </c>
      <c r="D1705" s="23">
        <v>0.57999999999999996</v>
      </c>
      <c r="E1705" s="24">
        <f>427169.6*1.052</f>
        <v>449382.4192</v>
      </c>
      <c r="F1705" s="25">
        <f t="shared" si="30"/>
        <v>260642</v>
      </c>
    </row>
    <row r="1706" spans="1:6" x14ac:dyDescent="0.25">
      <c r="A1706" s="20" t="s">
        <v>210</v>
      </c>
      <c r="B1706" s="21" t="s">
        <v>211</v>
      </c>
      <c r="C1706" s="22" t="s">
        <v>202</v>
      </c>
      <c r="D1706" s="23">
        <v>7</v>
      </c>
      <c r="E1706" s="24">
        <f>5242*1.052</f>
        <v>5514.5839999999998</v>
      </c>
      <c r="F1706" s="25">
        <f t="shared" si="30"/>
        <v>38602</v>
      </c>
    </row>
    <row r="1707" spans="1:6" x14ac:dyDescent="0.25">
      <c r="A1707" s="20" t="s">
        <v>219</v>
      </c>
      <c r="B1707" s="21" t="s">
        <v>220</v>
      </c>
      <c r="C1707" s="22" t="s">
        <v>138</v>
      </c>
      <c r="D1707" s="23">
        <v>3.4</v>
      </c>
      <c r="E1707" s="24">
        <f>9386*1.052</f>
        <v>9874.0720000000001</v>
      </c>
      <c r="F1707" s="25">
        <f t="shared" si="30"/>
        <v>33572</v>
      </c>
    </row>
    <row r="1708" spans="1:6" x14ac:dyDescent="0.25">
      <c r="A1708" s="20" t="s">
        <v>198</v>
      </c>
      <c r="B1708" s="21" t="s">
        <v>199</v>
      </c>
      <c r="C1708" s="22" t="s">
        <v>164</v>
      </c>
      <c r="D1708" s="23">
        <v>0.5091</v>
      </c>
      <c r="E1708" s="24">
        <f>488520.9*1.052</f>
        <v>513923.98680000007</v>
      </c>
      <c r="F1708" s="25">
        <f t="shared" si="30"/>
        <v>261639</v>
      </c>
    </row>
    <row r="1709" spans="1:6" x14ac:dyDescent="0.25">
      <c r="A1709" s="20" t="s">
        <v>208</v>
      </c>
      <c r="B1709" s="21" t="s">
        <v>209</v>
      </c>
      <c r="C1709" s="22" t="s">
        <v>171</v>
      </c>
      <c r="D1709" s="23">
        <v>20</v>
      </c>
      <c r="E1709" s="24">
        <f>9247.1*1.052</f>
        <v>9727.9492000000009</v>
      </c>
      <c r="F1709" s="25">
        <f t="shared" si="30"/>
        <v>194559</v>
      </c>
    </row>
    <row r="1710" spans="1:6" x14ac:dyDescent="0.25">
      <c r="A1710" s="20" t="s">
        <v>441</v>
      </c>
      <c r="B1710" s="21" t="s">
        <v>442</v>
      </c>
      <c r="C1710" s="22" t="s">
        <v>86</v>
      </c>
      <c r="D1710" s="23">
        <v>3</v>
      </c>
      <c r="E1710" s="24">
        <f>27341.285*1.052</f>
        <v>28763.03182</v>
      </c>
      <c r="F1710" s="25">
        <f t="shared" si="30"/>
        <v>86289</v>
      </c>
    </row>
    <row r="1711" spans="1:6" x14ac:dyDescent="0.25">
      <c r="A1711" s="20" t="s">
        <v>443</v>
      </c>
      <c r="B1711" s="21" t="s">
        <v>444</v>
      </c>
      <c r="C1711" s="22" t="s">
        <v>171</v>
      </c>
      <c r="D1711" s="23">
        <v>1</v>
      </c>
      <c r="E1711" s="24">
        <f>14240.534*1.052</f>
        <v>14981.041768000001</v>
      </c>
      <c r="F1711" s="25">
        <f t="shared" si="30"/>
        <v>14981</v>
      </c>
    </row>
    <row r="1712" spans="1:6" x14ac:dyDescent="0.25">
      <c r="A1712" s="20" t="s">
        <v>180</v>
      </c>
      <c r="B1712" s="21" t="s">
        <v>181</v>
      </c>
      <c r="C1712" s="22" t="s">
        <v>171</v>
      </c>
      <c r="D1712" s="23">
        <v>147</v>
      </c>
      <c r="E1712" s="24">
        <f>1350.7*1.052</f>
        <v>1420.9364</v>
      </c>
      <c r="F1712" s="25">
        <f t="shared" si="30"/>
        <v>208878</v>
      </c>
    </row>
    <row r="1713" spans="1:6" ht="14.25" thickBot="1" x14ac:dyDescent="0.3">
      <c r="A1713" s="20" t="s">
        <v>492</v>
      </c>
      <c r="B1713" s="21" t="s">
        <v>493</v>
      </c>
      <c r="C1713" s="22" t="s">
        <v>164</v>
      </c>
      <c r="D1713" s="23">
        <v>2.6189100000000001</v>
      </c>
      <c r="E1713" s="24">
        <f>176630*1.052</f>
        <v>185814.76</v>
      </c>
      <c r="F1713" s="25">
        <f t="shared" si="30"/>
        <v>486632</v>
      </c>
    </row>
    <row r="1714" spans="1:6" ht="14.25" thickBot="1" x14ac:dyDescent="0.3">
      <c r="A1714" s="26" t="s">
        <v>175</v>
      </c>
      <c r="B1714" s="27"/>
      <c r="C1714" s="28">
        <v>66.731213738068107</v>
      </c>
      <c r="D1714" s="27"/>
      <c r="E1714" s="29" t="s">
        <v>148</v>
      </c>
      <c r="F1714" s="30">
        <f>SUM(F1704:F1713)</f>
        <v>2065524</v>
      </c>
    </row>
    <row r="1715" spans="1:6" x14ac:dyDescent="0.25">
      <c r="A1715" s="16" t="s">
        <v>139</v>
      </c>
      <c r="B1715" s="17" t="s">
        <v>140</v>
      </c>
      <c r="C1715" s="18" t="s">
        <v>3</v>
      </c>
      <c r="D1715" s="18" t="s">
        <v>141</v>
      </c>
      <c r="E1715" s="18" t="s">
        <v>142</v>
      </c>
      <c r="F1715" s="19" t="s">
        <v>143</v>
      </c>
    </row>
    <row r="1716" spans="1:6" ht="14.25" thickBot="1" x14ac:dyDescent="0.3">
      <c r="A1716" s="20" t="s">
        <v>189</v>
      </c>
      <c r="B1716" s="21" t="s">
        <v>190</v>
      </c>
      <c r="C1716" s="22" t="s">
        <v>146</v>
      </c>
      <c r="D1716" s="23">
        <v>0.75718534482758626</v>
      </c>
      <c r="E1716" s="24">
        <f>283800*$J$1</f>
        <v>320693.99999999994</v>
      </c>
      <c r="F1716" s="25">
        <f>ROUND(D1716*E1716,0)</f>
        <v>242825</v>
      </c>
    </row>
    <row r="1717" spans="1:6" ht="14.25" thickBot="1" x14ac:dyDescent="0.3">
      <c r="A1717" s="26" t="s">
        <v>147</v>
      </c>
      <c r="B1717" s="27"/>
      <c r="C1717" s="28">
        <v>24.944712002824399</v>
      </c>
      <c r="D1717" s="27"/>
      <c r="E1717" s="29" t="s">
        <v>148</v>
      </c>
      <c r="F1717" s="30">
        <f>SUM(F1716)</f>
        <v>242825</v>
      </c>
    </row>
    <row r="1718" spans="1:6" x14ac:dyDescent="0.25">
      <c r="A1718" s="16" t="s">
        <v>139</v>
      </c>
      <c r="B1718" s="17" t="s">
        <v>149</v>
      </c>
      <c r="C1718" s="18" t="s">
        <v>3</v>
      </c>
      <c r="D1718" s="18" t="s">
        <v>141</v>
      </c>
      <c r="E1718" s="18" t="s">
        <v>142</v>
      </c>
      <c r="F1718" s="19" t="s">
        <v>143</v>
      </c>
    </row>
    <row r="1719" spans="1:6" ht="14.25" thickBot="1" x14ac:dyDescent="0.3">
      <c r="A1719" s="20" t="s">
        <v>150</v>
      </c>
      <c r="B1719" s="21" t="s">
        <v>151</v>
      </c>
      <c r="C1719" s="22" t="s">
        <v>152</v>
      </c>
      <c r="D1719" s="23">
        <v>0.05</v>
      </c>
      <c r="E1719" s="24">
        <v>748955</v>
      </c>
      <c r="F1719" s="25">
        <f>ROUND(D1719*E1719,0)</f>
        <v>37448</v>
      </c>
    </row>
    <row r="1720" spans="1:6" ht="14.25" thickBot="1" x14ac:dyDescent="0.3">
      <c r="A1720" s="26" t="s">
        <v>153</v>
      </c>
      <c r="B1720" s="27"/>
      <c r="C1720" s="28">
        <v>1.24724392664682</v>
      </c>
      <c r="D1720" s="27"/>
      <c r="E1720" s="29" t="s">
        <v>148</v>
      </c>
      <c r="F1720" s="30">
        <f>SUM(F1719)</f>
        <v>37448</v>
      </c>
    </row>
    <row r="1721" spans="1:6" x14ac:dyDescent="0.25">
      <c r="A1721" s="16" t="s">
        <v>139</v>
      </c>
      <c r="B1721" s="17" t="s">
        <v>154</v>
      </c>
      <c r="C1721" s="18" t="s">
        <v>3</v>
      </c>
      <c r="D1721" s="18" t="s">
        <v>141</v>
      </c>
      <c r="E1721" s="18" t="s">
        <v>142</v>
      </c>
      <c r="F1721" s="19" t="s">
        <v>143</v>
      </c>
    </row>
    <row r="1722" spans="1:6" ht="27.75" thickBot="1" x14ac:dyDescent="0.3">
      <c r="A1722" s="20" t="s">
        <v>196</v>
      </c>
      <c r="B1722" s="21" t="s">
        <v>197</v>
      </c>
      <c r="C1722" s="22" t="s">
        <v>157</v>
      </c>
      <c r="D1722" s="23">
        <v>1</v>
      </c>
      <c r="E1722" s="24">
        <f>46573*1.052</f>
        <v>48994.796000000002</v>
      </c>
      <c r="F1722" s="25">
        <f>ROUND(D1722*E1722,0)</f>
        <v>48995</v>
      </c>
    </row>
    <row r="1723" spans="1:6" ht="14.25" thickBot="1" x14ac:dyDescent="0.3">
      <c r="A1723" s="26" t="s">
        <v>160</v>
      </c>
      <c r="B1723" s="27"/>
      <c r="C1723" s="28">
        <v>1.5511613810009099</v>
      </c>
      <c r="D1723" s="27"/>
      <c r="E1723" s="29" t="s">
        <v>148</v>
      </c>
      <c r="F1723" s="30">
        <f>SUM(F1722)</f>
        <v>48995</v>
      </c>
    </row>
    <row r="1724" spans="1:6" x14ac:dyDescent="0.25">
      <c r="A1724" s="16" t="s">
        <v>139</v>
      </c>
      <c r="B1724" s="17" t="s">
        <v>161</v>
      </c>
      <c r="C1724" s="18" t="s">
        <v>3</v>
      </c>
      <c r="D1724" s="18" t="s">
        <v>141</v>
      </c>
      <c r="E1724" s="18" t="s">
        <v>142</v>
      </c>
      <c r="F1724" s="19" t="s">
        <v>143</v>
      </c>
    </row>
    <row r="1725" spans="1:6" ht="27" x14ac:dyDescent="0.25">
      <c r="A1725" s="20" t="s">
        <v>162</v>
      </c>
      <c r="B1725" s="21" t="s">
        <v>163</v>
      </c>
      <c r="C1725" s="22" t="s">
        <v>164</v>
      </c>
      <c r="D1725" s="23">
        <v>1.5</v>
      </c>
      <c r="E1725" s="24">
        <f>57458.778*1.052</f>
        <v>60446.634456</v>
      </c>
      <c r="F1725" s="25">
        <f>ROUND(D1725*E1725,0)</f>
        <v>90670</v>
      </c>
    </row>
    <row r="1726" spans="1:6" ht="14.25" thickBot="1" x14ac:dyDescent="0.3">
      <c r="A1726" s="34" t="s">
        <v>191</v>
      </c>
      <c r="B1726" s="35" t="s">
        <v>192</v>
      </c>
      <c r="C1726" s="36" t="s">
        <v>193</v>
      </c>
      <c r="D1726" s="37">
        <f>+((D1704*10)+D1706+(D1705*1000)+(D1708*1000)+(D1713*1200))/1000</f>
        <v>5.5687919999999993</v>
      </c>
      <c r="E1726" s="38">
        <f>176630*1.052</f>
        <v>185814.76</v>
      </c>
      <c r="F1726" s="25">
        <f>ROUND(D1726*E1726,0)</f>
        <v>1034764</v>
      </c>
    </row>
    <row r="1727" spans="1:6" ht="14.25" thickBot="1" x14ac:dyDescent="0.3">
      <c r="A1727" s="26"/>
      <c r="B1727" s="27"/>
      <c r="C1727" s="28"/>
      <c r="D1727" s="27"/>
      <c r="E1727" s="29" t="s">
        <v>148</v>
      </c>
      <c r="F1727" s="30">
        <f>SUM(F1725:F1726)</f>
        <v>1125434</v>
      </c>
    </row>
    <row r="1728" spans="1:6" ht="15.75" thickBot="1" x14ac:dyDescent="0.3">
      <c r="A1728" s="180" t="s">
        <v>168</v>
      </c>
      <c r="B1728" s="181"/>
      <c r="C1728" s="181"/>
      <c r="D1728" s="181"/>
      <c r="E1728" s="182">
        <f>+F1714+F1717+F1720+F1723+F1727</f>
        <v>3520226</v>
      </c>
      <c r="F1728" s="183"/>
    </row>
    <row r="1729" spans="1:6" x14ac:dyDescent="0.25">
      <c r="A1729" s="31"/>
      <c r="F1729" s="32"/>
    </row>
    <row r="1730" spans="1:6" ht="15.75" x14ac:dyDescent="0.25">
      <c r="A1730" s="184" t="s">
        <v>136</v>
      </c>
      <c r="B1730" s="185"/>
      <c r="C1730" s="185"/>
      <c r="D1730" s="185"/>
      <c r="E1730" s="185"/>
      <c r="F1730" s="186"/>
    </row>
    <row r="1731" spans="1:6" ht="23.45" customHeight="1" x14ac:dyDescent="0.25">
      <c r="A1731" s="174" t="str">
        <f>+'RESUMEN APUS'!B97</f>
        <v>Construcción de SALIDA INSTALACIONES ELÉCTRICAS, incluye la instalación de materiales, accesorios y elementos necesarios para puntos, salidas, cableado, tubería Conduit o canaleta, aparatos eléctricos, cajas, plafones, accesorios y los materiales necesarios para la ejecución de la actividad.  Incluye además las perforaciones (canchas) de paredes o pisos que lo requieran con su respectivo resane, acabado.</v>
      </c>
      <c r="B1731" s="175"/>
      <c r="C1731" s="175"/>
      <c r="D1731" s="176"/>
      <c r="E1731" s="12" t="s">
        <v>137</v>
      </c>
      <c r="F1731" s="13" t="s">
        <v>3</v>
      </c>
    </row>
    <row r="1732" spans="1:6" ht="30.95" customHeight="1" x14ac:dyDescent="0.25">
      <c r="A1732" s="177"/>
      <c r="B1732" s="178"/>
      <c r="C1732" s="178"/>
      <c r="D1732" s="179"/>
      <c r="E1732" s="14" t="s">
        <v>125</v>
      </c>
      <c r="F1732" s="15" t="s">
        <v>171</v>
      </c>
    </row>
    <row r="1733" spans="1:6" x14ac:dyDescent="0.25">
      <c r="A1733" s="16" t="s">
        <v>139</v>
      </c>
      <c r="B1733" s="17" t="s">
        <v>172</v>
      </c>
      <c r="C1733" s="18" t="s">
        <v>3</v>
      </c>
      <c r="D1733" s="18" t="s">
        <v>141</v>
      </c>
      <c r="E1733" s="18" t="s">
        <v>142</v>
      </c>
      <c r="F1733" s="19" t="s">
        <v>143</v>
      </c>
    </row>
    <row r="1734" spans="1:6" x14ac:dyDescent="0.25">
      <c r="A1734" s="20" t="s">
        <v>494</v>
      </c>
      <c r="B1734" s="21" t="s">
        <v>495</v>
      </c>
      <c r="C1734" s="22" t="s">
        <v>171</v>
      </c>
      <c r="D1734" s="23">
        <v>5.0699999999999999E-3</v>
      </c>
      <c r="E1734" s="24">
        <f>105002.379*1.052</f>
        <v>110462.502708</v>
      </c>
      <c r="F1734" s="25">
        <f t="shared" ref="F1734:F1746" si="31">ROUND(D1734*E1734,0)</f>
        <v>560</v>
      </c>
    </row>
    <row r="1735" spans="1:6" x14ac:dyDescent="0.25">
      <c r="A1735" s="20" t="s">
        <v>496</v>
      </c>
      <c r="B1735" s="21" t="s">
        <v>497</v>
      </c>
      <c r="C1735" s="22" t="s">
        <v>86</v>
      </c>
      <c r="D1735" s="23">
        <v>4</v>
      </c>
      <c r="E1735" s="24">
        <f>10263.242*1.052</f>
        <v>10796.930584000002</v>
      </c>
      <c r="F1735" s="25">
        <f t="shared" si="31"/>
        <v>43188</v>
      </c>
    </row>
    <row r="1736" spans="1:6" x14ac:dyDescent="0.25">
      <c r="A1736" s="20" t="s">
        <v>498</v>
      </c>
      <c r="B1736" s="21" t="s">
        <v>499</v>
      </c>
      <c r="C1736" s="22" t="s">
        <v>171</v>
      </c>
      <c r="D1736" s="23">
        <v>2</v>
      </c>
      <c r="E1736" s="24">
        <f>1264*1.052</f>
        <v>1329.7280000000001</v>
      </c>
      <c r="F1736" s="25">
        <f t="shared" si="31"/>
        <v>2659</v>
      </c>
    </row>
    <row r="1737" spans="1:6" x14ac:dyDescent="0.25">
      <c r="A1737" s="20" t="s">
        <v>500</v>
      </c>
      <c r="B1737" s="21" t="s">
        <v>501</v>
      </c>
      <c r="C1737" s="22" t="s">
        <v>171</v>
      </c>
      <c r="D1737" s="23">
        <v>1</v>
      </c>
      <c r="E1737" s="24">
        <f>3117*1.052</f>
        <v>3279.0840000000003</v>
      </c>
      <c r="F1737" s="25">
        <f t="shared" si="31"/>
        <v>3279</v>
      </c>
    </row>
    <row r="1738" spans="1:6" x14ac:dyDescent="0.25">
      <c r="A1738" s="20" t="s">
        <v>382</v>
      </c>
      <c r="B1738" s="21" t="s">
        <v>383</v>
      </c>
      <c r="C1738" s="22" t="s">
        <v>171</v>
      </c>
      <c r="D1738" s="23">
        <v>5.64E-3</v>
      </c>
      <c r="E1738" s="24">
        <f>52885.1*1.052</f>
        <v>55635.125200000002</v>
      </c>
      <c r="F1738" s="25">
        <f t="shared" si="31"/>
        <v>314</v>
      </c>
    </row>
    <row r="1739" spans="1:6" x14ac:dyDescent="0.25">
      <c r="A1739" s="20" t="s">
        <v>233</v>
      </c>
      <c r="B1739" s="21" t="s">
        <v>234</v>
      </c>
      <c r="C1739" s="22" t="s">
        <v>164</v>
      </c>
      <c r="D1739" s="23">
        <v>3.9300000000000003E-3</v>
      </c>
      <c r="E1739" s="24">
        <f>381850.7*1.052</f>
        <v>401706.93640000001</v>
      </c>
      <c r="F1739" s="25">
        <f t="shared" si="31"/>
        <v>1579</v>
      </c>
    </row>
    <row r="1740" spans="1:6" x14ac:dyDescent="0.25">
      <c r="A1740" s="20" t="s">
        <v>502</v>
      </c>
      <c r="B1740" s="21" t="s">
        <v>503</v>
      </c>
      <c r="C1740" s="22" t="s">
        <v>171</v>
      </c>
      <c r="D1740" s="23">
        <v>0.22</v>
      </c>
      <c r="E1740" s="24">
        <f>3117*1.052</f>
        <v>3279.0840000000003</v>
      </c>
      <c r="F1740" s="25">
        <f t="shared" si="31"/>
        <v>721</v>
      </c>
    </row>
    <row r="1741" spans="1:6" x14ac:dyDescent="0.25">
      <c r="A1741" s="20" t="s">
        <v>504</v>
      </c>
      <c r="B1741" s="21" t="s">
        <v>505</v>
      </c>
      <c r="C1741" s="22" t="s">
        <v>171</v>
      </c>
      <c r="D1741" s="23">
        <v>0.33</v>
      </c>
      <c r="E1741" s="24">
        <f>4500*1.052</f>
        <v>4734</v>
      </c>
      <c r="F1741" s="25">
        <f t="shared" si="31"/>
        <v>1562</v>
      </c>
    </row>
    <row r="1742" spans="1:6" x14ac:dyDescent="0.25">
      <c r="A1742" s="20" t="s">
        <v>506</v>
      </c>
      <c r="B1742" s="21" t="s">
        <v>507</v>
      </c>
      <c r="C1742" s="22" t="s">
        <v>171</v>
      </c>
      <c r="D1742" s="23">
        <v>0.33</v>
      </c>
      <c r="E1742" s="24">
        <f>15670*1.052</f>
        <v>16484.84</v>
      </c>
      <c r="F1742" s="25">
        <f t="shared" si="31"/>
        <v>5440</v>
      </c>
    </row>
    <row r="1743" spans="1:6" ht="14.1" customHeight="1" x14ac:dyDescent="0.25">
      <c r="A1743" s="20" t="s">
        <v>508</v>
      </c>
      <c r="B1743" s="21" t="s">
        <v>509</v>
      </c>
      <c r="C1743" s="22" t="s">
        <v>171</v>
      </c>
      <c r="D1743" s="23">
        <v>0.33</v>
      </c>
      <c r="E1743" s="24">
        <f>8960*1.052</f>
        <v>9425.92</v>
      </c>
      <c r="F1743" s="25">
        <f t="shared" si="31"/>
        <v>3111</v>
      </c>
    </row>
    <row r="1744" spans="1:6" x14ac:dyDescent="0.25">
      <c r="A1744" s="20" t="s">
        <v>510</v>
      </c>
      <c r="B1744" s="21" t="s">
        <v>511</v>
      </c>
      <c r="C1744" s="22" t="s">
        <v>171</v>
      </c>
      <c r="D1744" s="23">
        <v>0.1</v>
      </c>
      <c r="E1744" s="24">
        <f>122197*1.052</f>
        <v>128551.24400000001</v>
      </c>
      <c r="F1744" s="25">
        <f t="shared" si="31"/>
        <v>12855</v>
      </c>
    </row>
    <row r="1745" spans="1:6" x14ac:dyDescent="0.25">
      <c r="A1745" s="20" t="s">
        <v>512</v>
      </c>
      <c r="B1745" s="21" t="s">
        <v>513</v>
      </c>
      <c r="C1745" s="22" t="s">
        <v>86</v>
      </c>
      <c r="D1745" s="23">
        <v>14</v>
      </c>
      <c r="E1745" s="24">
        <f>3271*1.052</f>
        <v>3441.0920000000001</v>
      </c>
      <c r="F1745" s="25">
        <f t="shared" si="31"/>
        <v>48175</v>
      </c>
    </row>
    <row r="1746" spans="1:6" ht="14.25" thickBot="1" x14ac:dyDescent="0.3">
      <c r="A1746" s="20" t="s">
        <v>514</v>
      </c>
      <c r="B1746" s="21" t="s">
        <v>515</v>
      </c>
      <c r="C1746" s="22" t="s">
        <v>171</v>
      </c>
      <c r="D1746" s="23">
        <v>0.33</v>
      </c>
      <c r="E1746" s="24">
        <f>15961.118*1.052</f>
        <v>16791.096136</v>
      </c>
      <c r="F1746" s="25">
        <f t="shared" si="31"/>
        <v>5541</v>
      </c>
    </row>
    <row r="1747" spans="1:6" ht="14.25" thickBot="1" x14ac:dyDescent="0.3">
      <c r="A1747" s="26" t="s">
        <v>175</v>
      </c>
      <c r="B1747" s="27"/>
      <c r="C1747" s="28">
        <v>70.704962622098293</v>
      </c>
      <c r="D1747" s="27"/>
      <c r="E1747" s="29" t="s">
        <v>148</v>
      </c>
      <c r="F1747" s="30">
        <f>SUM(F1734:F1746)</f>
        <v>128984</v>
      </c>
    </row>
    <row r="1748" spans="1:6" x14ac:dyDescent="0.25">
      <c r="A1748" s="16" t="s">
        <v>139</v>
      </c>
      <c r="B1748" s="17" t="s">
        <v>140</v>
      </c>
      <c r="C1748" s="18" t="s">
        <v>3</v>
      </c>
      <c r="D1748" s="18" t="s">
        <v>141</v>
      </c>
      <c r="E1748" s="18" t="s">
        <v>142</v>
      </c>
      <c r="F1748" s="19" t="s">
        <v>143</v>
      </c>
    </row>
    <row r="1749" spans="1:6" ht="14.25" thickBot="1" x14ac:dyDescent="0.3">
      <c r="A1749" s="20" t="s">
        <v>516</v>
      </c>
      <c r="B1749" s="21" t="s">
        <v>517</v>
      </c>
      <c r="C1749" s="22" t="s">
        <v>146</v>
      </c>
      <c r="D1749" s="23">
        <v>0.15434929182264201</v>
      </c>
      <c r="E1749" s="24">
        <f>283800*$J$1</f>
        <v>320693.99999999994</v>
      </c>
      <c r="F1749" s="25">
        <f>ROUND(D1749*E1749,0)</f>
        <v>49499</v>
      </c>
    </row>
    <row r="1750" spans="1:6" ht="14.25" thickBot="1" x14ac:dyDescent="0.3">
      <c r="A1750" s="26" t="s">
        <v>147</v>
      </c>
      <c r="B1750" s="27"/>
      <c r="C1750" s="28">
        <v>27.390218451169201</v>
      </c>
      <c r="D1750" s="27"/>
      <c r="E1750" s="29" t="s">
        <v>148</v>
      </c>
      <c r="F1750" s="30">
        <f>SUM(F1749)</f>
        <v>49499</v>
      </c>
    </row>
    <row r="1751" spans="1:6" x14ac:dyDescent="0.25">
      <c r="A1751" s="16" t="s">
        <v>139</v>
      </c>
      <c r="B1751" s="17" t="s">
        <v>149</v>
      </c>
      <c r="C1751" s="18" t="s">
        <v>3</v>
      </c>
      <c r="D1751" s="18" t="s">
        <v>141</v>
      </c>
      <c r="E1751" s="18" t="s">
        <v>142</v>
      </c>
      <c r="F1751" s="19" t="s">
        <v>143</v>
      </c>
    </row>
    <row r="1752" spans="1:6" ht="14.25" thickBot="1" x14ac:dyDescent="0.3">
      <c r="A1752" s="20" t="s">
        <v>150</v>
      </c>
      <c r="B1752" s="21" t="s">
        <v>151</v>
      </c>
      <c r="C1752" s="22" t="s">
        <v>152</v>
      </c>
      <c r="D1752" s="23">
        <v>0.05</v>
      </c>
      <c r="E1752" s="24">
        <f>F1750</f>
        <v>49499</v>
      </c>
      <c r="F1752" s="25">
        <f>ROUND(D1752*E1752,0)</f>
        <v>2475</v>
      </c>
    </row>
    <row r="1753" spans="1:6" ht="14.25" thickBot="1" x14ac:dyDescent="0.3">
      <c r="A1753" s="26" t="s">
        <v>153</v>
      </c>
      <c r="B1753" s="27"/>
      <c r="C1753" s="28">
        <v>1.3693826231246899</v>
      </c>
      <c r="D1753" s="27"/>
      <c r="E1753" s="29" t="s">
        <v>148</v>
      </c>
      <c r="F1753" s="30">
        <f>SUM(F1752)</f>
        <v>2475</v>
      </c>
    </row>
    <row r="1754" spans="1:6" x14ac:dyDescent="0.25">
      <c r="A1754" s="16" t="s">
        <v>139</v>
      </c>
      <c r="B1754" s="17" t="s">
        <v>161</v>
      </c>
      <c r="C1754" s="18" t="s">
        <v>3</v>
      </c>
      <c r="D1754" s="18" t="s">
        <v>141</v>
      </c>
      <c r="E1754" s="18" t="s">
        <v>142</v>
      </c>
      <c r="F1754" s="19" t="s">
        <v>143</v>
      </c>
    </row>
    <row r="1755" spans="1:6" ht="14.25" thickBot="1" x14ac:dyDescent="0.3">
      <c r="A1755" s="20" t="s">
        <v>518</v>
      </c>
      <c r="B1755" s="21" t="s">
        <v>519</v>
      </c>
      <c r="C1755" s="22" t="s">
        <v>171</v>
      </c>
      <c r="D1755" s="23">
        <v>9.5000000000000001E-2</v>
      </c>
      <c r="E1755" s="24">
        <f>43800*1.052</f>
        <v>46077.599999999999</v>
      </c>
      <c r="F1755" s="25">
        <f>ROUND(D1755*E1755,0)</f>
        <v>4377</v>
      </c>
    </row>
    <row r="1756" spans="1:6" ht="14.25" thickBot="1" x14ac:dyDescent="0.3">
      <c r="A1756" s="26"/>
      <c r="B1756" s="27"/>
      <c r="C1756" s="28"/>
      <c r="D1756" s="27"/>
      <c r="E1756" s="29" t="s">
        <v>148</v>
      </c>
      <c r="F1756" s="30">
        <f>SUM(F1755)</f>
        <v>4377</v>
      </c>
    </row>
    <row r="1757" spans="1:6" ht="15.75" thickBot="1" x14ac:dyDescent="0.3">
      <c r="A1757" s="180" t="s">
        <v>168</v>
      </c>
      <c r="B1757" s="181"/>
      <c r="C1757" s="181"/>
      <c r="D1757" s="181"/>
      <c r="E1757" s="182">
        <f>+F1747+F1750+F1753+F1756</f>
        <v>185335</v>
      </c>
      <c r="F1757" s="183"/>
    </row>
    <row r="1758" spans="1:6" x14ac:dyDescent="0.25">
      <c r="A1758" s="31"/>
      <c r="F1758" s="32"/>
    </row>
    <row r="1759" spans="1:6" ht="15.75" x14ac:dyDescent="0.25">
      <c r="A1759" s="184" t="s">
        <v>136</v>
      </c>
      <c r="B1759" s="185"/>
      <c r="C1759" s="185"/>
      <c r="D1759" s="185"/>
      <c r="E1759" s="185"/>
      <c r="F1759" s="186"/>
    </row>
    <row r="1760" spans="1:6" ht="23.45" customHeight="1" x14ac:dyDescent="0.25">
      <c r="A1760" s="174" t="str">
        <f>+'RESUMEN APUS'!B98</f>
        <v>Construcción de SALIDA INSTALACIONES ELÉCTRICAS TOMACORRIENTE GFCI, incluye la instalación de materiales, accesorios y elementos necesarios para puntos, salidas, cableado, tubería Conduit o canaleta, aparatos eléctricos, cajas, accesorios y los materiales necesarios para la ejecución de la actividad.  Incluye además las perforaciones (canchas) de paredes o pisos que lo requieran con su respectivo resane, acabado.</v>
      </c>
      <c r="B1760" s="175"/>
      <c r="C1760" s="175"/>
      <c r="D1760" s="176"/>
      <c r="E1760" s="12" t="s">
        <v>137</v>
      </c>
      <c r="F1760" s="13" t="s">
        <v>3</v>
      </c>
    </row>
    <row r="1761" spans="1:6" ht="24.6" customHeight="1" x14ac:dyDescent="0.25">
      <c r="A1761" s="177"/>
      <c r="B1761" s="178"/>
      <c r="C1761" s="178"/>
      <c r="D1761" s="179"/>
      <c r="E1761" s="14" t="s">
        <v>126</v>
      </c>
      <c r="F1761" s="15" t="s">
        <v>171</v>
      </c>
    </row>
    <row r="1762" spans="1:6" x14ac:dyDescent="0.25">
      <c r="A1762" s="16" t="s">
        <v>139</v>
      </c>
      <c r="B1762" s="17" t="s">
        <v>172</v>
      </c>
      <c r="C1762" s="18" t="s">
        <v>3</v>
      </c>
      <c r="D1762" s="18" t="s">
        <v>141</v>
      </c>
      <c r="E1762" s="18" t="s">
        <v>142</v>
      </c>
      <c r="F1762" s="19" t="s">
        <v>143</v>
      </c>
    </row>
    <row r="1763" spans="1:6" x14ac:dyDescent="0.25">
      <c r="A1763" s="20" t="s">
        <v>496</v>
      </c>
      <c r="B1763" s="21" t="s">
        <v>497</v>
      </c>
      <c r="C1763" s="22" t="s">
        <v>86</v>
      </c>
      <c r="D1763" s="104">
        <v>4</v>
      </c>
      <c r="E1763" s="24">
        <f>10263.242*1.052</f>
        <v>10796.930584000002</v>
      </c>
      <c r="F1763" s="25">
        <f t="shared" ref="F1763:F1771" si="32">ROUND(D1763*E1763,0)</f>
        <v>43188</v>
      </c>
    </row>
    <row r="1764" spans="1:6" x14ac:dyDescent="0.25">
      <c r="A1764" s="20" t="s">
        <v>498</v>
      </c>
      <c r="B1764" s="21" t="s">
        <v>499</v>
      </c>
      <c r="C1764" s="22" t="s">
        <v>171</v>
      </c>
      <c r="D1764" s="104">
        <v>2</v>
      </c>
      <c r="E1764" s="24">
        <f>1264*1.052</f>
        <v>1329.7280000000001</v>
      </c>
      <c r="F1764" s="25">
        <f t="shared" si="32"/>
        <v>2659</v>
      </c>
    </row>
    <row r="1765" spans="1:6" x14ac:dyDescent="0.25">
      <c r="A1765" s="20" t="s">
        <v>500</v>
      </c>
      <c r="B1765" s="21" t="s">
        <v>501</v>
      </c>
      <c r="C1765" s="22" t="s">
        <v>171</v>
      </c>
      <c r="D1765" s="104">
        <v>1</v>
      </c>
      <c r="E1765" s="24">
        <f>3117*1.052</f>
        <v>3279.0840000000003</v>
      </c>
      <c r="F1765" s="25">
        <f t="shared" si="32"/>
        <v>3279</v>
      </c>
    </row>
    <row r="1766" spans="1:6" x14ac:dyDescent="0.25">
      <c r="A1766" s="20" t="s">
        <v>382</v>
      </c>
      <c r="B1766" s="21" t="s">
        <v>383</v>
      </c>
      <c r="C1766" s="22" t="s">
        <v>171</v>
      </c>
      <c r="D1766" s="104">
        <v>5.64E-3</v>
      </c>
      <c r="E1766" s="24">
        <f>52885.1*1.052</f>
        <v>55635.125200000002</v>
      </c>
      <c r="F1766" s="25">
        <f t="shared" si="32"/>
        <v>314</v>
      </c>
    </row>
    <row r="1767" spans="1:6" x14ac:dyDescent="0.25">
      <c r="A1767" s="20" t="s">
        <v>233</v>
      </c>
      <c r="B1767" s="21" t="s">
        <v>234</v>
      </c>
      <c r="C1767" s="22" t="s">
        <v>164</v>
      </c>
      <c r="D1767" s="104">
        <v>3.9300000000000003E-3</v>
      </c>
      <c r="E1767" s="24">
        <f>381850.7*1.052</f>
        <v>401706.93640000001</v>
      </c>
      <c r="F1767" s="25">
        <f t="shared" si="32"/>
        <v>1579</v>
      </c>
    </row>
    <row r="1768" spans="1:6" x14ac:dyDescent="0.25">
      <c r="A1768" s="20" t="s">
        <v>502</v>
      </c>
      <c r="B1768" s="21" t="s">
        <v>503</v>
      </c>
      <c r="C1768" s="22" t="s">
        <v>171</v>
      </c>
      <c r="D1768" s="104">
        <v>0.22</v>
      </c>
      <c r="E1768" s="24">
        <f>3117*1.052</f>
        <v>3279.0840000000003</v>
      </c>
      <c r="F1768" s="25">
        <f t="shared" si="32"/>
        <v>721</v>
      </c>
    </row>
    <row r="1769" spans="1:6" x14ac:dyDescent="0.25">
      <c r="A1769" s="20" t="s">
        <v>512</v>
      </c>
      <c r="B1769" s="21" t="s">
        <v>513</v>
      </c>
      <c r="C1769" s="22" t="s">
        <v>86</v>
      </c>
      <c r="D1769" s="104">
        <v>14</v>
      </c>
      <c r="E1769" s="24">
        <f>3271*1.052</f>
        <v>3441.0920000000001</v>
      </c>
      <c r="F1769" s="25">
        <f t="shared" si="32"/>
        <v>48175</v>
      </c>
    </row>
    <row r="1770" spans="1:6" x14ac:dyDescent="0.25">
      <c r="A1770" s="20" t="s">
        <v>514</v>
      </c>
      <c r="B1770" s="21" t="s">
        <v>515</v>
      </c>
      <c r="C1770" s="22" t="s">
        <v>171</v>
      </c>
      <c r="D1770" s="104">
        <v>0.33</v>
      </c>
      <c r="E1770" s="24">
        <f>15961.118*1.052</f>
        <v>16791.096136</v>
      </c>
      <c r="F1770" s="25">
        <f t="shared" si="32"/>
        <v>5541</v>
      </c>
    </row>
    <row r="1771" spans="1:6" ht="14.25" thickBot="1" x14ac:dyDescent="0.3">
      <c r="A1771" s="20" t="s">
        <v>520</v>
      </c>
      <c r="B1771" s="21" t="s">
        <v>521</v>
      </c>
      <c r="C1771" s="22" t="s">
        <v>171</v>
      </c>
      <c r="D1771" s="104">
        <v>1</v>
      </c>
      <c r="E1771" s="24">
        <f>59831.9312355957*1.052</f>
        <v>62943.191659846678</v>
      </c>
      <c r="F1771" s="25">
        <f t="shared" si="32"/>
        <v>62943</v>
      </c>
    </row>
    <row r="1772" spans="1:6" ht="14.25" thickBot="1" x14ac:dyDescent="0.3">
      <c r="A1772" s="26" t="s">
        <v>175</v>
      </c>
      <c r="B1772" s="27"/>
      <c r="C1772" s="28">
        <v>77.9251582298877</v>
      </c>
      <c r="D1772" s="111"/>
      <c r="E1772" s="29" t="s">
        <v>148</v>
      </c>
      <c r="F1772" s="30">
        <f>SUM(F1763:F1771)</f>
        <v>168399</v>
      </c>
    </row>
    <row r="1773" spans="1:6" x14ac:dyDescent="0.25">
      <c r="A1773" s="16" t="s">
        <v>139</v>
      </c>
      <c r="B1773" s="17" t="s">
        <v>140</v>
      </c>
      <c r="C1773" s="18" t="s">
        <v>3</v>
      </c>
      <c r="D1773" s="112" t="s">
        <v>141</v>
      </c>
      <c r="E1773" s="18" t="s">
        <v>142</v>
      </c>
      <c r="F1773" s="19" t="s">
        <v>143</v>
      </c>
    </row>
    <row r="1774" spans="1:6" ht="14.25" thickBot="1" x14ac:dyDescent="0.3">
      <c r="A1774" s="20" t="s">
        <v>516</v>
      </c>
      <c r="B1774" s="21" t="s">
        <v>517</v>
      </c>
      <c r="C1774" s="22" t="s">
        <v>146</v>
      </c>
      <c r="D1774" s="104">
        <v>0.14299999999999999</v>
      </c>
      <c r="E1774" s="24">
        <f>253379.100436444*1.1*$J$1</f>
        <v>314950.22184249986</v>
      </c>
      <c r="F1774" s="25">
        <f>ROUND(D1774*E1774,0)</f>
        <v>45038</v>
      </c>
    </row>
    <row r="1775" spans="1:6" ht="14.25" thickBot="1" x14ac:dyDescent="0.3">
      <c r="A1775" s="26" t="s">
        <v>147</v>
      </c>
      <c r="B1775" s="27"/>
      <c r="C1775" s="28">
        <v>20.6394936643593</v>
      </c>
      <c r="D1775" s="111"/>
      <c r="E1775" s="29" t="s">
        <v>148</v>
      </c>
      <c r="F1775" s="30">
        <f>SUM(F1774)</f>
        <v>45038</v>
      </c>
    </row>
    <row r="1776" spans="1:6" x14ac:dyDescent="0.25">
      <c r="A1776" s="16" t="s">
        <v>139</v>
      </c>
      <c r="B1776" s="17" t="s">
        <v>149</v>
      </c>
      <c r="C1776" s="18" t="s">
        <v>3</v>
      </c>
      <c r="D1776" s="112" t="s">
        <v>141</v>
      </c>
      <c r="E1776" s="18" t="s">
        <v>142</v>
      </c>
      <c r="F1776" s="19" t="s">
        <v>143</v>
      </c>
    </row>
    <row r="1777" spans="1:6" ht="14.25" thickBot="1" x14ac:dyDescent="0.3">
      <c r="A1777" s="20" t="s">
        <v>150</v>
      </c>
      <c r="B1777" s="21" t="s">
        <v>151</v>
      </c>
      <c r="C1777" s="22" t="s">
        <v>152</v>
      </c>
      <c r="D1777" s="104">
        <v>0.05</v>
      </c>
      <c r="E1777" s="24">
        <f>F1775</f>
        <v>45038</v>
      </c>
      <c r="F1777" s="25">
        <f>ROUND(D1777*E1777,0)</f>
        <v>2252</v>
      </c>
    </row>
    <row r="1778" spans="1:6" ht="14.25" thickBot="1" x14ac:dyDescent="0.3">
      <c r="A1778" s="26" t="s">
        <v>153</v>
      </c>
      <c r="B1778" s="27"/>
      <c r="C1778" s="28">
        <v>1.0318780050788201</v>
      </c>
      <c r="D1778" s="111"/>
      <c r="E1778" s="29" t="s">
        <v>148</v>
      </c>
      <c r="F1778" s="30">
        <f>SUM(F1777)</f>
        <v>2252</v>
      </c>
    </row>
    <row r="1779" spans="1:6" x14ac:dyDescent="0.25">
      <c r="A1779" s="16" t="s">
        <v>139</v>
      </c>
      <c r="B1779" s="17" t="s">
        <v>161</v>
      </c>
      <c r="C1779" s="18" t="s">
        <v>3</v>
      </c>
      <c r="D1779" s="112" t="s">
        <v>141</v>
      </c>
      <c r="E1779" s="18" t="s">
        <v>142</v>
      </c>
      <c r="F1779" s="19" t="s">
        <v>143</v>
      </c>
    </row>
    <row r="1780" spans="1:6" ht="14.25" thickBot="1" x14ac:dyDescent="0.3">
      <c r="A1780" s="20" t="s">
        <v>518</v>
      </c>
      <c r="B1780" s="21" t="s">
        <v>519</v>
      </c>
      <c r="C1780" s="22" t="s">
        <v>171</v>
      </c>
      <c r="D1780" s="104">
        <v>0.03</v>
      </c>
      <c r="E1780" s="24">
        <v>43800</v>
      </c>
      <c r="F1780" s="25">
        <f>ROUND(D1780*E1780,0)</f>
        <v>1314</v>
      </c>
    </row>
    <row r="1781" spans="1:6" ht="14.25" thickBot="1" x14ac:dyDescent="0.3">
      <c r="A1781" s="26"/>
      <c r="B1781" s="27"/>
      <c r="C1781" s="28"/>
      <c r="D1781" s="27"/>
      <c r="E1781" s="29" t="s">
        <v>148</v>
      </c>
      <c r="F1781" s="30">
        <f>SUM(F1780)</f>
        <v>1314</v>
      </c>
    </row>
    <row r="1782" spans="1:6" ht="15.75" thickBot="1" x14ac:dyDescent="0.3">
      <c r="A1782" s="180" t="s">
        <v>168</v>
      </c>
      <c r="B1782" s="181"/>
      <c r="C1782" s="181"/>
      <c r="D1782" s="181"/>
      <c r="E1782" s="182">
        <f>+F1772+F1775+F1778+F1781</f>
        <v>217003</v>
      </c>
      <c r="F1782" s="183"/>
    </row>
    <row r="1783" spans="1:6" x14ac:dyDescent="0.25">
      <c r="A1783" s="31"/>
      <c r="F1783" s="32"/>
    </row>
    <row r="1784" spans="1:6" x14ac:dyDescent="0.25">
      <c r="A1784" s="198" t="s">
        <v>136</v>
      </c>
      <c r="B1784" s="199"/>
      <c r="C1784" s="199"/>
      <c r="D1784" s="199"/>
      <c r="E1784" s="199"/>
      <c r="F1784" s="200"/>
    </row>
    <row r="1785" spans="1:6" x14ac:dyDescent="0.25">
      <c r="A1785" s="174" t="e">
        <f>+'RESUMEN APUS'!#REF!</f>
        <v>#REF!</v>
      </c>
      <c r="B1785" s="175"/>
      <c r="C1785" s="175"/>
      <c r="D1785" s="176"/>
      <c r="E1785" s="12" t="s">
        <v>137</v>
      </c>
      <c r="F1785" s="13" t="s">
        <v>3</v>
      </c>
    </row>
    <row r="1786" spans="1:6" ht="34.35" customHeight="1" x14ac:dyDescent="0.25">
      <c r="A1786" s="177"/>
      <c r="B1786" s="178"/>
      <c r="C1786" s="178"/>
      <c r="D1786" s="179"/>
      <c r="E1786" s="14" t="s">
        <v>547</v>
      </c>
      <c r="F1786" s="15" t="s">
        <v>171</v>
      </c>
    </row>
    <row r="1787" spans="1:6" x14ac:dyDescent="0.25">
      <c r="A1787" s="16" t="s">
        <v>139</v>
      </c>
      <c r="B1787" s="17" t="s">
        <v>172</v>
      </c>
      <c r="C1787" s="18" t="s">
        <v>3</v>
      </c>
      <c r="D1787" s="18" t="s">
        <v>141</v>
      </c>
      <c r="E1787" s="18" t="s">
        <v>142</v>
      </c>
      <c r="F1787" s="19" t="s">
        <v>143</v>
      </c>
    </row>
    <row r="1788" spans="1:6" x14ac:dyDescent="0.25">
      <c r="A1788" s="20" t="s">
        <v>494</v>
      </c>
      <c r="B1788" s="21" t="s">
        <v>495</v>
      </c>
      <c r="C1788" s="22" t="s">
        <v>171</v>
      </c>
      <c r="D1788" s="23">
        <v>5.0699999999999999E-3</v>
      </c>
      <c r="E1788" s="24">
        <f>105002.379*1.052</f>
        <v>110462.502708</v>
      </c>
      <c r="F1788" s="40">
        <f t="shared" ref="F1788:F1797" si="33">ROUND(D1788*E1788,0)</f>
        <v>560</v>
      </c>
    </row>
    <row r="1789" spans="1:6" x14ac:dyDescent="0.25">
      <c r="A1789" s="20" t="s">
        <v>500</v>
      </c>
      <c r="B1789" s="45" t="s">
        <v>548</v>
      </c>
      <c r="C1789" s="22" t="s">
        <v>171</v>
      </c>
      <c r="D1789" s="23">
        <v>1</v>
      </c>
      <c r="E1789" s="24">
        <f>3117*1.052</f>
        <v>3279.0840000000003</v>
      </c>
      <c r="F1789" s="40">
        <f t="shared" si="33"/>
        <v>3279</v>
      </c>
    </row>
    <row r="1790" spans="1:6" x14ac:dyDescent="0.25">
      <c r="A1790" s="20" t="s">
        <v>382</v>
      </c>
      <c r="B1790" s="21" t="s">
        <v>383</v>
      </c>
      <c r="C1790" s="22" t="s">
        <v>171</v>
      </c>
      <c r="D1790" s="23">
        <v>5.64E-3</v>
      </c>
      <c r="E1790" s="24">
        <f>52885.1*1.052</f>
        <v>55635.125200000002</v>
      </c>
      <c r="F1790" s="40">
        <f t="shared" si="33"/>
        <v>314</v>
      </c>
    </row>
    <row r="1791" spans="1:6" x14ac:dyDescent="0.25">
      <c r="A1791" s="20" t="s">
        <v>233</v>
      </c>
      <c r="B1791" s="21" t="s">
        <v>234</v>
      </c>
      <c r="C1791" s="22" t="s">
        <v>164</v>
      </c>
      <c r="D1791" s="23">
        <v>2.8999999999999998E-3</v>
      </c>
      <c r="E1791" s="24">
        <f>381850.7*1.052</f>
        <v>401706.93640000001</v>
      </c>
      <c r="F1791" s="40">
        <f t="shared" si="33"/>
        <v>1165</v>
      </c>
    </row>
    <row r="1792" spans="1:6" x14ac:dyDescent="0.25">
      <c r="A1792" s="20" t="s">
        <v>502</v>
      </c>
      <c r="B1792" s="21" t="s">
        <v>503</v>
      </c>
      <c r="C1792" s="22" t="s">
        <v>171</v>
      </c>
      <c r="D1792" s="23">
        <v>0.22</v>
      </c>
      <c r="E1792" s="24">
        <f>3117*1.052</f>
        <v>3279.0840000000003</v>
      </c>
      <c r="F1792" s="40">
        <f t="shared" si="33"/>
        <v>721</v>
      </c>
    </row>
    <row r="1793" spans="1:6" x14ac:dyDescent="0.25">
      <c r="A1793" s="20" t="s">
        <v>504</v>
      </c>
      <c r="B1793" s="21" t="s">
        <v>505</v>
      </c>
      <c r="C1793" s="22" t="s">
        <v>171</v>
      </c>
      <c r="D1793" s="23">
        <v>0.33</v>
      </c>
      <c r="E1793" s="24">
        <f>4500*1.052</f>
        <v>4734</v>
      </c>
      <c r="F1793" s="40">
        <f t="shared" si="33"/>
        <v>1562</v>
      </c>
    </row>
    <row r="1794" spans="1:6" x14ac:dyDescent="0.25">
      <c r="A1794" s="20" t="s">
        <v>506</v>
      </c>
      <c r="B1794" s="21" t="s">
        <v>507</v>
      </c>
      <c r="C1794" s="22" t="s">
        <v>171</v>
      </c>
      <c r="D1794" s="23">
        <v>0.33</v>
      </c>
      <c r="E1794" s="24">
        <f>15670*1.052</f>
        <v>16484.84</v>
      </c>
      <c r="F1794" s="40">
        <f t="shared" si="33"/>
        <v>5440</v>
      </c>
    </row>
    <row r="1795" spans="1:6" x14ac:dyDescent="0.25">
      <c r="A1795" s="20" t="s">
        <v>549</v>
      </c>
      <c r="B1795" s="21" t="s">
        <v>509</v>
      </c>
      <c r="C1795" s="22" t="s">
        <v>171</v>
      </c>
      <c r="D1795" s="23">
        <v>0.33</v>
      </c>
      <c r="E1795" s="24">
        <f>8960*1.052</f>
        <v>9425.92</v>
      </c>
      <c r="F1795" s="40">
        <f t="shared" si="33"/>
        <v>3111</v>
      </c>
    </row>
    <row r="1796" spans="1:6" x14ac:dyDescent="0.25">
      <c r="A1796" s="20" t="s">
        <v>512</v>
      </c>
      <c r="B1796" s="21" t="s">
        <v>513</v>
      </c>
      <c r="C1796" s="22" t="s">
        <v>86</v>
      </c>
      <c r="D1796" s="23">
        <v>12</v>
      </c>
      <c r="E1796" s="24">
        <f>3271*1.052</f>
        <v>3441.0920000000001</v>
      </c>
      <c r="F1796" s="40">
        <f t="shared" si="33"/>
        <v>41293</v>
      </c>
    </row>
    <row r="1797" spans="1:6" ht="14.25" thickBot="1" x14ac:dyDescent="0.3">
      <c r="A1797" s="20" t="s">
        <v>514</v>
      </c>
      <c r="B1797" s="21" t="s">
        <v>515</v>
      </c>
      <c r="C1797" s="22" t="s">
        <v>171</v>
      </c>
      <c r="D1797" s="23">
        <v>0.1</v>
      </c>
      <c r="E1797" s="24">
        <f>15961.118*1.052</f>
        <v>16791.096136</v>
      </c>
      <c r="F1797" s="40">
        <f t="shared" si="33"/>
        <v>1679</v>
      </c>
    </row>
    <row r="1798" spans="1:6" ht="14.25" thickBot="1" x14ac:dyDescent="0.3">
      <c r="A1798" s="26" t="s">
        <v>175</v>
      </c>
      <c r="B1798" s="27"/>
      <c r="C1798" s="28">
        <v>70.704962622098293</v>
      </c>
      <c r="D1798" s="27"/>
      <c r="E1798" s="29" t="s">
        <v>148</v>
      </c>
      <c r="F1798" s="30">
        <f>SUM(F1788:F1797)</f>
        <v>59124</v>
      </c>
    </row>
    <row r="1799" spans="1:6" x14ac:dyDescent="0.25">
      <c r="A1799" s="16" t="s">
        <v>139</v>
      </c>
      <c r="B1799" s="17" t="s">
        <v>140</v>
      </c>
      <c r="C1799" s="18" t="s">
        <v>3</v>
      </c>
      <c r="D1799" s="18" t="s">
        <v>141</v>
      </c>
      <c r="E1799" s="18" t="s">
        <v>142</v>
      </c>
      <c r="F1799" s="19" t="s">
        <v>143</v>
      </c>
    </row>
    <row r="1800" spans="1:6" ht="14.25" thickBot="1" x14ac:dyDescent="0.3">
      <c r="A1800" s="20" t="s">
        <v>516</v>
      </c>
      <c r="B1800" s="21" t="s">
        <v>517</v>
      </c>
      <c r="C1800" s="22" t="s">
        <v>146</v>
      </c>
      <c r="D1800" s="23">
        <v>3.039E-2</v>
      </c>
      <c r="E1800" s="24">
        <f>278717.010480088*1.1*$J$1</f>
        <v>346445.24402674939</v>
      </c>
      <c r="F1800" s="40">
        <f>ROUND(D1800*E1800,0)</f>
        <v>10528</v>
      </c>
    </row>
    <row r="1801" spans="1:6" ht="14.25" thickBot="1" x14ac:dyDescent="0.3">
      <c r="A1801" s="26" t="s">
        <v>147</v>
      </c>
      <c r="B1801" s="27"/>
      <c r="C1801" s="28">
        <v>27.390218451169201</v>
      </c>
      <c r="D1801" s="27"/>
      <c r="E1801" s="29" t="s">
        <v>148</v>
      </c>
      <c r="F1801" s="30">
        <f>SUM(F1800)</f>
        <v>10528</v>
      </c>
    </row>
    <row r="1802" spans="1:6" x14ac:dyDescent="0.25">
      <c r="A1802" s="16" t="s">
        <v>139</v>
      </c>
      <c r="B1802" s="17" t="s">
        <v>149</v>
      </c>
      <c r="C1802" s="18" t="s">
        <v>3</v>
      </c>
      <c r="D1802" s="18" t="s">
        <v>141</v>
      </c>
      <c r="E1802" s="18" t="s">
        <v>142</v>
      </c>
      <c r="F1802" s="19" t="s">
        <v>143</v>
      </c>
    </row>
    <row r="1803" spans="1:6" ht="14.25" thickBot="1" x14ac:dyDescent="0.3">
      <c r="A1803" s="20" t="s">
        <v>150</v>
      </c>
      <c r="B1803" s="21" t="s">
        <v>151</v>
      </c>
      <c r="C1803" s="22" t="s">
        <v>152</v>
      </c>
      <c r="D1803" s="23">
        <v>0.05</v>
      </c>
      <c r="E1803" s="24">
        <f>F1801</f>
        <v>10528</v>
      </c>
      <c r="F1803" s="40">
        <f>ROUND(D1803*E1803,0)</f>
        <v>526</v>
      </c>
    </row>
    <row r="1804" spans="1:6" ht="14.25" thickBot="1" x14ac:dyDescent="0.3">
      <c r="A1804" s="26" t="s">
        <v>153</v>
      </c>
      <c r="B1804" s="27"/>
      <c r="C1804" s="28">
        <v>1.3693826231246899</v>
      </c>
      <c r="D1804" s="27"/>
      <c r="E1804" s="29" t="s">
        <v>148</v>
      </c>
      <c r="F1804" s="30">
        <f>SUM(F1803)</f>
        <v>526</v>
      </c>
    </row>
    <row r="1805" spans="1:6" x14ac:dyDescent="0.25">
      <c r="A1805" s="16" t="s">
        <v>139</v>
      </c>
      <c r="B1805" s="17" t="s">
        <v>161</v>
      </c>
      <c r="C1805" s="18" t="s">
        <v>3</v>
      </c>
      <c r="D1805" s="18" t="s">
        <v>141</v>
      </c>
      <c r="E1805" s="18" t="s">
        <v>142</v>
      </c>
      <c r="F1805" s="19" t="s">
        <v>143</v>
      </c>
    </row>
    <row r="1806" spans="1:6" ht="14.25" thickBot="1" x14ac:dyDescent="0.3">
      <c r="A1806" s="20" t="s">
        <v>518</v>
      </c>
      <c r="B1806" s="21" t="s">
        <v>519</v>
      </c>
      <c r="C1806" s="22" t="s">
        <v>171</v>
      </c>
      <c r="D1806" s="23">
        <v>0.03</v>
      </c>
      <c r="E1806" s="24">
        <f>43800*1.052</f>
        <v>46077.599999999999</v>
      </c>
      <c r="F1806" s="40">
        <f>ROUND(D1806*E1806,0)</f>
        <v>1382</v>
      </c>
    </row>
    <row r="1807" spans="1:6" ht="14.25" thickBot="1" x14ac:dyDescent="0.3">
      <c r="A1807" s="26"/>
      <c r="B1807" s="27"/>
      <c r="C1807" s="28"/>
      <c r="D1807" s="27"/>
      <c r="E1807" s="29" t="s">
        <v>148</v>
      </c>
      <c r="F1807" s="30">
        <f>SUM(F1806)</f>
        <v>1382</v>
      </c>
    </row>
    <row r="1808" spans="1:6" ht="14.25" thickBot="1" x14ac:dyDescent="0.3">
      <c r="A1808" s="201" t="s">
        <v>168</v>
      </c>
      <c r="B1808" s="202"/>
      <c r="C1808" s="202"/>
      <c r="D1808" s="202"/>
      <c r="E1808" s="182">
        <f>+F1806+F1804+F1801+F1798</f>
        <v>71560</v>
      </c>
      <c r="F1808" s="183"/>
    </row>
    <row r="1810" spans="1:6" x14ac:dyDescent="0.25">
      <c r="A1810" s="198" t="s">
        <v>136</v>
      </c>
      <c r="B1810" s="199"/>
      <c r="C1810" s="199"/>
      <c r="D1810" s="199"/>
      <c r="E1810" s="199"/>
      <c r="F1810" s="200"/>
    </row>
    <row r="1811" spans="1:6" x14ac:dyDescent="0.25">
      <c r="A1811" s="174" t="str">
        <f>+'RESUMEN APUS'!B99</f>
        <v>Construcción de SALIDA INSTALACIONES ELÉCTRICAS TABLERO DE DISTRIBUCIÓN DE 8 CIRCUITOS, incluye la instalación de materiales, accesorios y elementos necesarios para puntos, Caja, breaker, accesorios y los materiales necesarios para la ejecución de la actividad.  Incluye además las perforaciones (canchas) de paredes o pisos que lo requieran con su respectivo resane, acabado.</v>
      </c>
      <c r="B1811" s="175"/>
      <c r="C1811" s="175"/>
      <c r="D1811" s="176"/>
      <c r="E1811" s="12" t="s">
        <v>137</v>
      </c>
      <c r="F1811" s="13" t="s">
        <v>3</v>
      </c>
    </row>
    <row r="1812" spans="1:6" ht="44.45" customHeight="1" x14ac:dyDescent="0.25">
      <c r="A1812" s="177"/>
      <c r="B1812" s="178"/>
      <c r="C1812" s="178"/>
      <c r="D1812" s="179"/>
      <c r="E1812" s="14" t="s">
        <v>550</v>
      </c>
      <c r="F1812" s="15" t="s">
        <v>171</v>
      </c>
    </row>
    <row r="1813" spans="1:6" x14ac:dyDescent="0.25">
      <c r="A1813" s="16" t="s">
        <v>139</v>
      </c>
      <c r="B1813" s="17" t="s">
        <v>172</v>
      </c>
      <c r="C1813" s="18" t="s">
        <v>3</v>
      </c>
      <c r="D1813" s="18" t="s">
        <v>141</v>
      </c>
      <c r="E1813" s="18" t="s">
        <v>142</v>
      </c>
      <c r="F1813" s="19" t="s">
        <v>143</v>
      </c>
    </row>
    <row r="1814" spans="1:6" x14ac:dyDescent="0.25">
      <c r="A1814" s="21" t="s">
        <v>551</v>
      </c>
      <c r="B1814" s="21" t="s">
        <v>552</v>
      </c>
      <c r="C1814" s="22" t="s">
        <v>171</v>
      </c>
      <c r="D1814" s="23">
        <v>1</v>
      </c>
      <c r="E1814" s="24">
        <f>138100*1.052</f>
        <v>145281.20000000001</v>
      </c>
      <c r="F1814" s="40">
        <f t="shared" ref="F1814:F1820" si="34">ROUND(D1814*E1814,0)</f>
        <v>145281</v>
      </c>
    </row>
    <row r="1815" spans="1:6" x14ac:dyDescent="0.25">
      <c r="A1815" s="45" t="s">
        <v>224</v>
      </c>
      <c r="B1815" s="21" t="s">
        <v>234</v>
      </c>
      <c r="C1815" s="22" t="s">
        <v>164</v>
      </c>
      <c r="D1815" s="23">
        <v>0.02</v>
      </c>
      <c r="E1815" s="24">
        <f>381850.7*1.052</f>
        <v>401706.93640000001</v>
      </c>
      <c r="F1815" s="40">
        <f t="shared" si="34"/>
        <v>8034</v>
      </c>
    </row>
    <row r="1816" spans="1:6" x14ac:dyDescent="0.25">
      <c r="A1816" s="20" t="s">
        <v>502</v>
      </c>
      <c r="B1816" s="21" t="s">
        <v>503</v>
      </c>
      <c r="C1816" s="22" t="s">
        <v>171</v>
      </c>
      <c r="D1816" s="23">
        <v>0.22</v>
      </c>
      <c r="E1816" s="24">
        <f>3117*1.052</f>
        <v>3279.0840000000003</v>
      </c>
      <c r="F1816" s="40">
        <f t="shared" si="34"/>
        <v>721</v>
      </c>
    </row>
    <row r="1817" spans="1:6" x14ac:dyDescent="0.25">
      <c r="A1817" s="21" t="s">
        <v>553</v>
      </c>
      <c r="B1817" s="21" t="s">
        <v>390</v>
      </c>
      <c r="C1817" s="22" t="s">
        <v>171</v>
      </c>
      <c r="D1817" s="23">
        <v>4</v>
      </c>
      <c r="E1817" s="24">
        <f>168.318*1.052</f>
        <v>177.07053600000003</v>
      </c>
      <c r="F1817" s="40">
        <f t="shared" si="34"/>
        <v>708</v>
      </c>
    </row>
    <row r="1818" spans="1:6" ht="27" x14ac:dyDescent="0.25">
      <c r="A1818" s="21" t="s">
        <v>554</v>
      </c>
      <c r="B1818" s="21" t="s">
        <v>554</v>
      </c>
      <c r="C1818" s="22" t="s">
        <v>171</v>
      </c>
      <c r="D1818" s="23">
        <v>5</v>
      </c>
      <c r="E1818" s="24">
        <f>15961.118*1.052</f>
        <v>16791.096136</v>
      </c>
      <c r="F1818" s="40">
        <f t="shared" si="34"/>
        <v>83955</v>
      </c>
    </row>
    <row r="1819" spans="1:6" ht="27" x14ac:dyDescent="0.25">
      <c r="A1819" s="21" t="s">
        <v>555</v>
      </c>
      <c r="B1819" s="21" t="s">
        <v>555</v>
      </c>
      <c r="C1819" s="22" t="s">
        <v>171</v>
      </c>
      <c r="D1819" s="23">
        <v>2</v>
      </c>
      <c r="E1819" s="24">
        <f>20176*1.052</f>
        <v>21225.152000000002</v>
      </c>
      <c r="F1819" s="40">
        <f t="shared" si="34"/>
        <v>42450</v>
      </c>
    </row>
    <row r="1820" spans="1:6" ht="25.35" customHeight="1" thickBot="1" x14ac:dyDescent="0.3">
      <c r="A1820" s="21" t="s">
        <v>556</v>
      </c>
      <c r="B1820" s="21" t="s">
        <v>557</v>
      </c>
      <c r="C1820" s="22" t="s">
        <v>558</v>
      </c>
      <c r="D1820" s="23">
        <v>1</v>
      </c>
      <c r="E1820" s="24">
        <f>40000*1.052</f>
        <v>42080</v>
      </c>
      <c r="F1820" s="40">
        <f t="shared" si="34"/>
        <v>42080</v>
      </c>
    </row>
    <row r="1821" spans="1:6" ht="14.25" thickBot="1" x14ac:dyDescent="0.3">
      <c r="A1821" s="26" t="s">
        <v>175</v>
      </c>
      <c r="B1821" s="27"/>
      <c r="C1821" s="28">
        <v>70.704962622098293</v>
      </c>
      <c r="D1821" s="27"/>
      <c r="E1821" s="29" t="s">
        <v>148</v>
      </c>
      <c r="F1821" s="30">
        <f>SUM(F1814:F1820)</f>
        <v>323229</v>
      </c>
    </row>
    <row r="1822" spans="1:6" x14ac:dyDescent="0.25">
      <c r="A1822" s="16" t="s">
        <v>139</v>
      </c>
      <c r="B1822" s="17" t="s">
        <v>140</v>
      </c>
      <c r="C1822" s="18" t="s">
        <v>3</v>
      </c>
      <c r="D1822" s="18" t="s">
        <v>141</v>
      </c>
      <c r="E1822" s="18" t="s">
        <v>142</v>
      </c>
      <c r="F1822" s="19" t="s">
        <v>143</v>
      </c>
    </row>
    <row r="1823" spans="1:6" ht="14.25" thickBot="1" x14ac:dyDescent="0.3">
      <c r="A1823" s="20" t="s">
        <v>516</v>
      </c>
      <c r="B1823" s="21" t="s">
        <v>517</v>
      </c>
      <c r="C1823" s="22" t="s">
        <v>146</v>
      </c>
      <c r="D1823" s="23">
        <v>0.38008637698720488</v>
      </c>
      <c r="E1823" s="24">
        <f>278717.010480088*1.1*$J$1</f>
        <v>346445.24402674939</v>
      </c>
      <c r="F1823" s="40">
        <f>ROUND(D1823*E1823,0)</f>
        <v>131679</v>
      </c>
    </row>
    <row r="1824" spans="1:6" ht="14.25" thickBot="1" x14ac:dyDescent="0.3">
      <c r="A1824" s="26" t="s">
        <v>147</v>
      </c>
      <c r="B1824" s="27"/>
      <c r="C1824" s="28">
        <v>27.390218451169201</v>
      </c>
      <c r="D1824" s="27"/>
      <c r="E1824" s="29" t="s">
        <v>148</v>
      </c>
      <c r="F1824" s="30">
        <f>SUM(F1823)</f>
        <v>131679</v>
      </c>
    </row>
    <row r="1825" spans="1:6" x14ac:dyDescent="0.25">
      <c r="A1825" s="16" t="s">
        <v>139</v>
      </c>
      <c r="B1825" s="17" t="s">
        <v>149</v>
      </c>
      <c r="C1825" s="18" t="s">
        <v>3</v>
      </c>
      <c r="D1825" s="18" t="s">
        <v>141</v>
      </c>
      <c r="E1825" s="18" t="s">
        <v>142</v>
      </c>
      <c r="F1825" s="19" t="s">
        <v>143</v>
      </c>
    </row>
    <row r="1826" spans="1:6" ht="14.25" thickBot="1" x14ac:dyDescent="0.3">
      <c r="A1826" s="20" t="s">
        <v>150</v>
      </c>
      <c r="B1826" s="21" t="s">
        <v>151</v>
      </c>
      <c r="C1826" s="22" t="s">
        <v>152</v>
      </c>
      <c r="D1826" s="23">
        <v>0.05</v>
      </c>
      <c r="E1826" s="24">
        <f>F1824</f>
        <v>131679</v>
      </c>
      <c r="F1826" s="40">
        <f>ROUND(D1826*E1826,0)</f>
        <v>6584</v>
      </c>
    </row>
    <row r="1827" spans="1:6" ht="14.25" thickBot="1" x14ac:dyDescent="0.3">
      <c r="A1827" s="26" t="s">
        <v>153</v>
      </c>
      <c r="B1827" s="27"/>
      <c r="C1827" s="28">
        <v>1.3693826231246899</v>
      </c>
      <c r="D1827" s="27"/>
      <c r="E1827" s="29" t="s">
        <v>148</v>
      </c>
      <c r="F1827" s="30">
        <f>SUM(F1826)</f>
        <v>6584</v>
      </c>
    </row>
    <row r="1828" spans="1:6" x14ac:dyDescent="0.25">
      <c r="A1828" s="16" t="s">
        <v>139</v>
      </c>
      <c r="B1828" s="17" t="s">
        <v>161</v>
      </c>
      <c r="C1828" s="18" t="s">
        <v>3</v>
      </c>
      <c r="D1828" s="18" t="s">
        <v>141</v>
      </c>
      <c r="E1828" s="18" t="s">
        <v>142</v>
      </c>
      <c r="F1828" s="19" t="s">
        <v>143</v>
      </c>
    </row>
    <row r="1829" spans="1:6" ht="14.25" thickBot="1" x14ac:dyDescent="0.3">
      <c r="A1829" s="20" t="s">
        <v>518</v>
      </c>
      <c r="B1829" s="21" t="s">
        <v>519</v>
      </c>
      <c r="C1829" s="22" t="s">
        <v>171</v>
      </c>
      <c r="D1829" s="23">
        <v>0.03</v>
      </c>
      <c r="E1829" s="24">
        <f>43800*1.052</f>
        <v>46077.599999999999</v>
      </c>
      <c r="F1829" s="40">
        <f>ROUND(D1829*E1829,0)</f>
        <v>1382</v>
      </c>
    </row>
    <row r="1830" spans="1:6" ht="14.25" thickBot="1" x14ac:dyDescent="0.3">
      <c r="A1830" s="26"/>
      <c r="B1830" s="27"/>
      <c r="C1830" s="28"/>
      <c r="D1830" s="27"/>
      <c r="E1830" s="29" t="s">
        <v>148</v>
      </c>
      <c r="F1830" s="30">
        <f>SUM(F1829)</f>
        <v>1382</v>
      </c>
    </row>
    <row r="1831" spans="1:6" ht="14.25" thickBot="1" x14ac:dyDescent="0.3">
      <c r="A1831" s="201" t="s">
        <v>168</v>
      </c>
      <c r="B1831" s="202"/>
      <c r="C1831" s="202"/>
      <c r="D1831" s="202"/>
      <c r="E1831" s="182">
        <f>+F1830+F1827+F1824+F1821</f>
        <v>462874</v>
      </c>
      <c r="F1831" s="183"/>
    </row>
    <row r="1832" spans="1:6" x14ac:dyDescent="0.25">
      <c r="A1832" s="31"/>
      <c r="F1832" s="32"/>
    </row>
    <row r="1833" spans="1:6" ht="15.75" x14ac:dyDescent="0.25">
      <c r="A1833" s="184" t="s">
        <v>136</v>
      </c>
      <c r="B1833" s="185"/>
      <c r="C1833" s="185"/>
      <c r="D1833" s="185"/>
      <c r="E1833" s="185"/>
      <c r="F1833" s="186"/>
    </row>
    <row r="1834" spans="1:6" x14ac:dyDescent="0.25">
      <c r="A1834" s="174" t="str">
        <f>+'RESUMEN APUS'!B101</f>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
      <c r="B1834" s="175"/>
      <c r="C1834" s="175"/>
      <c r="D1834" s="176"/>
      <c r="E1834" s="12" t="s">
        <v>137</v>
      </c>
      <c r="F1834" s="13" t="s">
        <v>3</v>
      </c>
    </row>
    <row r="1835" spans="1:6" x14ac:dyDescent="0.25">
      <c r="A1835" s="177"/>
      <c r="B1835" s="178"/>
      <c r="C1835" s="178"/>
      <c r="D1835" s="179"/>
      <c r="E1835" s="14" t="s">
        <v>128</v>
      </c>
      <c r="F1835" s="15" t="s">
        <v>164</v>
      </c>
    </row>
    <row r="1836" spans="1:6" x14ac:dyDescent="0.25">
      <c r="A1836" s="16" t="s">
        <v>139</v>
      </c>
      <c r="B1836" s="17" t="s">
        <v>172</v>
      </c>
      <c r="C1836" s="18" t="s">
        <v>3</v>
      </c>
      <c r="D1836" s="18" t="s">
        <v>141</v>
      </c>
      <c r="E1836" s="18" t="s">
        <v>142</v>
      </c>
      <c r="F1836" s="19" t="s">
        <v>143</v>
      </c>
    </row>
    <row r="1837" spans="1:6" ht="14.25" thickBot="1" x14ac:dyDescent="0.3">
      <c r="A1837" s="20" t="s">
        <v>251</v>
      </c>
      <c r="B1837" s="21" t="s">
        <v>252</v>
      </c>
      <c r="C1837" s="22" t="s">
        <v>164</v>
      </c>
      <c r="D1837" s="23">
        <v>1.3</v>
      </c>
      <c r="E1837" s="24">
        <f>38324*1.052</f>
        <v>40316.847999999998</v>
      </c>
      <c r="F1837" s="25">
        <f>ROUND(D1837*E1837,0)</f>
        <v>52412</v>
      </c>
    </row>
    <row r="1838" spans="1:6" ht="14.25" thickBot="1" x14ac:dyDescent="0.3">
      <c r="A1838" s="26" t="s">
        <v>175</v>
      </c>
      <c r="B1838" s="27"/>
      <c r="C1838" s="28">
        <v>55.254752345673502</v>
      </c>
      <c r="D1838" s="27"/>
      <c r="E1838" s="29" t="s">
        <v>148</v>
      </c>
      <c r="F1838" s="30">
        <f>SUM(F1837)</f>
        <v>52412</v>
      </c>
    </row>
    <row r="1839" spans="1:6" x14ac:dyDescent="0.25">
      <c r="A1839" s="16" t="s">
        <v>139</v>
      </c>
      <c r="B1839" s="17" t="s">
        <v>140</v>
      </c>
      <c r="C1839" s="18" t="s">
        <v>3</v>
      </c>
      <c r="D1839" s="18" t="s">
        <v>141</v>
      </c>
      <c r="E1839" s="18" t="s">
        <v>142</v>
      </c>
      <c r="F1839" s="19" t="s">
        <v>143</v>
      </c>
    </row>
    <row r="1840" spans="1:6" ht="14.25" thickBot="1" x14ac:dyDescent="0.3">
      <c r="A1840" s="20" t="s">
        <v>189</v>
      </c>
      <c r="B1840" s="21" t="s">
        <v>190</v>
      </c>
      <c r="C1840" s="22" t="s">
        <v>146</v>
      </c>
      <c r="D1840" s="23">
        <v>7.0000000000000007E-2</v>
      </c>
      <c r="E1840" s="24">
        <f>283800*$J$1</f>
        <v>320693.99999999994</v>
      </c>
      <c r="F1840" s="25">
        <f>ROUND(D1840*E1840,0)</f>
        <v>22449</v>
      </c>
    </row>
    <row r="1841" spans="1:6" ht="14.25" thickBot="1" x14ac:dyDescent="0.3">
      <c r="A1841" s="26" t="s">
        <v>147</v>
      </c>
      <c r="B1841" s="27"/>
      <c r="C1841" s="28">
        <v>16.6126921455981</v>
      </c>
      <c r="D1841" s="27"/>
      <c r="E1841" s="29" t="s">
        <v>148</v>
      </c>
      <c r="F1841" s="30">
        <f>SUM(F1840)</f>
        <v>22449</v>
      </c>
    </row>
    <row r="1842" spans="1:6" x14ac:dyDescent="0.25">
      <c r="A1842" s="16" t="s">
        <v>139</v>
      </c>
      <c r="B1842" s="17" t="s">
        <v>149</v>
      </c>
      <c r="C1842" s="18" t="s">
        <v>3</v>
      </c>
      <c r="D1842" s="18" t="s">
        <v>141</v>
      </c>
      <c r="E1842" s="18" t="s">
        <v>142</v>
      </c>
      <c r="F1842" s="19" t="s">
        <v>143</v>
      </c>
    </row>
    <row r="1843" spans="1:6" ht="14.25" thickBot="1" x14ac:dyDescent="0.3">
      <c r="A1843" s="20" t="s">
        <v>150</v>
      </c>
      <c r="B1843" s="21" t="s">
        <v>151</v>
      </c>
      <c r="C1843" s="22" t="s">
        <v>152</v>
      </c>
      <c r="D1843" s="23">
        <v>0.05</v>
      </c>
      <c r="E1843" s="24">
        <f>F1841</f>
        <v>22449</v>
      </c>
      <c r="F1843" s="25">
        <f>ROUND(D1843*E1843,0)</f>
        <v>1122</v>
      </c>
    </row>
    <row r="1844" spans="1:6" ht="14.25" thickBot="1" x14ac:dyDescent="0.3">
      <c r="A1844" s="26" t="s">
        <v>153</v>
      </c>
      <c r="B1844" s="27"/>
      <c r="C1844" s="28">
        <v>0.83069006055497596</v>
      </c>
      <c r="D1844" s="27"/>
      <c r="E1844" s="29" t="s">
        <v>148</v>
      </c>
      <c r="F1844" s="30">
        <f>SUM(F1843)</f>
        <v>1122</v>
      </c>
    </row>
    <row r="1845" spans="1:6" x14ac:dyDescent="0.25">
      <c r="A1845" s="16" t="s">
        <v>139</v>
      </c>
      <c r="B1845" s="17" t="s">
        <v>154</v>
      </c>
      <c r="C1845" s="18" t="s">
        <v>3</v>
      </c>
      <c r="D1845" s="18" t="s">
        <v>141</v>
      </c>
      <c r="E1845" s="18" t="s">
        <v>142</v>
      </c>
      <c r="F1845" s="19" t="s">
        <v>143</v>
      </c>
    </row>
    <row r="1846" spans="1:6" ht="14.25" thickBot="1" x14ac:dyDescent="0.3">
      <c r="A1846" s="20" t="s">
        <v>522</v>
      </c>
      <c r="B1846" s="21" t="s">
        <v>523</v>
      </c>
      <c r="C1846" s="22" t="s">
        <v>157</v>
      </c>
      <c r="D1846" s="23">
        <v>7.0000000000000007E-2</v>
      </c>
      <c r="E1846" s="24">
        <f>46417*1.052</f>
        <v>48830.684000000001</v>
      </c>
      <c r="F1846" s="25">
        <f>ROUND(D1846*E1846,0)</f>
        <v>3418</v>
      </c>
    </row>
    <row r="1847" spans="1:6" ht="14.25" thickBot="1" x14ac:dyDescent="0.3">
      <c r="A1847" s="26" t="s">
        <v>160</v>
      </c>
      <c r="B1847" s="27"/>
      <c r="C1847" s="28">
        <v>3.60335381407626</v>
      </c>
      <c r="D1847" s="27"/>
      <c r="E1847" s="29" t="s">
        <v>148</v>
      </c>
      <c r="F1847" s="30">
        <f>SUM(F1846)</f>
        <v>3418</v>
      </c>
    </row>
    <row r="1848" spans="1:6" x14ac:dyDescent="0.25">
      <c r="A1848" s="16" t="s">
        <v>139</v>
      </c>
      <c r="B1848" s="17" t="s">
        <v>161</v>
      </c>
      <c r="C1848" s="18" t="s">
        <v>3</v>
      </c>
      <c r="D1848" s="18" t="s">
        <v>141</v>
      </c>
      <c r="E1848" s="18" t="s">
        <v>142</v>
      </c>
      <c r="F1848" s="19" t="s">
        <v>143</v>
      </c>
    </row>
    <row r="1849" spans="1:6" x14ac:dyDescent="0.25">
      <c r="A1849" s="20" t="s">
        <v>165</v>
      </c>
      <c r="B1849" s="21" t="s">
        <v>166</v>
      </c>
      <c r="C1849" s="22" t="s">
        <v>164</v>
      </c>
      <c r="D1849" s="23">
        <v>1.3</v>
      </c>
      <c r="E1849" s="24">
        <f>17078.043*1.052</f>
        <v>17966.101236000002</v>
      </c>
      <c r="F1849" s="25">
        <f>ROUND(D1849*E1849,0)</f>
        <v>23356</v>
      </c>
    </row>
    <row r="1850" spans="1:6" ht="14.25" thickBot="1" x14ac:dyDescent="0.3">
      <c r="A1850" s="34" t="s">
        <v>191</v>
      </c>
      <c r="B1850" s="35" t="s">
        <v>192</v>
      </c>
      <c r="C1850" s="36" t="s">
        <v>193</v>
      </c>
      <c r="D1850" s="37">
        <v>0.54358437229169665</v>
      </c>
      <c r="E1850" s="38">
        <f>176630*1.052</f>
        <v>185814.76</v>
      </c>
      <c r="F1850" s="25">
        <f>ROUND(D1850*E1850,0)</f>
        <v>101006</v>
      </c>
    </row>
    <row r="1851" spans="1:6" ht="14.25" thickBot="1" x14ac:dyDescent="0.3">
      <c r="A1851" s="26"/>
      <c r="B1851" s="27"/>
      <c r="C1851" s="28"/>
      <c r="D1851" s="27"/>
      <c r="E1851" s="29" t="s">
        <v>148</v>
      </c>
      <c r="F1851" s="30">
        <f>SUM(F1849:F1850)</f>
        <v>124362</v>
      </c>
    </row>
    <row r="1852" spans="1:6" ht="15.75" thickBot="1" x14ac:dyDescent="0.3">
      <c r="A1852" s="180" t="s">
        <v>168</v>
      </c>
      <c r="B1852" s="181"/>
      <c r="C1852" s="181"/>
      <c r="D1852" s="181"/>
      <c r="E1852" s="182">
        <f>+F1838+F1841+F1844+F1847+F1851</f>
        <v>203763</v>
      </c>
      <c r="F1852" s="183"/>
    </row>
    <row r="1853" spans="1:6" x14ac:dyDescent="0.25">
      <c r="A1853" s="31"/>
      <c r="F1853" s="32"/>
    </row>
    <row r="1854" spans="1:6" ht="15.75" x14ac:dyDescent="0.25">
      <c r="A1854" s="184" t="s">
        <v>136</v>
      </c>
      <c r="B1854" s="185"/>
      <c r="C1854" s="185"/>
      <c r="D1854" s="185"/>
      <c r="E1854" s="185"/>
      <c r="F1854" s="186"/>
    </row>
    <row r="1855" spans="1:6" x14ac:dyDescent="0.25">
      <c r="A1855" s="174" t="str">
        <f>+'RESUMEN APUS'!B102</f>
        <v>LLENOS EN MATERIAL PROVENIENTES DE LA EXCAVACIÓN, compactados mecánicamente hasta obtener una densidad del 95% de la máxima obtenida en el ensayo del próctor modificado. Incluye transporte interno. Su medida será en sitio ya compactado.</v>
      </c>
      <c r="B1855" s="175"/>
      <c r="C1855" s="175"/>
      <c r="D1855" s="176"/>
      <c r="E1855" s="12" t="s">
        <v>137</v>
      </c>
      <c r="F1855" s="13" t="s">
        <v>3</v>
      </c>
    </row>
    <row r="1856" spans="1:6" x14ac:dyDescent="0.25">
      <c r="A1856" s="177"/>
      <c r="B1856" s="178"/>
      <c r="C1856" s="178"/>
      <c r="D1856" s="179"/>
      <c r="E1856" s="14" t="s">
        <v>130</v>
      </c>
      <c r="F1856" s="15" t="s">
        <v>164</v>
      </c>
    </row>
    <row r="1857" spans="1:6" x14ac:dyDescent="0.25">
      <c r="A1857" s="16" t="s">
        <v>139</v>
      </c>
      <c r="B1857" s="17" t="s">
        <v>140</v>
      </c>
      <c r="C1857" s="18" t="s">
        <v>3</v>
      </c>
      <c r="D1857" s="18" t="s">
        <v>141</v>
      </c>
      <c r="E1857" s="18" t="s">
        <v>142</v>
      </c>
      <c r="F1857" s="19" t="s">
        <v>143</v>
      </c>
    </row>
    <row r="1858" spans="1:6" ht="14.25" thickBot="1" x14ac:dyDescent="0.3">
      <c r="A1858" s="20" t="s">
        <v>189</v>
      </c>
      <c r="B1858" s="21" t="s">
        <v>190</v>
      </c>
      <c r="C1858" s="22" t="s">
        <v>146</v>
      </c>
      <c r="D1858" s="23">
        <v>9.049720098522164E-2</v>
      </c>
      <c r="E1858" s="24">
        <f>283800*$J$1</f>
        <v>320693.99999999994</v>
      </c>
      <c r="F1858" s="25">
        <f>ROUND(D1858*E1858,0)</f>
        <v>29022</v>
      </c>
    </row>
    <row r="1859" spans="1:6" ht="14.25" thickBot="1" x14ac:dyDescent="0.3">
      <c r="A1859" s="26" t="s">
        <v>147</v>
      </c>
      <c r="B1859" s="27"/>
      <c r="C1859" s="28">
        <v>39.862297134170902</v>
      </c>
      <c r="D1859" s="27"/>
      <c r="E1859" s="29" t="s">
        <v>148</v>
      </c>
      <c r="F1859" s="30">
        <f>SUM(F1858)</f>
        <v>29022</v>
      </c>
    </row>
    <row r="1860" spans="1:6" x14ac:dyDescent="0.25">
      <c r="A1860" s="16" t="s">
        <v>139</v>
      </c>
      <c r="B1860" s="17" t="s">
        <v>149</v>
      </c>
      <c r="C1860" s="18" t="s">
        <v>3</v>
      </c>
      <c r="D1860" s="18" t="s">
        <v>141</v>
      </c>
      <c r="E1860" s="18" t="s">
        <v>142</v>
      </c>
      <c r="F1860" s="19" t="s">
        <v>143</v>
      </c>
    </row>
    <row r="1861" spans="1:6" ht="14.25" thickBot="1" x14ac:dyDescent="0.3">
      <c r="A1861" s="20" t="s">
        <v>150</v>
      </c>
      <c r="B1861" s="21" t="s">
        <v>151</v>
      </c>
      <c r="C1861" s="22" t="s">
        <v>152</v>
      </c>
      <c r="D1861" s="23">
        <v>0.05</v>
      </c>
      <c r="E1861" s="24">
        <f>F1859</f>
        <v>29022</v>
      </c>
      <c r="F1861" s="25">
        <f>ROUND(D1861*E1861,0)</f>
        <v>1451</v>
      </c>
    </row>
    <row r="1862" spans="1:6" ht="14.25" thickBot="1" x14ac:dyDescent="0.3">
      <c r="A1862" s="26" t="s">
        <v>153</v>
      </c>
      <c r="B1862" s="27"/>
      <c r="C1862" s="28">
        <v>1.99400903116198</v>
      </c>
      <c r="D1862" s="27"/>
      <c r="E1862" s="29" t="s">
        <v>148</v>
      </c>
      <c r="F1862" s="30">
        <f>SUM(F1861)</f>
        <v>1451</v>
      </c>
    </row>
    <row r="1863" spans="1:6" x14ac:dyDescent="0.25">
      <c r="A1863" s="16" t="s">
        <v>139</v>
      </c>
      <c r="B1863" s="17" t="s">
        <v>154</v>
      </c>
      <c r="C1863" s="18" t="s">
        <v>3</v>
      </c>
      <c r="D1863" s="18" t="s">
        <v>141</v>
      </c>
      <c r="E1863" s="18" t="s">
        <v>142</v>
      </c>
      <c r="F1863" s="19" t="s">
        <v>143</v>
      </c>
    </row>
    <row r="1864" spans="1:6" ht="14.25" thickBot="1" x14ac:dyDescent="0.3">
      <c r="A1864" s="20" t="s">
        <v>522</v>
      </c>
      <c r="B1864" s="21" t="s">
        <v>523</v>
      </c>
      <c r="C1864" s="22" t="s">
        <v>157</v>
      </c>
      <c r="D1864" s="23">
        <v>0.1</v>
      </c>
      <c r="E1864" s="24">
        <f>46417*1.052</f>
        <v>48830.684000000001</v>
      </c>
      <c r="F1864" s="25">
        <f>ROUND(D1864*E1864,0)</f>
        <v>4883</v>
      </c>
    </row>
    <row r="1865" spans="1:6" ht="14.25" thickBot="1" x14ac:dyDescent="0.3">
      <c r="A1865" s="26" t="s">
        <v>160</v>
      </c>
      <c r="B1865" s="27"/>
      <c r="C1865" s="28">
        <v>10.376894532123201</v>
      </c>
      <c r="D1865" s="27"/>
      <c r="E1865" s="29" t="s">
        <v>148</v>
      </c>
      <c r="F1865" s="30">
        <f>SUM(F1864)</f>
        <v>4883</v>
      </c>
    </row>
    <row r="1866" spans="1:6" x14ac:dyDescent="0.25">
      <c r="A1866" s="16" t="s">
        <v>139</v>
      </c>
      <c r="B1866" s="17" t="s">
        <v>161</v>
      </c>
      <c r="C1866" s="18" t="s">
        <v>3</v>
      </c>
      <c r="D1866" s="18" t="s">
        <v>141</v>
      </c>
      <c r="E1866" s="18" t="s">
        <v>142</v>
      </c>
      <c r="F1866" s="19" t="s">
        <v>143</v>
      </c>
    </row>
    <row r="1867" spans="1:6" ht="14.25" thickBot="1" x14ac:dyDescent="0.3">
      <c r="A1867" s="20" t="s">
        <v>165</v>
      </c>
      <c r="B1867" s="21" t="s">
        <v>166</v>
      </c>
      <c r="C1867" s="22" t="s">
        <v>164</v>
      </c>
      <c r="D1867" s="23">
        <v>1.3</v>
      </c>
      <c r="E1867" s="24">
        <f>17078.043*1.052</f>
        <v>17966.101236000002</v>
      </c>
      <c r="F1867" s="25">
        <f>ROUND(D1867*E1867,0)</f>
        <v>23356</v>
      </c>
    </row>
    <row r="1868" spans="1:6" ht="14.25" thickBot="1" x14ac:dyDescent="0.3">
      <c r="A1868" s="26"/>
      <c r="B1868" s="27"/>
      <c r="C1868" s="28"/>
      <c r="D1868" s="27"/>
      <c r="E1868" s="29" t="s">
        <v>148</v>
      </c>
      <c r="F1868" s="30">
        <f>SUM(F1867)</f>
        <v>23356</v>
      </c>
    </row>
    <row r="1869" spans="1:6" ht="15.75" thickBot="1" x14ac:dyDescent="0.3">
      <c r="A1869" s="180" t="s">
        <v>168</v>
      </c>
      <c r="B1869" s="181"/>
      <c r="C1869" s="181"/>
      <c r="D1869" s="181"/>
      <c r="E1869" s="182">
        <f>+F1859+F1862+F1865+F1868</f>
        <v>58712</v>
      </c>
      <c r="F1869" s="183"/>
    </row>
    <row r="1870" spans="1:6" x14ac:dyDescent="0.25">
      <c r="A1870" s="31"/>
      <c r="F1870" s="32"/>
    </row>
    <row r="1871" spans="1:6" ht="15.75" x14ac:dyDescent="0.25">
      <c r="A1871" s="184" t="s">
        <v>136</v>
      </c>
      <c r="B1871" s="185"/>
      <c r="C1871" s="185"/>
      <c r="D1871" s="185"/>
      <c r="E1871" s="185"/>
      <c r="F1871" s="186"/>
    </row>
    <row r="1872" spans="1:6" ht="24.6" customHeight="1" x14ac:dyDescent="0.25">
      <c r="A1872" s="174" t="str">
        <f>+'RESUMEN APUS'!B103</f>
        <v>Construcción de SOBRECIMIENTO EN BLOQUE DE CONCRETO DE 10 x 20 x 40 cm. ESPESOR de 10 cm, (bloque de primera calidad, 2 HILADAS), resistencia 8 Mpa (3p, no estructural). Incluye el suministro y el transporte de materiales, mortero de pega 1:4, relleno en concreto fluido de 10.5Mpa en todas las celdas, y todos los elementos necesarios para su correcta ejecución y funcionamiento.</v>
      </c>
      <c r="B1872" s="175"/>
      <c r="C1872" s="175"/>
      <c r="D1872" s="176"/>
      <c r="E1872" s="12" t="s">
        <v>137</v>
      </c>
      <c r="F1872" s="13" t="s">
        <v>3</v>
      </c>
    </row>
    <row r="1873" spans="1:9" ht="19.5" customHeight="1" x14ac:dyDescent="0.25">
      <c r="A1873" s="177"/>
      <c r="B1873" s="178"/>
      <c r="C1873" s="178"/>
      <c r="D1873" s="179"/>
      <c r="E1873" s="14" t="s">
        <v>132</v>
      </c>
      <c r="F1873" s="15" t="s">
        <v>86</v>
      </c>
    </row>
    <row r="1874" spans="1:9" x14ac:dyDescent="0.25">
      <c r="A1874" s="16" t="s">
        <v>139</v>
      </c>
      <c r="B1874" s="17" t="s">
        <v>172</v>
      </c>
      <c r="C1874" s="18" t="s">
        <v>3</v>
      </c>
      <c r="D1874" s="18" t="s">
        <v>141</v>
      </c>
      <c r="E1874" s="18" t="s">
        <v>142</v>
      </c>
      <c r="F1874" s="19" t="s">
        <v>143</v>
      </c>
    </row>
    <row r="1875" spans="1:9" ht="27" x14ac:dyDescent="0.25">
      <c r="A1875" s="20" t="s">
        <v>231</v>
      </c>
      <c r="B1875" s="21" t="s">
        <v>232</v>
      </c>
      <c r="C1875" s="22" t="s">
        <v>171</v>
      </c>
      <c r="D1875" s="23">
        <v>5.25</v>
      </c>
      <c r="E1875" s="24">
        <f>3600*1.052</f>
        <v>3787.2000000000003</v>
      </c>
      <c r="F1875" s="25">
        <f>ROUND(D1875*E1875,0)</f>
        <v>19883</v>
      </c>
    </row>
    <row r="1876" spans="1:9" x14ac:dyDescent="0.25">
      <c r="A1876" s="20" t="s">
        <v>223</v>
      </c>
      <c r="B1876" s="21" t="s">
        <v>224</v>
      </c>
      <c r="C1876" s="22" t="s">
        <v>164</v>
      </c>
      <c r="D1876" s="23">
        <v>4.3E-3</v>
      </c>
      <c r="E1876" s="24">
        <f>427169.6*1.052</f>
        <v>449382.4192</v>
      </c>
      <c r="F1876" s="25">
        <f>ROUND(D1876*E1876,0)</f>
        <v>1932</v>
      </c>
    </row>
    <row r="1877" spans="1:9" ht="14.25" thickBot="1" x14ac:dyDescent="0.3">
      <c r="A1877" s="20" t="s">
        <v>524</v>
      </c>
      <c r="B1877" s="21" t="s">
        <v>525</v>
      </c>
      <c r="C1877" s="22" t="s">
        <v>164</v>
      </c>
      <c r="D1877" s="23">
        <v>1.0670000000000001E-2</v>
      </c>
      <c r="E1877" s="24">
        <f>370050.45*1.052</f>
        <v>389293.07340000005</v>
      </c>
      <c r="F1877" s="25">
        <f>ROUND(D1877*E1877,0)</f>
        <v>4154</v>
      </c>
    </row>
    <row r="1878" spans="1:9" ht="14.25" thickBot="1" x14ac:dyDescent="0.3">
      <c r="A1878" s="26" t="s">
        <v>175</v>
      </c>
      <c r="B1878" s="27"/>
      <c r="C1878" s="28">
        <v>69.563031246258802</v>
      </c>
      <c r="D1878" s="27"/>
      <c r="E1878" s="29" t="s">
        <v>148</v>
      </c>
      <c r="F1878" s="30">
        <f>SUM(F1875:F1877)</f>
        <v>25969</v>
      </c>
    </row>
    <row r="1879" spans="1:9" x14ac:dyDescent="0.25">
      <c r="A1879" s="16" t="s">
        <v>139</v>
      </c>
      <c r="B1879" s="17" t="s">
        <v>140</v>
      </c>
      <c r="C1879" s="18" t="s">
        <v>3</v>
      </c>
      <c r="D1879" s="18" t="s">
        <v>141</v>
      </c>
      <c r="E1879" s="18" t="s">
        <v>142</v>
      </c>
      <c r="F1879" s="19" t="s">
        <v>143</v>
      </c>
    </row>
    <row r="1880" spans="1:9" ht="14.25" thickBot="1" x14ac:dyDescent="0.3">
      <c r="A1880" s="20" t="s">
        <v>215</v>
      </c>
      <c r="B1880" s="21" t="s">
        <v>216</v>
      </c>
      <c r="C1880" s="22" t="s">
        <v>146</v>
      </c>
      <c r="D1880" s="23">
        <v>2.9621969549265326E-2</v>
      </c>
      <c r="E1880" s="24">
        <f>283800*$J$1</f>
        <v>320693.99999999994</v>
      </c>
      <c r="F1880" s="25">
        <f>ROUND(D1880*E1880,0)</f>
        <v>9500</v>
      </c>
      <c r="G1880" s="127"/>
      <c r="H1880" s="127"/>
      <c r="I1880" s="127"/>
    </row>
    <row r="1881" spans="1:9" ht="14.25" thickBot="1" x14ac:dyDescent="0.3">
      <c r="A1881" s="26" t="s">
        <v>147</v>
      </c>
      <c r="B1881" s="27"/>
      <c r="C1881" s="28">
        <v>26.548545432778599</v>
      </c>
      <c r="D1881" s="27"/>
      <c r="E1881" s="29" t="s">
        <v>148</v>
      </c>
      <c r="F1881" s="30">
        <f>SUM(F1880)</f>
        <v>9500</v>
      </c>
    </row>
    <row r="1882" spans="1:9" x14ac:dyDescent="0.25">
      <c r="A1882" s="16" t="s">
        <v>139</v>
      </c>
      <c r="B1882" s="17" t="s">
        <v>149</v>
      </c>
      <c r="C1882" s="18" t="s">
        <v>3</v>
      </c>
      <c r="D1882" s="18" t="s">
        <v>141</v>
      </c>
      <c r="E1882" s="18" t="s">
        <v>142</v>
      </c>
      <c r="F1882" s="19" t="s">
        <v>143</v>
      </c>
    </row>
    <row r="1883" spans="1:9" ht="14.25" thickBot="1" x14ac:dyDescent="0.3">
      <c r="A1883" s="20" t="s">
        <v>150</v>
      </c>
      <c r="B1883" s="21" t="s">
        <v>151</v>
      </c>
      <c r="C1883" s="22" t="s">
        <v>152</v>
      </c>
      <c r="D1883" s="23">
        <v>0.05</v>
      </c>
      <c r="E1883" s="24">
        <f>F1881</f>
        <v>9500</v>
      </c>
      <c r="F1883" s="25">
        <f>ROUND(D1883*E1883,0)</f>
        <v>475</v>
      </c>
    </row>
    <row r="1884" spans="1:9" ht="14.25" thickBot="1" x14ac:dyDescent="0.3">
      <c r="A1884" s="26" t="s">
        <v>153</v>
      </c>
      <c r="B1884" s="27"/>
      <c r="C1884" s="28">
        <v>1.32646953190471</v>
      </c>
      <c r="D1884" s="27"/>
      <c r="E1884" s="29" t="s">
        <v>148</v>
      </c>
      <c r="F1884" s="30">
        <f>SUM(F1883)</f>
        <v>475</v>
      </c>
    </row>
    <row r="1885" spans="1:9" x14ac:dyDescent="0.25">
      <c r="A1885" s="16" t="s">
        <v>139</v>
      </c>
      <c r="B1885" s="17" t="s">
        <v>161</v>
      </c>
      <c r="C1885" s="18" t="s">
        <v>3</v>
      </c>
      <c r="D1885" s="18" t="s">
        <v>141</v>
      </c>
      <c r="E1885" s="18" t="s">
        <v>142</v>
      </c>
      <c r="F1885" s="19" t="s">
        <v>143</v>
      </c>
    </row>
    <row r="1886" spans="1:9" x14ac:dyDescent="0.25">
      <c r="A1886" s="20" t="s">
        <v>184</v>
      </c>
      <c r="B1886" s="21" t="s">
        <v>185</v>
      </c>
      <c r="C1886" s="22" t="s">
        <v>171</v>
      </c>
      <c r="D1886" s="23">
        <v>0.5</v>
      </c>
      <c r="E1886" s="24">
        <f>2140*1.052</f>
        <v>2251.2800000000002</v>
      </c>
      <c r="F1886" s="25">
        <f>ROUND(D1886*E1886,0)</f>
        <v>1126</v>
      </c>
    </row>
    <row r="1887" spans="1:9" ht="14.25" thickBot="1" x14ac:dyDescent="0.3">
      <c r="A1887" s="34" t="s">
        <v>191</v>
      </c>
      <c r="B1887" s="35" t="s">
        <v>192</v>
      </c>
      <c r="C1887" s="36" t="s">
        <v>193</v>
      </c>
      <c r="D1887" s="37">
        <v>0.02</v>
      </c>
      <c r="E1887" s="38">
        <f>176630*1.052</f>
        <v>185814.76</v>
      </c>
      <c r="F1887" s="25">
        <f>ROUND(D1887*E1887,0)</f>
        <v>3716</v>
      </c>
    </row>
    <row r="1888" spans="1:9" ht="14.25" thickBot="1" x14ac:dyDescent="0.3">
      <c r="A1888" s="26"/>
      <c r="B1888" s="27"/>
      <c r="C1888" s="28"/>
      <c r="D1888" s="27"/>
      <c r="E1888" s="29" t="s">
        <v>148</v>
      </c>
      <c r="F1888" s="30">
        <f>SUM(F1886:F1887)</f>
        <v>4842</v>
      </c>
    </row>
    <row r="1889" spans="1:6" ht="15.75" thickBot="1" x14ac:dyDescent="0.3">
      <c r="A1889" s="180" t="s">
        <v>168</v>
      </c>
      <c r="B1889" s="181"/>
      <c r="C1889" s="181"/>
      <c r="D1889" s="181"/>
      <c r="E1889" s="182">
        <f>+F1878+F1881+F1884+F1888</f>
        <v>40786</v>
      </c>
      <c r="F1889" s="183"/>
    </row>
    <row r="1900" spans="1:6" s="61" customFormat="1" ht="15.75" x14ac:dyDescent="0.25"/>
    <row r="1902" spans="1:6" x14ac:dyDescent="0.25">
      <c r="F1902" s="59"/>
    </row>
  </sheetData>
  <mergeCells count="348">
    <mergeCell ref="A1663:F1663"/>
    <mergeCell ref="A1664:D1665"/>
    <mergeCell ref="A1698:D1698"/>
    <mergeCell ref="E1698:F1698"/>
    <mergeCell ref="A1700:F1700"/>
    <mergeCell ref="A1701:D1702"/>
    <mergeCell ref="A1646:D1646"/>
    <mergeCell ref="E1646:F1646"/>
    <mergeCell ref="A1648:F1648"/>
    <mergeCell ref="A1649:D1650"/>
    <mergeCell ref="A1661:D1661"/>
    <mergeCell ref="E1661:F1661"/>
    <mergeCell ref="K1:K2"/>
    <mergeCell ref="A1833:F1833"/>
    <mergeCell ref="A1834:D1835"/>
    <mergeCell ref="A1728:D1728"/>
    <mergeCell ref="E1728:F1728"/>
    <mergeCell ref="A1730:F1730"/>
    <mergeCell ref="A1731:D1732"/>
    <mergeCell ref="A1603:F1603"/>
    <mergeCell ref="A1604:D1605"/>
    <mergeCell ref="A1631:D1631"/>
    <mergeCell ref="A1633:F1633"/>
    <mergeCell ref="A1634:D1635"/>
    <mergeCell ref="A1574:D1574"/>
    <mergeCell ref="E1574:F1574"/>
    <mergeCell ref="A1576:F1576"/>
    <mergeCell ref="A1577:D1578"/>
    <mergeCell ref="A1601:D1601"/>
    <mergeCell ref="E1601:F1601"/>
    <mergeCell ref="A1550:F1550"/>
    <mergeCell ref="A1551:D1552"/>
    <mergeCell ref="A1495:D1495"/>
    <mergeCell ref="E1495:F1495"/>
    <mergeCell ref="A1497:F1497"/>
    <mergeCell ref="A1498:D1499"/>
    <mergeCell ref="A1889:D1889"/>
    <mergeCell ref="E1889:F1889"/>
    <mergeCell ref="A1852:D1852"/>
    <mergeCell ref="E1852:F1852"/>
    <mergeCell ref="A1854:F1854"/>
    <mergeCell ref="A1855:D1856"/>
    <mergeCell ref="A1869:D1869"/>
    <mergeCell ref="E1869:F1869"/>
    <mergeCell ref="A1757:D1757"/>
    <mergeCell ref="E1757:F1757"/>
    <mergeCell ref="A1784:F1784"/>
    <mergeCell ref="A1785:D1786"/>
    <mergeCell ref="A1808:D1808"/>
    <mergeCell ref="E1808:F1808"/>
    <mergeCell ref="A1810:F1810"/>
    <mergeCell ref="A1811:D1812"/>
    <mergeCell ref="A1871:F1871"/>
    <mergeCell ref="A1872:D1873"/>
    <mergeCell ref="A1831:D1831"/>
    <mergeCell ref="E1831:F1831"/>
    <mergeCell ref="A1759:F1759"/>
    <mergeCell ref="A1760:D1761"/>
    <mergeCell ref="A1782:D1782"/>
    <mergeCell ref="E1782:F1782"/>
    <mergeCell ref="A1523:D1523"/>
    <mergeCell ref="E1523:F1523"/>
    <mergeCell ref="E1631:F1631"/>
    <mergeCell ref="A1469:F1469"/>
    <mergeCell ref="A1470:D1471"/>
    <mergeCell ref="A1417:F1417"/>
    <mergeCell ref="A1418:D1419"/>
    <mergeCell ref="A1443:D1443"/>
    <mergeCell ref="E1443:F1443"/>
    <mergeCell ref="A1525:F1525"/>
    <mergeCell ref="A1526:D1527"/>
    <mergeCell ref="A1548:D1548"/>
    <mergeCell ref="E1548:F1548"/>
    <mergeCell ref="E1110:F1110"/>
    <mergeCell ref="A1066:F1066"/>
    <mergeCell ref="A1067:D1068"/>
    <mergeCell ref="A1091:D1091"/>
    <mergeCell ref="E1091:F1091"/>
    <mergeCell ref="A1112:F1112"/>
    <mergeCell ref="A1445:F1445"/>
    <mergeCell ref="A1446:D1447"/>
    <mergeCell ref="A1467:D1467"/>
    <mergeCell ref="E1467:F1467"/>
    <mergeCell ref="A1294:F1294"/>
    <mergeCell ref="A1113:D1114"/>
    <mergeCell ref="A1130:D1130"/>
    <mergeCell ref="E1130:F1130"/>
    <mergeCell ref="A1251:D1252"/>
    <mergeCell ref="A1272:D1272"/>
    <mergeCell ref="E1272:F1272"/>
    <mergeCell ref="A1274:F1274"/>
    <mergeCell ref="A1275:D1276"/>
    <mergeCell ref="A1292:D1292"/>
    <mergeCell ref="E1292:F1292"/>
    <mergeCell ref="A1093:F1093"/>
    <mergeCell ref="A1094:D1095"/>
    <mergeCell ref="A1110:D1110"/>
    <mergeCell ref="A1046:F1046"/>
    <mergeCell ref="A1047:D1048"/>
    <mergeCell ref="A1064:D1064"/>
    <mergeCell ref="E1064:F1064"/>
    <mergeCell ref="A1024:D1024"/>
    <mergeCell ref="E1024:F1024"/>
    <mergeCell ref="A1026:F1026"/>
    <mergeCell ref="A1027:D1028"/>
    <mergeCell ref="A1044:D1044"/>
    <mergeCell ref="E1044:F1044"/>
    <mergeCell ref="A982:F982"/>
    <mergeCell ref="A983:D984"/>
    <mergeCell ref="A1002:D1002"/>
    <mergeCell ref="E1002:F1002"/>
    <mergeCell ref="A1004:F1004"/>
    <mergeCell ref="A1005:D1006"/>
    <mergeCell ref="A960:F960"/>
    <mergeCell ref="A961:D962"/>
    <mergeCell ref="A980:D980"/>
    <mergeCell ref="E980:F980"/>
    <mergeCell ref="A915:D915"/>
    <mergeCell ref="E915:F915"/>
    <mergeCell ref="A917:F917"/>
    <mergeCell ref="A918:D919"/>
    <mergeCell ref="A937:D937"/>
    <mergeCell ref="E937:F937"/>
    <mergeCell ref="A939:F939"/>
    <mergeCell ref="A940:D941"/>
    <mergeCell ref="A957:D957"/>
    <mergeCell ref="E957:F957"/>
    <mergeCell ref="A870:F870"/>
    <mergeCell ref="A871:D872"/>
    <mergeCell ref="A886:D886"/>
    <mergeCell ref="E886:F886"/>
    <mergeCell ref="A888:F888"/>
    <mergeCell ref="A889:D890"/>
    <mergeCell ref="A848:D848"/>
    <mergeCell ref="E848:F848"/>
    <mergeCell ref="A850:F850"/>
    <mergeCell ref="A851:D852"/>
    <mergeCell ref="A868:D868"/>
    <mergeCell ref="E868:F868"/>
    <mergeCell ref="A814:F814"/>
    <mergeCell ref="A815:D816"/>
    <mergeCell ref="A830:D830"/>
    <mergeCell ref="E830:F830"/>
    <mergeCell ref="A832:F832"/>
    <mergeCell ref="A833:D834"/>
    <mergeCell ref="A787:D787"/>
    <mergeCell ref="E787:F787"/>
    <mergeCell ref="A789:F789"/>
    <mergeCell ref="A790:D791"/>
    <mergeCell ref="A812:D812"/>
    <mergeCell ref="E812:F812"/>
    <mergeCell ref="A719:F719"/>
    <mergeCell ref="A720:D721"/>
    <mergeCell ref="A740:D740"/>
    <mergeCell ref="E740:F740"/>
    <mergeCell ref="A764:F764"/>
    <mergeCell ref="A765:D766"/>
    <mergeCell ref="A698:D698"/>
    <mergeCell ref="E698:F698"/>
    <mergeCell ref="A700:F700"/>
    <mergeCell ref="A701:D702"/>
    <mergeCell ref="A717:D717"/>
    <mergeCell ref="E717:F717"/>
    <mergeCell ref="A742:F742"/>
    <mergeCell ref="A743:D744"/>
    <mergeCell ref="A762:D762"/>
    <mergeCell ref="E762:F762"/>
    <mergeCell ref="A657:F657"/>
    <mergeCell ref="A658:D659"/>
    <mergeCell ref="A676:D676"/>
    <mergeCell ref="E676:F676"/>
    <mergeCell ref="A678:F678"/>
    <mergeCell ref="A679:D680"/>
    <mergeCell ref="A631:D631"/>
    <mergeCell ref="E631:F631"/>
    <mergeCell ref="A633:F633"/>
    <mergeCell ref="A634:D635"/>
    <mergeCell ref="A655:D655"/>
    <mergeCell ref="E655:F655"/>
    <mergeCell ref="A593:F593"/>
    <mergeCell ref="A594:D595"/>
    <mergeCell ref="A617:D617"/>
    <mergeCell ref="E617:F617"/>
    <mergeCell ref="A619:F619"/>
    <mergeCell ref="A620:D621"/>
    <mergeCell ref="A570:D570"/>
    <mergeCell ref="E570:F570"/>
    <mergeCell ref="A572:F572"/>
    <mergeCell ref="A573:D574"/>
    <mergeCell ref="A591:D591"/>
    <mergeCell ref="E591:F591"/>
    <mergeCell ref="A529:F529"/>
    <mergeCell ref="A530:D531"/>
    <mergeCell ref="A545:D545"/>
    <mergeCell ref="E545:F545"/>
    <mergeCell ref="A547:F547"/>
    <mergeCell ref="A548:D549"/>
    <mergeCell ref="A512:D512"/>
    <mergeCell ref="E512:F512"/>
    <mergeCell ref="A514:F514"/>
    <mergeCell ref="A515:D516"/>
    <mergeCell ref="A527:D527"/>
    <mergeCell ref="E527:F527"/>
    <mergeCell ref="A470:F470"/>
    <mergeCell ref="A471:D472"/>
    <mergeCell ref="A492:D492"/>
    <mergeCell ref="E492:F492"/>
    <mergeCell ref="A494:F494"/>
    <mergeCell ref="A495:D496"/>
    <mergeCell ref="A450:D450"/>
    <mergeCell ref="E450:F450"/>
    <mergeCell ref="A452:F452"/>
    <mergeCell ref="A453:D454"/>
    <mergeCell ref="A468:D468"/>
    <mergeCell ref="E468:F468"/>
    <mergeCell ref="A385:D386"/>
    <mergeCell ref="A405:D405"/>
    <mergeCell ref="E405:F405"/>
    <mergeCell ref="A431:F431"/>
    <mergeCell ref="A432:D433"/>
    <mergeCell ref="A360:D360"/>
    <mergeCell ref="E360:F360"/>
    <mergeCell ref="A362:F362"/>
    <mergeCell ref="A363:D364"/>
    <mergeCell ref="A382:D382"/>
    <mergeCell ref="E382:F382"/>
    <mergeCell ref="A408:D409"/>
    <mergeCell ref="A429:D429"/>
    <mergeCell ref="E429:F429"/>
    <mergeCell ref="A428:D428"/>
    <mergeCell ref="E428:F428"/>
    <mergeCell ref="A338:F338"/>
    <mergeCell ref="A339:D340"/>
    <mergeCell ref="A285:D285"/>
    <mergeCell ref="E285:F285"/>
    <mergeCell ref="A287:F287"/>
    <mergeCell ref="A288:D289"/>
    <mergeCell ref="A309:D309"/>
    <mergeCell ref="E309:F309"/>
    <mergeCell ref="A384:F384"/>
    <mergeCell ref="A312:F312"/>
    <mergeCell ref="A313:D314"/>
    <mergeCell ref="A336:D336"/>
    <mergeCell ref="E336:F336"/>
    <mergeCell ref="A114:D115"/>
    <mergeCell ref="A225:F225"/>
    <mergeCell ref="A226:D227"/>
    <mergeCell ref="A242:D242"/>
    <mergeCell ref="E242:F242"/>
    <mergeCell ref="A263:F263"/>
    <mergeCell ref="A264:D265"/>
    <mergeCell ref="A261:D261"/>
    <mergeCell ref="E261:F261"/>
    <mergeCell ref="A206:F206"/>
    <mergeCell ref="A207:D208"/>
    <mergeCell ref="A223:D223"/>
    <mergeCell ref="E223:F223"/>
    <mergeCell ref="A244:F244"/>
    <mergeCell ref="A245:D246"/>
    <mergeCell ref="A73:D73"/>
    <mergeCell ref="E73:F73"/>
    <mergeCell ref="A75:F75"/>
    <mergeCell ref="A76:D77"/>
    <mergeCell ref="A187:F187"/>
    <mergeCell ref="A188:D189"/>
    <mergeCell ref="A204:D204"/>
    <mergeCell ref="E204:F204"/>
    <mergeCell ref="A1:F2"/>
    <mergeCell ref="A3:F3"/>
    <mergeCell ref="A4:D5"/>
    <mergeCell ref="A19:D19"/>
    <mergeCell ref="E19:F19"/>
    <mergeCell ref="A38:F38"/>
    <mergeCell ref="A39:D40"/>
    <mergeCell ref="A55:D55"/>
    <mergeCell ref="E55:F55"/>
    <mergeCell ref="A21:F21"/>
    <mergeCell ref="A22:D23"/>
    <mergeCell ref="A36:D36"/>
    <mergeCell ref="E36:F36"/>
    <mergeCell ref="A57:F57"/>
    <mergeCell ref="A58:D59"/>
    <mergeCell ref="A94:F94"/>
    <mergeCell ref="A95:D96"/>
    <mergeCell ref="A110:D110"/>
    <mergeCell ref="E110:F110"/>
    <mergeCell ref="A1248:D1248"/>
    <mergeCell ref="E1248:F1248"/>
    <mergeCell ref="A1250:F1250"/>
    <mergeCell ref="A92:D92"/>
    <mergeCell ref="E92:F92"/>
    <mergeCell ref="A166:F166"/>
    <mergeCell ref="A167:D168"/>
    <mergeCell ref="A130:D130"/>
    <mergeCell ref="E130:F130"/>
    <mergeCell ref="A132:F132"/>
    <mergeCell ref="A133:D134"/>
    <mergeCell ref="A145:D145"/>
    <mergeCell ref="E145:F145"/>
    <mergeCell ref="A147:F147"/>
    <mergeCell ref="A148:D149"/>
    <mergeCell ref="A163:D163"/>
    <mergeCell ref="E163:F163"/>
    <mergeCell ref="A113:F113"/>
    <mergeCell ref="A185:D185"/>
    <mergeCell ref="E185:F185"/>
    <mergeCell ref="A407:F407"/>
    <mergeCell ref="A1355:F1355"/>
    <mergeCell ref="A1356:D1357"/>
    <mergeCell ref="A1374:D1374"/>
    <mergeCell ref="E1374:F1374"/>
    <mergeCell ref="A1376:F1376"/>
    <mergeCell ref="A1377:D1378"/>
    <mergeCell ref="A1395:D1395"/>
    <mergeCell ref="E1395:F1395"/>
    <mergeCell ref="A1295:D1296"/>
    <mergeCell ref="A1312:D1312"/>
    <mergeCell ref="E1312:F1312"/>
    <mergeCell ref="A1314:F1314"/>
    <mergeCell ref="A1315:D1316"/>
    <mergeCell ref="A1332:D1332"/>
    <mergeCell ref="E1332:F1332"/>
    <mergeCell ref="A1334:F1334"/>
    <mergeCell ref="A1335:D1336"/>
    <mergeCell ref="A1397:F1397"/>
    <mergeCell ref="A1398:D1399"/>
    <mergeCell ref="A1414:D1414"/>
    <mergeCell ref="E1414:F1414"/>
    <mergeCell ref="A1133:F1133"/>
    <mergeCell ref="A1134:D1135"/>
    <mergeCell ref="A1154:D1154"/>
    <mergeCell ref="E1154:F1154"/>
    <mergeCell ref="A1156:F1156"/>
    <mergeCell ref="A1157:D1158"/>
    <mergeCell ref="A1178:D1178"/>
    <mergeCell ref="E1178:F1178"/>
    <mergeCell ref="A1180:F1180"/>
    <mergeCell ref="A1181:D1182"/>
    <mergeCell ref="A1201:D1201"/>
    <mergeCell ref="E1201:F1201"/>
    <mergeCell ref="A1203:F1203"/>
    <mergeCell ref="A1204:D1205"/>
    <mergeCell ref="A1225:D1225"/>
    <mergeCell ref="E1225:F1225"/>
    <mergeCell ref="A1227:F1227"/>
    <mergeCell ref="A1228:D1229"/>
    <mergeCell ref="A1353:D1353"/>
    <mergeCell ref="E1353:F1353"/>
  </mergeCells>
  <pageMargins left="0.7" right="0.7" top="0.75" bottom="0.75" header="0.3" footer="0.3"/>
  <pageSetup scale="66" fitToHeight="0" orientation="portrait" r:id="rId1"/>
  <rowBreaks count="4" manualBreakCount="4">
    <brk id="237" max="5" man="1"/>
    <brk id="484" max="5" man="1"/>
    <brk id="542" max="5" man="1"/>
    <brk id="763"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RESUMEN APUS</vt:lpstr>
      <vt:lpstr>APUS</vt:lpstr>
      <vt:lpstr>APUS!Área_de_impresión</vt:lpstr>
      <vt:lpstr>'RESUMEN APUS'!Área_de_impresión</vt:lpstr>
      <vt:lpstr>'RESUMEN APUS'!Títulos_a_imprimir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ZAPATA CORREA</dc:creator>
  <cp:keywords/>
  <dc:description/>
  <cp:lastModifiedBy>LUIS FELIPE CAMPOS CORREDOR</cp:lastModifiedBy>
  <cp:revision/>
  <cp:lastPrinted>2026-01-28T16:27:59Z</cp:lastPrinted>
  <dcterms:created xsi:type="dcterms:W3CDTF">2025-02-04T19:08:18Z</dcterms:created>
  <dcterms:modified xsi:type="dcterms:W3CDTF">2026-02-11T22:04:58Z</dcterms:modified>
  <cp:category/>
  <cp:contentStatus/>
</cp:coreProperties>
</file>