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E:\PROYECTO APICOLA\Presupuesto\"/>
    </mc:Choice>
  </mc:AlternateContent>
  <xr:revisionPtr revIDLastSave="0" documentId="13_ncr:1_{E55FD477-A6B9-43FF-8419-9DCE9C213342}" xr6:coauthVersionLast="47" xr6:coauthVersionMax="47" xr10:uidLastSave="{00000000-0000-0000-0000-000000000000}"/>
  <bookViews>
    <workbookView xWindow="3375" yWindow="255" windowWidth="13980" windowHeight="15225" activeTab="4" xr2:uid="{00000000-000D-0000-FFFF-FFFF00000000}"/>
  </bookViews>
  <sheets>
    <sheet name="Presupuesto Inversión Directa" sheetId="13" r:id="rId1"/>
    <sheet name="Análisis cotizaciones VF" sheetId="27" r:id="rId2"/>
    <sheet name="Flujo caja 2025" sheetId="29" r:id="rId3"/>
    <sheet name="Flujo Caja Contrapartida " sheetId="18" r:id="rId4"/>
    <sheet name="Costos de implementación" sheetId="15" r:id="rId5"/>
    <sheet name="Desembolsos FCP" sheetId="17" r:id="rId6"/>
    <sheet name="Cálculo póliza" sheetId="19" r:id="rId7"/>
    <sheet name="Presupuesto de obra" sheetId="30" r:id="rId8"/>
    <sheet name="MTF_APICULTURA (10+45)" sheetId="9" r:id="rId9"/>
  </sheets>
  <externalReferences>
    <externalReference r:id="rId10"/>
    <externalReference r:id="rId11"/>
    <externalReference r:id="rId12"/>
    <externalReference r:id="rId13"/>
    <externalReference r:id="rId14"/>
    <externalReference r:id="rId15"/>
    <externalReference r:id="rId16"/>
    <externalReference r:id="rId17"/>
  </externalReferences>
  <definedNames>
    <definedName name="_xlnm.Print_Area" localSheetId="7">'Presupuesto de obra'!$A$1:$F$63</definedName>
    <definedName name="Display_Week">'[1]Plan de trabajo'!$E$4</definedName>
    <definedName name="Project_Start">'[1]Plan de trabajo'!$E$3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142" i="9" l="1"/>
  <c r="L44" i="27"/>
  <c r="K44" i="27"/>
  <c r="B44" i="27"/>
  <c r="A44" i="27"/>
  <c r="N44" i="27" l="1"/>
  <c r="M44" i="27"/>
  <c r="H16" i="15"/>
  <c r="I37" i="27"/>
  <c r="I40" i="27"/>
  <c r="H40" i="27"/>
  <c r="I39" i="27"/>
  <c r="H39" i="27"/>
  <c r="I38" i="27"/>
  <c r="H38" i="27"/>
  <c r="H37" i="27"/>
  <c r="I36" i="27"/>
  <c r="H36" i="27"/>
  <c r="G35" i="27"/>
  <c r="O44" i="27" l="1"/>
  <c r="B125" i="9"/>
  <c r="B78" i="13" s="1"/>
  <c r="B126" i="9"/>
  <c r="B79" i="13" s="1"/>
  <c r="B127" i="9"/>
  <c r="B80" i="13" s="1"/>
  <c r="B128" i="9"/>
  <c r="B81" i="13" s="1"/>
  <c r="B124" i="9"/>
  <c r="B77" i="13" s="1"/>
  <c r="D17" i="17" l="1"/>
  <c r="E52" i="30"/>
  <c r="E56" i="30" s="1"/>
  <c r="G51" i="30"/>
  <c r="E49" i="30"/>
  <c r="D49" i="30"/>
  <c r="E48" i="30"/>
  <c r="D48" i="30"/>
  <c r="E45" i="30"/>
  <c r="D45" i="30"/>
  <c r="E44" i="30"/>
  <c r="D44" i="30"/>
  <c r="E41" i="30"/>
  <c r="F41" i="30" s="1"/>
  <c r="E40" i="30"/>
  <c r="D40" i="30"/>
  <c r="F40" i="30" s="1"/>
  <c r="E39" i="30"/>
  <c r="D39" i="30"/>
  <c r="E38" i="30"/>
  <c r="F38" i="30" s="1"/>
  <c r="E37" i="30"/>
  <c r="D37" i="30"/>
  <c r="E34" i="30"/>
  <c r="D34" i="30"/>
  <c r="E33" i="30"/>
  <c r="D33" i="30"/>
  <c r="E32" i="30"/>
  <c r="D32" i="30"/>
  <c r="E28" i="30"/>
  <c r="E24" i="30"/>
  <c r="F24" i="30" s="1"/>
  <c r="E23" i="30"/>
  <c r="F23" i="30" s="1"/>
  <c r="E22" i="30"/>
  <c r="F22" i="30" s="1"/>
  <c r="A22" i="30"/>
  <c r="E21" i="30" a="1"/>
  <c r="E21" i="30" s="1"/>
  <c r="F21" i="30" s="1"/>
  <c r="E19" i="30"/>
  <c r="F19" i="30" s="1"/>
  <c r="E18" i="30"/>
  <c r="F18" i="30" s="1"/>
  <c r="E16" i="30"/>
  <c r="D16" i="30"/>
  <c r="F16" i="30" s="1"/>
  <c r="E15" i="30" a="1"/>
  <c r="E15" i="30" s="1"/>
  <c r="D15" i="30"/>
  <c r="E14" i="30" a="1"/>
  <c r="E14" i="30" s="1"/>
  <c r="D14" i="30"/>
  <c r="E11" i="30"/>
  <c r="D11" i="30"/>
  <c r="F11" i="30" s="1"/>
  <c r="E10" i="30"/>
  <c r="D10" i="30"/>
  <c r="F10" i="30" s="1"/>
  <c r="E9" i="30"/>
  <c r="D9" i="30"/>
  <c r="E8" i="30"/>
  <c r="D8" i="30"/>
  <c r="D28" i="30" s="1"/>
  <c r="F44" i="30" l="1"/>
  <c r="F32" i="30"/>
  <c r="F48" i="30"/>
  <c r="F8" i="30"/>
  <c r="F7" i="30" s="1"/>
  <c r="F9" i="30"/>
  <c r="F28" i="30"/>
  <c r="F27" i="30" s="1"/>
  <c r="F34" i="30"/>
  <c r="F20" i="30"/>
  <c r="F49" i="30"/>
  <c r="F45" i="30"/>
  <c r="F43" i="30" s="1"/>
  <c r="F14" i="30"/>
  <c r="F33" i="30"/>
  <c r="F37" i="30"/>
  <c r="F39" i="30"/>
  <c r="F15" i="30"/>
  <c r="F17" i="30"/>
  <c r="F47" i="30" l="1"/>
  <c r="J51" i="30" s="1"/>
  <c r="J54" i="30" s="1"/>
  <c r="F31" i="30"/>
  <c r="F13" i="30"/>
  <c r="G7" i="30" s="1"/>
  <c r="G8" i="30" s="1"/>
  <c r="F36" i="30"/>
  <c r="J52" i="30" l="1"/>
  <c r="J55" i="30" s="1"/>
  <c r="J53" i="30"/>
  <c r="G31" i="30"/>
  <c r="G32" i="30" s="1"/>
  <c r="G47" i="30"/>
  <c r="I51" i="30"/>
  <c r="I54" i="30" s="1"/>
  <c r="H51" i="30"/>
  <c r="H53" i="30" s="1"/>
  <c r="F51" i="30"/>
  <c r="F52" i="30" s="1"/>
  <c r="H54" i="30"/>
  <c r="G52" i="30" l="1"/>
  <c r="F53" i="30"/>
  <c r="J58" i="30"/>
  <c r="I52" i="30"/>
  <c r="I55" i="30" s="1"/>
  <c r="F54" i="30"/>
  <c r="K51" i="30"/>
  <c r="I53" i="30"/>
  <c r="K53" i="30" s="1"/>
  <c r="H52" i="30"/>
  <c r="H55" i="30" s="1"/>
  <c r="F55" i="30"/>
  <c r="K54" i="30"/>
  <c r="K52" i="30" l="1"/>
  <c r="F56" i="30"/>
  <c r="F58" i="30" s="1"/>
  <c r="K55" i="30"/>
  <c r="K58" i="30"/>
  <c r="I58" i="30"/>
  <c r="I59" i="30" s="1"/>
  <c r="H58" i="30"/>
  <c r="F62" i="30"/>
  <c r="G59" i="30"/>
  <c r="H94" i="29" l="1"/>
  <c r="I94" i="29" s="1"/>
  <c r="V94" i="29" s="1"/>
  <c r="X94" i="29" s="1"/>
  <c r="Y94" i="29" s="1"/>
  <c r="B95" i="29"/>
  <c r="B94" i="29"/>
  <c r="B93" i="29"/>
  <c r="B92" i="29"/>
  <c r="B91" i="29"/>
  <c r="B90" i="29"/>
  <c r="B89" i="29"/>
  <c r="G88" i="29"/>
  <c r="E88" i="29"/>
  <c r="D88" i="29"/>
  <c r="G87" i="29"/>
  <c r="E87" i="29"/>
  <c r="D87" i="29"/>
  <c r="H85" i="29"/>
  <c r="G86" i="29"/>
  <c r="E86" i="29"/>
  <c r="D86" i="29"/>
  <c r="G85" i="29"/>
  <c r="F85" i="29"/>
  <c r="E85" i="29"/>
  <c r="D85" i="29"/>
  <c r="B88" i="29"/>
  <c r="B87" i="29"/>
  <c r="B86" i="29"/>
  <c r="J82" i="29"/>
  <c r="D81" i="29"/>
  <c r="C81" i="29"/>
  <c r="C80" i="29"/>
  <c r="D79" i="29"/>
  <c r="C79" i="29"/>
  <c r="D78" i="29"/>
  <c r="C78" i="29"/>
  <c r="D77" i="29"/>
  <c r="C77" i="29"/>
  <c r="J74" i="29"/>
  <c r="B72" i="29"/>
  <c r="B71" i="29"/>
  <c r="B69" i="29"/>
  <c r="B68" i="29"/>
  <c r="B66" i="29"/>
  <c r="J63" i="29"/>
  <c r="C61" i="29"/>
  <c r="B61" i="29"/>
  <c r="C60" i="29"/>
  <c r="B60" i="29"/>
  <c r="H59" i="29"/>
  <c r="C59" i="29"/>
  <c r="B59" i="29"/>
  <c r="C58" i="29"/>
  <c r="J55" i="29"/>
  <c r="J51" i="29"/>
  <c r="G49" i="29"/>
  <c r="B49" i="29"/>
  <c r="G48" i="29"/>
  <c r="B48" i="29"/>
  <c r="G47" i="29"/>
  <c r="B47" i="29"/>
  <c r="G46" i="29"/>
  <c r="B46" i="29"/>
  <c r="A46" i="29"/>
  <c r="G45" i="29"/>
  <c r="G44" i="29"/>
  <c r="G43" i="29"/>
  <c r="B43" i="29"/>
  <c r="A43" i="29"/>
  <c r="G42" i="29"/>
  <c r="C42" i="29"/>
  <c r="B42" i="29"/>
  <c r="G41" i="29"/>
  <c r="D41" i="29"/>
  <c r="B41" i="29"/>
  <c r="J37" i="29"/>
  <c r="J32" i="29"/>
  <c r="J21" i="29"/>
  <c r="G14" i="29"/>
  <c r="D14" i="29"/>
  <c r="G13" i="29"/>
  <c r="D13" i="29"/>
  <c r="G12" i="29"/>
  <c r="D12" i="29"/>
  <c r="G11" i="29"/>
  <c r="D11" i="29"/>
  <c r="G10" i="29"/>
  <c r="D10" i="29"/>
  <c r="G9" i="29"/>
  <c r="D9" i="29"/>
  <c r="G8" i="29"/>
  <c r="D8" i="29"/>
  <c r="G7" i="29"/>
  <c r="D7" i="29"/>
  <c r="J4" i="29"/>
  <c r="G3" i="29"/>
  <c r="D3" i="29"/>
  <c r="J106" i="29" l="1"/>
  <c r="I59" i="29"/>
  <c r="G28" i="19"/>
  <c r="V59" i="29" l="1"/>
  <c r="T59" i="29"/>
  <c r="U59" i="29"/>
  <c r="S59" i="29"/>
  <c r="O59" i="29"/>
  <c r="R59" i="29"/>
  <c r="Q59" i="29"/>
  <c r="P59" i="29"/>
  <c r="K18" i="27"/>
  <c r="L12" i="27"/>
  <c r="L13" i="27"/>
  <c r="X59" i="29" l="1"/>
  <c r="Y59" i="29" s="1"/>
  <c r="J41" i="27"/>
  <c r="I41" i="27"/>
  <c r="G112" i="9"/>
  <c r="E35" i="29" s="1"/>
  <c r="H35" i="29" s="1"/>
  <c r="I35" i="29" s="1"/>
  <c r="P35" i="29" s="1"/>
  <c r="X35" i="29" s="1"/>
  <c r="Y35" i="29" s="1"/>
  <c r="G111" i="9"/>
  <c r="E36" i="29" s="1"/>
  <c r="H36" i="29" s="1"/>
  <c r="I36" i="29" s="1"/>
  <c r="P36" i="29" s="1"/>
  <c r="X36" i="29" s="1"/>
  <c r="Y36" i="29" s="1"/>
  <c r="G110" i="9"/>
  <c r="E34" i="29" s="1"/>
  <c r="H34" i="29" s="1"/>
  <c r="I34" i="29" l="1"/>
  <c r="H37" i="29"/>
  <c r="H59" i="13"/>
  <c r="O162" i="9"/>
  <c r="O161" i="9"/>
  <c r="O160" i="9"/>
  <c r="M162" i="9"/>
  <c r="M161" i="9"/>
  <c r="M160" i="9"/>
  <c r="K162" i="9"/>
  <c r="K161" i="9"/>
  <c r="K160" i="9"/>
  <c r="I139" i="9"/>
  <c r="G139" i="9"/>
  <c r="Q34" i="29" l="1"/>
  <c r="I37" i="29"/>
  <c r="X34" i="29" l="1"/>
  <c r="Y34" i="29" s="1"/>
  <c r="H66" i="9"/>
  <c r="H37" i="9"/>
  <c r="H36" i="9"/>
  <c r="H38" i="9"/>
  <c r="H32" i="9"/>
  <c r="H33" i="9"/>
  <c r="H34" i="9"/>
  <c r="H35" i="9"/>
  <c r="H31" i="9"/>
  <c r="H39" i="9"/>
  <c r="F6" i="15" l="1"/>
  <c r="F5" i="15"/>
  <c r="F4" i="15"/>
  <c r="F86" i="29" s="1"/>
  <c r="F87" i="29" l="1"/>
  <c r="E60" i="29"/>
  <c r="H60" i="29" s="1"/>
  <c r="G140" i="9"/>
  <c r="I140" i="9" s="1"/>
  <c r="G141" i="9"/>
  <c r="I141" i="9" s="1"/>
  <c r="E61" i="29"/>
  <c r="H61" i="29" s="1"/>
  <c r="I61" i="29" s="1"/>
  <c r="F88" i="29"/>
  <c r="E60" i="13"/>
  <c r="H60" i="13" s="1"/>
  <c r="E61" i="13"/>
  <c r="H61" i="13" s="1"/>
  <c r="J42" i="27"/>
  <c r="I42" i="27"/>
  <c r="J43" i="27"/>
  <c r="I43" i="27"/>
  <c r="I60" i="29" l="1"/>
  <c r="H63" i="29"/>
  <c r="S61" i="29"/>
  <c r="U61" i="29"/>
  <c r="P61" i="29"/>
  <c r="R61" i="29"/>
  <c r="T61" i="29"/>
  <c r="Q61" i="29"/>
  <c r="O61" i="29"/>
  <c r="X61" i="29" s="1"/>
  <c r="Y61" i="29" s="1"/>
  <c r="V61" i="29"/>
  <c r="I35" i="27"/>
  <c r="K35" i="27" s="1"/>
  <c r="S60" i="29" l="1"/>
  <c r="T60" i="29"/>
  <c r="R60" i="29"/>
  <c r="Q60" i="29"/>
  <c r="U60" i="29"/>
  <c r="V60" i="29"/>
  <c r="O60" i="29"/>
  <c r="P60" i="29"/>
  <c r="I63" i="29"/>
  <c r="F17" i="15"/>
  <c r="X60" i="29" l="1"/>
  <c r="Y60" i="29" s="1"/>
  <c r="D41" i="13"/>
  <c r="D14" i="13"/>
  <c r="D13" i="13"/>
  <c r="D12" i="13"/>
  <c r="D11" i="13"/>
  <c r="D10" i="13"/>
  <c r="D9" i="13"/>
  <c r="D8" i="13"/>
  <c r="D7" i="13"/>
  <c r="D3" i="13"/>
  <c r="G49" i="13"/>
  <c r="G48" i="13"/>
  <c r="G47" i="13"/>
  <c r="G46" i="13"/>
  <c r="G45" i="13"/>
  <c r="G44" i="13"/>
  <c r="G43" i="13"/>
  <c r="G42" i="13"/>
  <c r="G41" i="13"/>
  <c r="G14" i="13"/>
  <c r="G13" i="13"/>
  <c r="G12" i="13"/>
  <c r="G11" i="13"/>
  <c r="G10" i="13"/>
  <c r="G9" i="13"/>
  <c r="G8" i="13"/>
  <c r="G3" i="13"/>
  <c r="G7" i="13"/>
  <c r="M6" i="15"/>
  <c r="M7" i="15"/>
  <c r="M8" i="15" l="1"/>
  <c r="L42" i="13"/>
  <c r="L43" i="13" s="1"/>
  <c r="H6" i="15" l="1"/>
  <c r="H88" i="29" s="1"/>
  <c r="I88" i="29" s="1"/>
  <c r="H5" i="15"/>
  <c r="H87" i="29" s="1"/>
  <c r="I87" i="29" s="1"/>
  <c r="W87" i="29" l="1"/>
  <c r="L87" i="29"/>
  <c r="T87" i="29"/>
  <c r="P87" i="29"/>
  <c r="N87" i="29"/>
  <c r="O87" i="29"/>
  <c r="V87" i="29"/>
  <c r="S87" i="29"/>
  <c r="R87" i="29"/>
  <c r="M87" i="29"/>
  <c r="Q87" i="29"/>
  <c r="U87" i="29"/>
  <c r="W88" i="29"/>
  <c r="T88" i="29"/>
  <c r="Q88" i="29"/>
  <c r="U88" i="29"/>
  <c r="L88" i="29"/>
  <c r="R88" i="29"/>
  <c r="P88" i="29"/>
  <c r="N88" i="29"/>
  <c r="O88" i="29"/>
  <c r="S88" i="29"/>
  <c r="V88" i="29"/>
  <c r="M88" i="29"/>
  <c r="L43" i="27"/>
  <c r="K43" i="27"/>
  <c r="L42" i="27"/>
  <c r="K42" i="27"/>
  <c r="L41" i="27"/>
  <c r="K41" i="27"/>
  <c r="L40" i="27"/>
  <c r="K40" i="27"/>
  <c r="G128" i="9" s="1"/>
  <c r="E81" i="29" s="1"/>
  <c r="H81" i="29" s="1"/>
  <c r="I81" i="29" s="1"/>
  <c r="R81" i="29" s="1"/>
  <c r="X81" i="29" s="1"/>
  <c r="Y81" i="29" s="1"/>
  <c r="L39" i="27"/>
  <c r="K39" i="27"/>
  <c r="G127" i="9" s="1"/>
  <c r="E80" i="29" s="1"/>
  <c r="H80" i="29" s="1"/>
  <c r="I80" i="29" s="1"/>
  <c r="R80" i="29" s="1"/>
  <c r="X80" i="29" s="1"/>
  <c r="Y80" i="29" s="1"/>
  <c r="L38" i="27"/>
  <c r="K38" i="27"/>
  <c r="L37" i="27"/>
  <c r="K37" i="27"/>
  <c r="G125" i="9" s="1"/>
  <c r="E78" i="29" s="1"/>
  <c r="H78" i="29" s="1"/>
  <c r="I78" i="29" s="1"/>
  <c r="R78" i="29" s="1"/>
  <c r="X78" i="29" s="1"/>
  <c r="Y78" i="29" s="1"/>
  <c r="L36" i="27"/>
  <c r="K36" i="27"/>
  <c r="L35" i="27"/>
  <c r="G108" i="9"/>
  <c r="L34" i="27"/>
  <c r="K34" i="27"/>
  <c r="G71" i="9" s="1"/>
  <c r="E46" i="29" s="1"/>
  <c r="H46" i="29" s="1"/>
  <c r="I46" i="29" s="1"/>
  <c r="P46" i="29" s="1"/>
  <c r="X46" i="29" s="1"/>
  <c r="Y46" i="29" s="1"/>
  <c r="L33" i="27"/>
  <c r="K33" i="27"/>
  <c r="L32" i="27"/>
  <c r="K32" i="27"/>
  <c r="G109" i="9" s="1"/>
  <c r="E31" i="29" s="1"/>
  <c r="H31" i="29" s="1"/>
  <c r="I31" i="29" s="1"/>
  <c r="U31" i="29" s="1"/>
  <c r="X31" i="29" s="1"/>
  <c r="Y31" i="29" s="1"/>
  <c r="L31" i="27"/>
  <c r="K31" i="27"/>
  <c r="L30" i="27"/>
  <c r="K30" i="27"/>
  <c r="G105" i="9" s="1"/>
  <c r="E29" i="29" s="1"/>
  <c r="H29" i="29" s="1"/>
  <c r="I29" i="29" s="1"/>
  <c r="U29" i="29" s="1"/>
  <c r="X29" i="29" s="1"/>
  <c r="Y29" i="29" s="1"/>
  <c r="L29" i="27"/>
  <c r="K29" i="27"/>
  <c r="G104" i="9" s="1"/>
  <c r="E28" i="29" s="1"/>
  <c r="H28" i="29" s="1"/>
  <c r="I28" i="29" s="1"/>
  <c r="U28" i="29" s="1"/>
  <c r="X28" i="29" s="1"/>
  <c r="Y28" i="29" s="1"/>
  <c r="L28" i="27"/>
  <c r="K28" i="27"/>
  <c r="G107" i="9" s="1"/>
  <c r="E27" i="29" s="1"/>
  <c r="H27" i="29" s="1"/>
  <c r="I27" i="29" s="1"/>
  <c r="U27" i="29" s="1"/>
  <c r="X27" i="29" s="1"/>
  <c r="Y27" i="29" s="1"/>
  <c r="L27" i="27"/>
  <c r="K27" i="27"/>
  <c r="G106" i="9" s="1"/>
  <c r="E26" i="29" s="1"/>
  <c r="H26" i="29" s="1"/>
  <c r="I26" i="29" s="1"/>
  <c r="U26" i="29" s="1"/>
  <c r="X26" i="29" s="1"/>
  <c r="Y26" i="29" s="1"/>
  <c r="L26" i="27"/>
  <c r="K26" i="27"/>
  <c r="G103" i="9" s="1"/>
  <c r="E25" i="29" s="1"/>
  <c r="H25" i="29" s="1"/>
  <c r="I25" i="29" s="1"/>
  <c r="U25" i="29" s="1"/>
  <c r="X25" i="29" s="1"/>
  <c r="Y25" i="29" s="1"/>
  <c r="L25" i="27"/>
  <c r="K25" i="27"/>
  <c r="L24" i="27"/>
  <c r="K24" i="27"/>
  <c r="G94" i="9" s="1"/>
  <c r="E18" i="29" s="1"/>
  <c r="H18" i="29" s="1"/>
  <c r="I18" i="29" s="1"/>
  <c r="U18" i="29" s="1"/>
  <c r="X18" i="29" s="1"/>
  <c r="Y18" i="29" s="1"/>
  <c r="L23" i="27"/>
  <c r="K23" i="27"/>
  <c r="L22" i="27"/>
  <c r="K22" i="27"/>
  <c r="G72" i="9" s="1"/>
  <c r="E47" i="29" s="1"/>
  <c r="H47" i="29" s="1"/>
  <c r="I47" i="29" s="1"/>
  <c r="P47" i="29" s="1"/>
  <c r="X47" i="29" s="1"/>
  <c r="Y47" i="29" s="1"/>
  <c r="L21" i="27"/>
  <c r="K21" i="27"/>
  <c r="L20" i="27"/>
  <c r="K20" i="27"/>
  <c r="G74" i="9" s="1"/>
  <c r="E49" i="29" s="1"/>
  <c r="H49" i="29" s="1"/>
  <c r="I49" i="29" s="1"/>
  <c r="P49" i="29" s="1"/>
  <c r="X49" i="29" s="1"/>
  <c r="Y49" i="29" s="1"/>
  <c r="L19" i="27"/>
  <c r="K19" i="27"/>
  <c r="L18" i="27"/>
  <c r="M18" i="27" s="1"/>
  <c r="L17" i="27"/>
  <c r="K17" i="27"/>
  <c r="L16" i="27"/>
  <c r="K16" i="27"/>
  <c r="G91" i="9" s="1"/>
  <c r="E16" i="29" s="1"/>
  <c r="H16" i="29" s="1"/>
  <c r="I16" i="29" s="1"/>
  <c r="U16" i="29" s="1"/>
  <c r="L15" i="27"/>
  <c r="K15" i="27"/>
  <c r="G90" i="9" s="1"/>
  <c r="E17" i="29" s="1"/>
  <c r="H17" i="29" s="1"/>
  <c r="I17" i="29" s="1"/>
  <c r="U17" i="29" s="1"/>
  <c r="X17" i="29" s="1"/>
  <c r="Y17" i="29" s="1"/>
  <c r="L14" i="27"/>
  <c r="K14" i="27"/>
  <c r="G70" i="9" s="1"/>
  <c r="E45" i="29" s="1"/>
  <c r="H45" i="29" s="1"/>
  <c r="I45" i="29" s="1"/>
  <c r="P45" i="29" s="1"/>
  <c r="X45" i="29" s="1"/>
  <c r="Y45" i="29" s="1"/>
  <c r="K13" i="27"/>
  <c r="G69" i="9" s="1"/>
  <c r="E44" i="29" s="1"/>
  <c r="H44" i="29" s="1"/>
  <c r="I44" i="29" s="1"/>
  <c r="P44" i="29" s="1"/>
  <c r="X44" i="29" s="1"/>
  <c r="Y44" i="29" s="1"/>
  <c r="K12" i="27"/>
  <c r="G68" i="9" s="1"/>
  <c r="E43" i="29" s="1"/>
  <c r="H43" i="29" s="1"/>
  <c r="I43" i="29" s="1"/>
  <c r="P43" i="29" s="1"/>
  <c r="X43" i="29" s="1"/>
  <c r="Y43" i="29" s="1"/>
  <c r="L11" i="27"/>
  <c r="K11" i="27"/>
  <c r="G39" i="9" s="1"/>
  <c r="E3" i="29" s="1"/>
  <c r="L10" i="27"/>
  <c r="K10" i="27"/>
  <c r="G38" i="9" s="1"/>
  <c r="E14" i="29" s="1"/>
  <c r="L9" i="27"/>
  <c r="K9" i="27"/>
  <c r="G37" i="9" s="1"/>
  <c r="E13" i="29" s="1"/>
  <c r="L8" i="27"/>
  <c r="K8" i="27"/>
  <c r="G36" i="9" s="1"/>
  <c r="E12" i="29" s="1"/>
  <c r="L7" i="27"/>
  <c r="K7" i="27"/>
  <c r="G35" i="9" s="1"/>
  <c r="E11" i="29" s="1"/>
  <c r="L6" i="27"/>
  <c r="K6" i="27"/>
  <c r="G34" i="9" s="1"/>
  <c r="E10" i="29" s="1"/>
  <c r="L5" i="27"/>
  <c r="K5" i="27"/>
  <c r="G33" i="9" s="1"/>
  <c r="E9" i="29" s="1"/>
  <c r="L4" i="27"/>
  <c r="K4" i="27"/>
  <c r="G32" i="9" s="1"/>
  <c r="E8" i="29" s="1"/>
  <c r="L3" i="27"/>
  <c r="K3" i="27"/>
  <c r="G31" i="9" s="1"/>
  <c r="E7" i="29" s="1"/>
  <c r="X87" i="29" l="1"/>
  <c r="Y87" i="29" s="1"/>
  <c r="X88" i="29"/>
  <c r="Y88" i="29" s="1"/>
  <c r="M38" i="27"/>
  <c r="G126" i="9"/>
  <c r="E79" i="29" s="1"/>
  <c r="H79" i="29" s="1"/>
  <c r="I79" i="29" s="1"/>
  <c r="R79" i="29" s="1"/>
  <c r="X79" i="29" s="1"/>
  <c r="Y79" i="29" s="1"/>
  <c r="F9" i="29"/>
  <c r="H9" i="29"/>
  <c r="I9" i="29" s="1"/>
  <c r="F11" i="29"/>
  <c r="H11" i="29"/>
  <c r="I11" i="29" s="1"/>
  <c r="H13" i="29"/>
  <c r="I13" i="29" s="1"/>
  <c r="F13" i="29"/>
  <c r="F3" i="29"/>
  <c r="H3" i="29"/>
  <c r="X16" i="29"/>
  <c r="Y16" i="29" s="1"/>
  <c r="N36" i="27"/>
  <c r="G124" i="9"/>
  <c r="E77" i="29" s="1"/>
  <c r="H77" i="29" s="1"/>
  <c r="E30" i="29"/>
  <c r="H30" i="29" s="1"/>
  <c r="I30" i="29" s="1"/>
  <c r="R30" i="29" s="1"/>
  <c r="I108" i="9"/>
  <c r="F7" i="29"/>
  <c r="H7" i="29"/>
  <c r="F8" i="29"/>
  <c r="H8" i="29"/>
  <c r="I8" i="29" s="1"/>
  <c r="H10" i="29"/>
  <c r="I10" i="29" s="1"/>
  <c r="F10" i="29"/>
  <c r="F12" i="29"/>
  <c r="H12" i="29"/>
  <c r="I12" i="29" s="1"/>
  <c r="H14" i="29"/>
  <c r="I14" i="29" s="1"/>
  <c r="F14" i="29"/>
  <c r="M42" i="27"/>
  <c r="I106" i="9"/>
  <c r="I104" i="9"/>
  <c r="I107" i="9"/>
  <c r="I105" i="9"/>
  <c r="N33" i="27"/>
  <c r="G67" i="9"/>
  <c r="E42" i="29" s="1"/>
  <c r="H42" i="29" s="1"/>
  <c r="I42" i="29" s="1"/>
  <c r="P42" i="29" s="1"/>
  <c r="X42" i="29" s="1"/>
  <c r="Y42" i="29" s="1"/>
  <c r="M19" i="27"/>
  <c r="G73" i="9"/>
  <c r="E48" i="29" s="1"/>
  <c r="H48" i="29" s="1"/>
  <c r="I48" i="29" s="1"/>
  <c r="P48" i="29" s="1"/>
  <c r="X48" i="29" s="1"/>
  <c r="Y48" i="29" s="1"/>
  <c r="N21" i="27"/>
  <c r="G92" i="9"/>
  <c r="E20" i="29" s="1"/>
  <c r="H20" i="29" s="1"/>
  <c r="I20" i="29" s="1"/>
  <c r="U20" i="29" s="1"/>
  <c r="X20" i="29" s="1"/>
  <c r="Y20" i="29" s="1"/>
  <c r="M23" i="27"/>
  <c r="G93" i="9"/>
  <c r="E19" i="29" s="1"/>
  <c r="H19" i="29" s="1"/>
  <c r="I19" i="29" s="1"/>
  <c r="U19" i="29" s="1"/>
  <c r="X19" i="29" s="1"/>
  <c r="Y19" i="29" s="1"/>
  <c r="N25" i="27"/>
  <c r="G102" i="9"/>
  <c r="E24" i="29" s="1"/>
  <c r="H24" i="29" s="1"/>
  <c r="N29" i="27"/>
  <c r="M31" i="27"/>
  <c r="G66" i="9"/>
  <c r="E41" i="29" s="1"/>
  <c r="H41" i="29" s="1"/>
  <c r="M14" i="27"/>
  <c r="N17" i="27"/>
  <c r="N30" i="27"/>
  <c r="N18" i="27"/>
  <c r="O18" i="27" s="1"/>
  <c r="N28" i="27"/>
  <c r="N4" i="27"/>
  <c r="M6" i="27"/>
  <c r="N8" i="27"/>
  <c r="M10" i="27"/>
  <c r="N12" i="27"/>
  <c r="N16" i="27"/>
  <c r="M27" i="27"/>
  <c r="M37" i="27"/>
  <c r="N43" i="27"/>
  <c r="M5" i="27"/>
  <c r="N11" i="27"/>
  <c r="N24" i="27"/>
  <c r="M34" i="27"/>
  <c r="N39" i="27"/>
  <c r="N34" i="27"/>
  <c r="N40" i="27"/>
  <c r="N5" i="27"/>
  <c r="M9" i="27"/>
  <c r="N15" i="27"/>
  <c r="N9" i="27"/>
  <c r="N22" i="27"/>
  <c r="N37" i="27"/>
  <c r="N3" i="27"/>
  <c r="M13" i="27"/>
  <c r="M26" i="27"/>
  <c r="N32" i="27"/>
  <c r="M41" i="27"/>
  <c r="N41" i="27"/>
  <c r="M22" i="27"/>
  <c r="O22" i="27" s="1"/>
  <c r="N13" i="27"/>
  <c r="N26" i="27"/>
  <c r="N7" i="27"/>
  <c r="M17" i="27"/>
  <c r="N20" i="27"/>
  <c r="M30" i="27"/>
  <c r="N35" i="27"/>
  <c r="M3" i="27"/>
  <c r="N6" i="27"/>
  <c r="M7" i="27"/>
  <c r="N10" i="27"/>
  <c r="M11" i="27"/>
  <c r="N14" i="27"/>
  <c r="M15" i="27"/>
  <c r="N19" i="27"/>
  <c r="O19" i="27" s="1"/>
  <c r="M20" i="27"/>
  <c r="N23" i="27"/>
  <c r="O23" i="27" s="1"/>
  <c r="M24" i="27"/>
  <c r="N27" i="27"/>
  <c r="M28" i="27"/>
  <c r="N31" i="27"/>
  <c r="O31" i="27" s="1"/>
  <c r="M32" i="27"/>
  <c r="M35" i="27"/>
  <c r="N38" i="27"/>
  <c r="O38" i="27" s="1"/>
  <c r="M39" i="27"/>
  <c r="N42" i="27"/>
  <c r="M43" i="27"/>
  <c r="M21" i="27"/>
  <c r="M25" i="27"/>
  <c r="M29" i="27"/>
  <c r="M33" i="27"/>
  <c r="M36" i="27"/>
  <c r="O36" i="27" s="1"/>
  <c r="M40" i="27"/>
  <c r="M4" i="27"/>
  <c r="M8" i="27"/>
  <c r="M12" i="27"/>
  <c r="M16" i="27"/>
  <c r="O29" i="27" l="1"/>
  <c r="O17" i="27"/>
  <c r="O10" i="27"/>
  <c r="P9" i="29"/>
  <c r="O9" i="29"/>
  <c r="X30" i="29"/>
  <c r="Y30" i="29" s="1"/>
  <c r="P13" i="29"/>
  <c r="O13" i="29"/>
  <c r="X13" i="29" s="1"/>
  <c r="Y13" i="29" s="1"/>
  <c r="O12" i="29"/>
  <c r="P12" i="29"/>
  <c r="P8" i="29"/>
  <c r="O8" i="29"/>
  <c r="X8" i="29" s="1"/>
  <c r="Y8" i="29" s="1"/>
  <c r="O5" i="27"/>
  <c r="I7" i="29"/>
  <c r="H21" i="29"/>
  <c r="I77" i="29"/>
  <c r="H82" i="29"/>
  <c r="I3" i="29"/>
  <c r="H4" i="29"/>
  <c r="P11" i="29"/>
  <c r="O11" i="29"/>
  <c r="I41" i="29"/>
  <c r="H51" i="29"/>
  <c r="O21" i="27"/>
  <c r="H32" i="29"/>
  <c r="I24" i="29"/>
  <c r="O14" i="29"/>
  <c r="P14" i="29"/>
  <c r="O10" i="29"/>
  <c r="P10" i="29"/>
  <c r="O25" i="27"/>
  <c r="O43" i="27"/>
  <c r="O42" i="27"/>
  <c r="O33" i="27"/>
  <c r="O30" i="27"/>
  <c r="O6" i="27"/>
  <c r="O16" i="27"/>
  <c r="O27" i="27"/>
  <c r="O14" i="27"/>
  <c r="O8" i="27"/>
  <c r="O4" i="27"/>
  <c r="O12" i="27"/>
  <c r="O41" i="27"/>
  <c r="O37" i="27"/>
  <c r="O9" i="27"/>
  <c r="O28" i="27"/>
  <c r="O11" i="27"/>
  <c r="O40" i="27"/>
  <c r="O39" i="27"/>
  <c r="O32" i="27"/>
  <c r="O24" i="27"/>
  <c r="O15" i="27"/>
  <c r="O7" i="27"/>
  <c r="O26" i="27"/>
  <c r="O13" i="27"/>
  <c r="O34" i="27"/>
  <c r="O35" i="27"/>
  <c r="O20" i="27"/>
  <c r="O3" i="27"/>
  <c r="X11" i="29" l="1"/>
  <c r="Y11" i="29" s="1"/>
  <c r="X9" i="29"/>
  <c r="Y9" i="29" s="1"/>
  <c r="I32" i="29"/>
  <c r="U24" i="29"/>
  <c r="O3" i="29"/>
  <c r="I4" i="29"/>
  <c r="P3" i="29"/>
  <c r="P7" i="29"/>
  <c r="I21" i="29"/>
  <c r="O7" i="29"/>
  <c r="X10" i="29"/>
  <c r="Y10" i="29" s="1"/>
  <c r="X12" i="29"/>
  <c r="Y12" i="29" s="1"/>
  <c r="P41" i="29"/>
  <c r="X41" i="29" s="1"/>
  <c r="Y41" i="29" s="1"/>
  <c r="I51" i="29"/>
  <c r="I82" i="29"/>
  <c r="R77" i="29"/>
  <c r="X14" i="29"/>
  <c r="Y14" i="29" s="1"/>
  <c r="H4" i="15"/>
  <c r="H86" i="29" s="1"/>
  <c r="I86" i="29" s="1"/>
  <c r="X3" i="29" l="1"/>
  <c r="Y3" i="29" s="1"/>
  <c r="W86" i="29"/>
  <c r="W98" i="29" s="1"/>
  <c r="P86" i="29"/>
  <c r="T86" i="29"/>
  <c r="L86" i="29"/>
  <c r="S86" i="29"/>
  <c r="Q86" i="29"/>
  <c r="O86" i="29"/>
  <c r="M86" i="29"/>
  <c r="U86" i="29"/>
  <c r="N86" i="29"/>
  <c r="R86" i="29"/>
  <c r="V86" i="29"/>
  <c r="X7" i="29"/>
  <c r="Y7" i="29" s="1"/>
  <c r="X24" i="29"/>
  <c r="Y24" i="29" s="1"/>
  <c r="X77" i="29"/>
  <c r="Y77" i="29" s="1"/>
  <c r="K21" i="15"/>
  <c r="K7" i="15"/>
  <c r="X86" i="29" l="1"/>
  <c r="Y86" i="29" s="1"/>
  <c r="D5" i="18"/>
  <c r="H5" i="18" s="1"/>
  <c r="E66" i="29" l="1"/>
  <c r="H66" i="29" s="1"/>
  <c r="G148" i="9"/>
  <c r="E72" i="29" s="1"/>
  <c r="H72" i="29" s="1"/>
  <c r="I72" i="29" s="1"/>
  <c r="Q72" i="29" l="1"/>
  <c r="T72" i="29"/>
  <c r="X72" i="29" s="1"/>
  <c r="Y72" i="29" s="1"/>
  <c r="I66" i="29"/>
  <c r="M171" i="9"/>
  <c r="P66" i="29" l="1"/>
  <c r="S66" i="29"/>
  <c r="O171" i="9"/>
  <c r="X66" i="29" l="1"/>
  <c r="Y66" i="29" s="1"/>
  <c r="Q171" i="9"/>
  <c r="I148" i="9"/>
  <c r="G146" i="9"/>
  <c r="E69" i="29" s="1"/>
  <c r="H69" i="29" s="1"/>
  <c r="I69" i="29" s="1"/>
  <c r="G144" i="9"/>
  <c r="E68" i="29" s="1"/>
  <c r="H68" i="29" s="1"/>
  <c r="I68" i="29" s="1"/>
  <c r="Q68" i="29" s="1"/>
  <c r="X68" i="29" s="1"/>
  <c r="Y68" i="29" s="1"/>
  <c r="G145" i="9"/>
  <c r="E70" i="29" s="1"/>
  <c r="H70" i="29" s="1"/>
  <c r="I70" i="29" s="1"/>
  <c r="R70" i="29" l="1"/>
  <c r="S70" i="29"/>
  <c r="X70" i="29" s="1"/>
  <c r="Y70" i="29" s="1"/>
  <c r="T69" i="29"/>
  <c r="V69" i="29"/>
  <c r="Q69" i="29"/>
  <c r="O69" i="29"/>
  <c r="X69" i="29" s="1"/>
  <c r="Y69" i="29" s="1"/>
  <c r="S171" i="9"/>
  <c r="U171" i="9" l="1"/>
  <c r="W171" i="9" l="1"/>
  <c r="Y171" i="9" l="1"/>
  <c r="I10" i="18"/>
  <c r="AA171" i="9" l="1"/>
  <c r="E35" i="13" l="1"/>
  <c r="E36" i="13"/>
  <c r="AC171" i="9"/>
  <c r="E34" i="13" l="1"/>
  <c r="H34" i="13" s="1"/>
  <c r="AE171" i="9"/>
  <c r="AG171" i="9" l="1"/>
  <c r="B102" i="9" l="1"/>
  <c r="A24" i="29" s="1"/>
  <c r="A24" i="13" l="1"/>
  <c r="J82" i="13"/>
  <c r="J74" i="13"/>
  <c r="J63" i="13"/>
  <c r="J55" i="13"/>
  <c r="J51" i="13"/>
  <c r="J37" i="13"/>
  <c r="J32" i="13"/>
  <c r="J21" i="13"/>
  <c r="H74" i="9" l="1"/>
  <c r="H73" i="9"/>
  <c r="H72" i="9"/>
  <c r="H71" i="9"/>
  <c r="H70" i="9"/>
  <c r="H69" i="9"/>
  <c r="H68" i="9"/>
  <c r="H67" i="9"/>
  <c r="I142" i="9"/>
  <c r="I146" i="9"/>
  <c r="H20" i="9"/>
  <c r="H19" i="9"/>
  <c r="H18" i="9"/>
  <c r="H17" i="9"/>
  <c r="H49" i="9"/>
  <c r="H48" i="9"/>
  <c r="H47" i="9"/>
  <c r="H46" i="9"/>
  <c r="G143" i="9"/>
  <c r="E67" i="13"/>
  <c r="H67" i="13" s="1"/>
  <c r="I67" i="13" s="1"/>
  <c r="G87" i="9"/>
  <c r="G86" i="9"/>
  <c r="G49" i="9"/>
  <c r="G48" i="9"/>
  <c r="G47" i="9"/>
  <c r="G46" i="9"/>
  <c r="G20" i="9"/>
  <c r="G19" i="9"/>
  <c r="G18" i="9"/>
  <c r="G17" i="9"/>
  <c r="I143" i="9" l="1"/>
  <c r="E67" i="29"/>
  <c r="H67" i="29" s="1"/>
  <c r="B68" i="13"/>
  <c r="D81" i="13"/>
  <c r="D79" i="13"/>
  <c r="D78" i="13"/>
  <c r="D77" i="13"/>
  <c r="C81" i="13"/>
  <c r="C80" i="13"/>
  <c r="C79" i="13"/>
  <c r="C78" i="13"/>
  <c r="C77" i="13"/>
  <c r="H13" i="15"/>
  <c r="H91" i="29" s="1"/>
  <c r="I91" i="29" s="1"/>
  <c r="N91" i="29" s="1"/>
  <c r="X91" i="29" s="1"/>
  <c r="Y91" i="29" s="1"/>
  <c r="H12" i="15"/>
  <c r="H90" i="29" s="1"/>
  <c r="I90" i="29" s="1"/>
  <c r="O90" i="29" s="1"/>
  <c r="X90" i="29" s="1"/>
  <c r="Y90" i="29" s="1"/>
  <c r="B12" i="15"/>
  <c r="B13" i="15" s="1"/>
  <c r="I7" i="15"/>
  <c r="H7" i="15"/>
  <c r="I67" i="29" l="1"/>
  <c r="B81" i="29"/>
  <c r="B78" i="29"/>
  <c r="B77" i="29"/>
  <c r="B79" i="29"/>
  <c r="B80" i="29"/>
  <c r="B14" i="15"/>
  <c r="B17" i="15" s="1"/>
  <c r="I124" i="9"/>
  <c r="E81" i="13"/>
  <c r="H81" i="13" s="1"/>
  <c r="I81" i="13" s="1"/>
  <c r="I19" i="15"/>
  <c r="I21" i="15" s="1"/>
  <c r="P67" i="29" l="1"/>
  <c r="V67" i="29"/>
  <c r="S67" i="29"/>
  <c r="I125" i="9"/>
  <c r="E78" i="13"/>
  <c r="H78" i="13" s="1"/>
  <c r="I78" i="13" s="1"/>
  <c r="E79" i="13"/>
  <c r="H79" i="13" s="1"/>
  <c r="I79" i="13" s="1"/>
  <c r="E80" i="13"/>
  <c r="H80" i="13" s="1"/>
  <c r="I80" i="13" s="1"/>
  <c r="I127" i="9"/>
  <c r="I126" i="9"/>
  <c r="E77" i="13"/>
  <c r="H77" i="13" s="1"/>
  <c r="I77" i="13" s="1"/>
  <c r="I128" i="9"/>
  <c r="J4" i="13"/>
  <c r="J86" i="13" s="1"/>
  <c r="J7" i="15"/>
  <c r="C58" i="13"/>
  <c r="X67" i="29" l="1"/>
  <c r="Y67" i="29" s="1"/>
  <c r="I130" i="9"/>
  <c r="I82" i="13"/>
  <c r="H82" i="13"/>
  <c r="I87" i="9"/>
  <c r="I86" i="9"/>
  <c r="G21" i="9"/>
  <c r="E54" i="29" l="1"/>
  <c r="H54" i="29" s="1"/>
  <c r="H55" i="29" l="1"/>
  <c r="I54" i="29"/>
  <c r="I39" i="9"/>
  <c r="I92" i="9"/>
  <c r="I91" i="9"/>
  <c r="I94" i="9"/>
  <c r="I93" i="9"/>
  <c r="I90" i="9"/>
  <c r="I112" i="9"/>
  <c r="I111" i="9"/>
  <c r="H35" i="13"/>
  <c r="I35" i="13" s="1"/>
  <c r="H36" i="13"/>
  <c r="I36" i="13" s="1"/>
  <c r="I89" i="9" l="1"/>
  <c r="O54" i="29"/>
  <c r="I55" i="29"/>
  <c r="P54" i="29"/>
  <c r="B49" i="13"/>
  <c r="B48" i="13"/>
  <c r="B47" i="13"/>
  <c r="A46" i="13"/>
  <c r="B46" i="13"/>
  <c r="A43" i="13"/>
  <c r="B43" i="13"/>
  <c r="B42" i="13"/>
  <c r="B41" i="13"/>
  <c r="X54" i="29" l="1"/>
  <c r="Y54" i="29" s="1"/>
  <c r="E30" i="13"/>
  <c r="I145" i="9"/>
  <c r="H30" i="13" l="1"/>
  <c r="I5" i="18"/>
  <c r="O5" i="18"/>
  <c r="N5" i="18"/>
  <c r="E70" i="13"/>
  <c r="H70" i="13" s="1"/>
  <c r="I70" i="13" s="1"/>
  <c r="B105" i="9"/>
  <c r="A29" i="29" s="1"/>
  <c r="B104" i="9"/>
  <c r="A28" i="29" s="1"/>
  <c r="E24" i="13"/>
  <c r="H24" i="13" s="1"/>
  <c r="I24" i="13" s="1"/>
  <c r="I30" i="13" l="1"/>
  <c r="W5" i="18"/>
  <c r="A28" i="13"/>
  <c r="A29" i="13"/>
  <c r="E28" i="13"/>
  <c r="E29" i="13"/>
  <c r="I109" i="9"/>
  <c r="E31" i="13"/>
  <c r="H31" i="13" s="1"/>
  <c r="E72" i="13"/>
  <c r="H72" i="13" s="1"/>
  <c r="I72" i="13" s="1"/>
  <c r="E66" i="13"/>
  <c r="H66" i="13" s="1"/>
  <c r="I66" i="13" s="1"/>
  <c r="B72" i="13"/>
  <c r="B71" i="13"/>
  <c r="B69" i="13"/>
  <c r="B66" i="13"/>
  <c r="C61" i="13"/>
  <c r="C60" i="13"/>
  <c r="C59" i="13"/>
  <c r="B61" i="13"/>
  <c r="B60" i="13"/>
  <c r="B59" i="13"/>
  <c r="H29" i="13" l="1"/>
  <c r="I29" i="13" s="1"/>
  <c r="H28" i="13"/>
  <c r="I28" i="13" s="1"/>
  <c r="I31" i="13"/>
  <c r="E54" i="13"/>
  <c r="H54" i="13" s="1"/>
  <c r="I54" i="13" s="1"/>
  <c r="I55" i="13" s="1"/>
  <c r="E46" i="13"/>
  <c r="E42" i="13"/>
  <c r="H42" i="13" s="1"/>
  <c r="I42" i="13" s="1"/>
  <c r="E41" i="13"/>
  <c r="H41" i="13" s="1"/>
  <c r="I41" i="13" s="1"/>
  <c r="C42" i="13"/>
  <c r="H46" i="13" l="1"/>
  <c r="I46" i="13" s="1"/>
  <c r="E69" i="13"/>
  <c r="H69" i="13" s="1"/>
  <c r="I69" i="13" s="1"/>
  <c r="E68" i="13"/>
  <c r="H68" i="13" s="1"/>
  <c r="I68" i="13" s="1"/>
  <c r="G147" i="9"/>
  <c r="E71" i="29" s="1"/>
  <c r="H71" i="29" s="1"/>
  <c r="I37" i="9"/>
  <c r="E14" i="13"/>
  <c r="H14" i="13" s="1"/>
  <c r="I14" i="13" s="1"/>
  <c r="I71" i="29" l="1"/>
  <c r="H74" i="29"/>
  <c r="H106" i="29" s="1"/>
  <c r="E71" i="13"/>
  <c r="H71" i="13" s="1"/>
  <c r="I71" i="13" s="1"/>
  <c r="I74" i="13" s="1"/>
  <c r="F14" i="13"/>
  <c r="U71" i="29" l="1"/>
  <c r="U98" i="29" s="1"/>
  <c r="P71" i="29"/>
  <c r="T71" i="29"/>
  <c r="T98" i="29" s="1"/>
  <c r="O71" i="29"/>
  <c r="R71" i="29"/>
  <c r="V71" i="29"/>
  <c r="V98" i="29" s="1"/>
  <c r="I74" i="29"/>
  <c r="I106" i="29" s="1"/>
  <c r="I61" i="13"/>
  <c r="I60" i="13"/>
  <c r="I59" i="13"/>
  <c r="H55" i="13"/>
  <c r="X71" i="29" l="1"/>
  <c r="Y71" i="29" s="1"/>
  <c r="I63" i="13"/>
  <c r="H63" i="13"/>
  <c r="H74" i="13"/>
  <c r="I147" i="9" l="1"/>
  <c r="I144" i="9"/>
  <c r="M67" i="9"/>
  <c r="K67" i="9"/>
  <c r="M66" i="9"/>
  <c r="K66" i="9"/>
  <c r="I21" i="9"/>
  <c r="I74" i="9" l="1"/>
  <c r="I73" i="9"/>
  <c r="I72" i="9"/>
  <c r="I71" i="9"/>
  <c r="I70" i="9"/>
  <c r="I69" i="9"/>
  <c r="I68" i="9"/>
  <c r="I67" i="9"/>
  <c r="I66" i="9"/>
  <c r="I49" i="9"/>
  <c r="I48" i="9"/>
  <c r="I46" i="9"/>
  <c r="I36" i="9"/>
  <c r="I38" i="9"/>
  <c r="I35" i="9"/>
  <c r="I34" i="9"/>
  <c r="I33" i="9"/>
  <c r="I32" i="9"/>
  <c r="I31" i="9"/>
  <c r="I20" i="9"/>
  <c r="I19" i="9"/>
  <c r="I18" i="9"/>
  <c r="I17" i="9"/>
  <c r="P169" i="9"/>
  <c r="AG152" i="9"/>
  <c r="AE152" i="9"/>
  <c r="AC152" i="9"/>
  <c r="AA152" i="9"/>
  <c r="Y152" i="9"/>
  <c r="W152" i="9"/>
  <c r="U152" i="9"/>
  <c r="S152" i="9"/>
  <c r="Q152" i="9"/>
  <c r="O152" i="9"/>
  <c r="M152" i="9"/>
  <c r="K152" i="9"/>
  <c r="I152" i="9"/>
  <c r="AG151" i="9"/>
  <c r="AE151" i="9"/>
  <c r="AC151" i="9"/>
  <c r="AA151" i="9"/>
  <c r="Y151" i="9"/>
  <c r="W151" i="9"/>
  <c r="U151" i="9"/>
  <c r="S151" i="9"/>
  <c r="Q151" i="9"/>
  <c r="O151" i="9"/>
  <c r="M151" i="9"/>
  <c r="K151" i="9"/>
  <c r="I151" i="9"/>
  <c r="AG150" i="9"/>
  <c r="AE150" i="9"/>
  <c r="AC150" i="9"/>
  <c r="AA150" i="9"/>
  <c r="Y150" i="9"/>
  <c r="W150" i="9"/>
  <c r="U150" i="9"/>
  <c r="S150" i="9"/>
  <c r="Q150" i="9"/>
  <c r="O150" i="9"/>
  <c r="M150" i="9"/>
  <c r="K150" i="9"/>
  <c r="I150" i="9"/>
  <c r="AG149" i="9"/>
  <c r="AE149" i="9"/>
  <c r="AC149" i="9"/>
  <c r="AA149" i="9"/>
  <c r="Y149" i="9"/>
  <c r="W149" i="9"/>
  <c r="U149" i="9"/>
  <c r="S149" i="9"/>
  <c r="Q149" i="9"/>
  <c r="O149" i="9"/>
  <c r="M149" i="9"/>
  <c r="K149" i="9"/>
  <c r="I149" i="9"/>
  <c r="N142" i="9"/>
  <c r="O142" i="9" s="1"/>
  <c r="M142" i="9"/>
  <c r="K142" i="9"/>
  <c r="N141" i="9"/>
  <c r="M141" i="9"/>
  <c r="K141" i="9"/>
  <c r="AG140" i="9"/>
  <c r="AE140" i="9"/>
  <c r="AC140" i="9"/>
  <c r="AA140" i="9"/>
  <c r="Y140" i="9"/>
  <c r="W140" i="9"/>
  <c r="U140" i="9"/>
  <c r="S140" i="9"/>
  <c r="Q140" i="9"/>
  <c r="O140" i="9"/>
  <c r="M140" i="9"/>
  <c r="K140" i="9"/>
  <c r="AG139" i="9"/>
  <c r="AE139" i="9"/>
  <c r="AC139" i="9"/>
  <c r="AA139" i="9"/>
  <c r="Y139" i="9"/>
  <c r="W139" i="9"/>
  <c r="U139" i="9"/>
  <c r="S139" i="9"/>
  <c r="Q139" i="9"/>
  <c r="O139" i="9"/>
  <c r="M139" i="9"/>
  <c r="K139" i="9"/>
  <c r="N138" i="9"/>
  <c r="P138" i="9" s="1"/>
  <c r="M138" i="9"/>
  <c r="K138" i="9"/>
  <c r="N121" i="9"/>
  <c r="O121" i="9" s="1"/>
  <c r="M121" i="9"/>
  <c r="K121" i="9"/>
  <c r="I121" i="9"/>
  <c r="N120" i="9"/>
  <c r="P120" i="9" s="1"/>
  <c r="M120" i="9"/>
  <c r="K120" i="9"/>
  <c r="I120" i="9"/>
  <c r="N119" i="9"/>
  <c r="O119" i="9" s="1"/>
  <c r="M119" i="9"/>
  <c r="K119" i="9"/>
  <c r="I119" i="9"/>
  <c r="B107" i="9"/>
  <c r="E26" i="13"/>
  <c r="B106" i="9"/>
  <c r="B103" i="9"/>
  <c r="AG96" i="9"/>
  <c r="AE96" i="9"/>
  <c r="AC96" i="9"/>
  <c r="AA96" i="9"/>
  <c r="Y96" i="9"/>
  <c r="W96" i="9"/>
  <c r="U96" i="9"/>
  <c r="S96" i="9"/>
  <c r="Q96" i="9"/>
  <c r="O96" i="9"/>
  <c r="M96" i="9"/>
  <c r="K96" i="9"/>
  <c r="AG95" i="9"/>
  <c r="AE95" i="9"/>
  <c r="AC95" i="9"/>
  <c r="AA95" i="9"/>
  <c r="Y95" i="9"/>
  <c r="W95" i="9"/>
  <c r="U95" i="9"/>
  <c r="S95" i="9"/>
  <c r="Q95" i="9"/>
  <c r="O95" i="9"/>
  <c r="M95" i="9"/>
  <c r="K95" i="9"/>
  <c r="S94" i="9"/>
  <c r="E18" i="13"/>
  <c r="H18" i="13" s="1"/>
  <c r="I18" i="13" s="1"/>
  <c r="B94" i="9"/>
  <c r="B93" i="9"/>
  <c r="E20" i="13"/>
  <c r="B92" i="9"/>
  <c r="N91" i="9"/>
  <c r="P91" i="9" s="1"/>
  <c r="R91" i="9" s="1"/>
  <c r="T91" i="9" s="1"/>
  <c r="V91" i="9" s="1"/>
  <c r="X91" i="9" s="1"/>
  <c r="B91" i="9"/>
  <c r="N90" i="9"/>
  <c r="P90" i="9" s="1"/>
  <c r="R90" i="9" s="1"/>
  <c r="T90" i="9" s="1"/>
  <c r="B90" i="9"/>
  <c r="I88" i="9"/>
  <c r="L87" i="9"/>
  <c r="N87" i="9" s="1"/>
  <c r="K87" i="9"/>
  <c r="L86" i="9"/>
  <c r="N86" i="9" s="1"/>
  <c r="K86" i="9"/>
  <c r="AG79" i="9"/>
  <c r="AE79" i="9"/>
  <c r="AC79" i="9"/>
  <c r="AA79" i="9"/>
  <c r="Y79" i="9"/>
  <c r="W79" i="9"/>
  <c r="U79" i="9"/>
  <c r="S79" i="9"/>
  <c r="Q79" i="9"/>
  <c r="O79" i="9"/>
  <c r="M79" i="9"/>
  <c r="K79" i="9"/>
  <c r="AG78" i="9"/>
  <c r="AE78" i="9"/>
  <c r="AC78" i="9"/>
  <c r="AA78" i="9"/>
  <c r="Y78" i="9"/>
  <c r="W78" i="9"/>
  <c r="U78" i="9"/>
  <c r="S78" i="9"/>
  <c r="Q78" i="9"/>
  <c r="O78" i="9"/>
  <c r="M78" i="9"/>
  <c r="K78" i="9"/>
  <c r="AG77" i="9"/>
  <c r="AE77" i="9"/>
  <c r="AC77" i="9"/>
  <c r="AA77" i="9"/>
  <c r="Y77" i="9"/>
  <c r="W77" i="9"/>
  <c r="U77" i="9"/>
  <c r="S77" i="9"/>
  <c r="Q77" i="9"/>
  <c r="O77" i="9"/>
  <c r="M77" i="9"/>
  <c r="K77" i="9"/>
  <c r="AG76" i="9"/>
  <c r="AE76" i="9"/>
  <c r="AC76" i="9"/>
  <c r="AA76" i="9"/>
  <c r="Y76" i="9"/>
  <c r="W76" i="9"/>
  <c r="U76" i="9"/>
  <c r="S76" i="9"/>
  <c r="Q76" i="9"/>
  <c r="O76" i="9"/>
  <c r="M76" i="9"/>
  <c r="K76" i="9"/>
  <c r="AG75" i="9"/>
  <c r="AE75" i="9"/>
  <c r="AC75" i="9"/>
  <c r="AA75" i="9"/>
  <c r="Y75" i="9"/>
  <c r="W75" i="9"/>
  <c r="U75" i="9"/>
  <c r="S75" i="9"/>
  <c r="Q75" i="9"/>
  <c r="O75" i="9"/>
  <c r="M75" i="9"/>
  <c r="K75" i="9"/>
  <c r="N74" i="9"/>
  <c r="P74" i="9" s="1"/>
  <c r="R74" i="9" s="1"/>
  <c r="T74" i="9" s="1"/>
  <c r="V74" i="9" s="1"/>
  <c r="X74" i="9" s="1"/>
  <c r="Z74" i="9" s="1"/>
  <c r="AB74" i="9" s="1"/>
  <c r="AD74" i="9" s="1"/>
  <c r="AF74" i="9" s="1"/>
  <c r="B74" i="9"/>
  <c r="N73" i="9"/>
  <c r="P73" i="9" s="1"/>
  <c r="R73" i="9" s="1"/>
  <c r="T73" i="9" s="1"/>
  <c r="V73" i="9" s="1"/>
  <c r="X73" i="9" s="1"/>
  <c r="Z73" i="9" s="1"/>
  <c r="B73" i="9"/>
  <c r="N72" i="9"/>
  <c r="P72" i="9" s="1"/>
  <c r="B72" i="9"/>
  <c r="N71" i="9"/>
  <c r="O71" i="9" s="1"/>
  <c r="M71" i="9"/>
  <c r="N70" i="9"/>
  <c r="O70" i="9" s="1"/>
  <c r="M70" i="9"/>
  <c r="B70" i="9"/>
  <c r="N69" i="9"/>
  <c r="P69" i="9" s="1"/>
  <c r="R69" i="9" s="1"/>
  <c r="T69" i="9" s="1"/>
  <c r="V69" i="9" s="1"/>
  <c r="X69" i="9" s="1"/>
  <c r="Z69" i="9" s="1"/>
  <c r="AB69" i="9" s="1"/>
  <c r="B69" i="9"/>
  <c r="N68" i="9"/>
  <c r="P68" i="9" s="1"/>
  <c r="Q68" i="9" s="1"/>
  <c r="N67" i="9"/>
  <c r="O67" i="9" s="1"/>
  <c r="P66" i="9"/>
  <c r="Q66" i="9" s="1"/>
  <c r="N66" i="9"/>
  <c r="O66" i="9" s="1"/>
  <c r="AG64" i="9"/>
  <c r="AE64" i="9"/>
  <c r="AC64" i="9"/>
  <c r="AA64" i="9"/>
  <c r="Y64" i="9"/>
  <c r="W64" i="9"/>
  <c r="U64" i="9"/>
  <c r="S64" i="9"/>
  <c r="Q64" i="9"/>
  <c r="O64" i="9"/>
  <c r="M64" i="9"/>
  <c r="K64" i="9"/>
  <c r="AG63" i="9"/>
  <c r="AE63" i="9"/>
  <c r="AC63" i="9"/>
  <c r="AA63" i="9"/>
  <c r="Y63" i="9"/>
  <c r="W63" i="9"/>
  <c r="U63" i="9"/>
  <c r="S63" i="9"/>
  <c r="Q63" i="9"/>
  <c r="O63" i="9"/>
  <c r="M63" i="9"/>
  <c r="K63" i="9"/>
  <c r="AG62" i="9"/>
  <c r="AE62" i="9"/>
  <c r="AC62" i="9"/>
  <c r="AA62" i="9"/>
  <c r="Y62" i="9"/>
  <c r="W62" i="9"/>
  <c r="U62" i="9"/>
  <c r="S62" i="9"/>
  <c r="Q62" i="9"/>
  <c r="O62" i="9"/>
  <c r="M62" i="9"/>
  <c r="K62" i="9"/>
  <c r="AG61" i="9"/>
  <c r="AE61" i="9"/>
  <c r="AC61" i="9"/>
  <c r="AA61" i="9"/>
  <c r="Y61" i="9"/>
  <c r="W61" i="9"/>
  <c r="U61" i="9"/>
  <c r="S61" i="9"/>
  <c r="Q61" i="9"/>
  <c r="O61" i="9"/>
  <c r="M61" i="9"/>
  <c r="K61" i="9"/>
  <c r="L60" i="9"/>
  <c r="M60" i="9" s="1"/>
  <c r="K60" i="9"/>
  <c r="N59" i="9"/>
  <c r="P59" i="9" s="1"/>
  <c r="R59" i="9" s="1"/>
  <c r="M59" i="9"/>
  <c r="K59" i="9"/>
  <c r="AG58" i="9"/>
  <c r="AE58" i="9"/>
  <c r="AC58" i="9"/>
  <c r="AA58" i="9"/>
  <c r="Y58" i="9"/>
  <c r="W58" i="9"/>
  <c r="U58" i="9"/>
  <c r="S58" i="9"/>
  <c r="Q58" i="9"/>
  <c r="O58" i="9"/>
  <c r="M58" i="9"/>
  <c r="K58" i="9"/>
  <c r="L57" i="9"/>
  <c r="N57" i="9" s="1"/>
  <c r="K57" i="9"/>
  <c r="L56" i="9"/>
  <c r="N56" i="9" s="1"/>
  <c r="O56" i="9" s="1"/>
  <c r="K56" i="9"/>
  <c r="AD55" i="9"/>
  <c r="AF55" i="9" s="1"/>
  <c r="L55" i="9"/>
  <c r="N55" i="9" s="1"/>
  <c r="P55" i="9" s="1"/>
  <c r="R55" i="9" s="1"/>
  <c r="T55" i="9" s="1"/>
  <c r="V55" i="9" s="1"/>
  <c r="X55" i="9" s="1"/>
  <c r="Z55" i="9" s="1"/>
  <c r="L54" i="9"/>
  <c r="N54" i="9" s="1"/>
  <c r="K54" i="9"/>
  <c r="L53" i="9"/>
  <c r="N53" i="9" s="1"/>
  <c r="O53" i="9" s="1"/>
  <c r="K53" i="9"/>
  <c r="L52" i="9"/>
  <c r="M52" i="9" s="1"/>
  <c r="K52" i="9"/>
  <c r="L51" i="9"/>
  <c r="N51" i="9" s="1"/>
  <c r="K51" i="9"/>
  <c r="L50" i="9"/>
  <c r="N50" i="9" s="1"/>
  <c r="O50" i="9" s="1"/>
  <c r="K50" i="9"/>
  <c r="N49" i="9"/>
  <c r="M49" i="9"/>
  <c r="K49" i="9"/>
  <c r="N48" i="9"/>
  <c r="O48" i="9" s="1"/>
  <c r="M48" i="9"/>
  <c r="K48" i="9"/>
  <c r="N47" i="9"/>
  <c r="M47" i="9"/>
  <c r="K47" i="9"/>
  <c r="N46" i="9"/>
  <c r="O46" i="9" s="1"/>
  <c r="M46" i="9"/>
  <c r="K46" i="9"/>
  <c r="B39" i="9"/>
  <c r="B38" i="9"/>
  <c r="B37" i="9"/>
  <c r="B36" i="9"/>
  <c r="B35" i="9"/>
  <c r="B34" i="9"/>
  <c r="N33" i="9"/>
  <c r="P33" i="9" s="1"/>
  <c r="R33" i="9" s="1"/>
  <c r="T33" i="9" s="1"/>
  <c r="V33" i="9" s="1"/>
  <c r="X33" i="9" s="1"/>
  <c r="Z33" i="9" s="1"/>
  <c r="AB33" i="9" s="1"/>
  <c r="AD33" i="9" s="1"/>
  <c r="AF33" i="9" s="1"/>
  <c r="B33" i="9"/>
  <c r="N32" i="9"/>
  <c r="P32" i="9" s="1"/>
  <c r="R32" i="9" s="1"/>
  <c r="T32" i="9" s="1"/>
  <c r="V32" i="9" s="1"/>
  <c r="X32" i="9" s="1"/>
  <c r="Z32" i="9" s="1"/>
  <c r="AB32" i="9" s="1"/>
  <c r="AD32" i="9" s="1"/>
  <c r="AF32" i="9" s="1"/>
  <c r="B32" i="9"/>
  <c r="N31" i="9"/>
  <c r="P31" i="9" s="1"/>
  <c r="R31" i="9" s="1"/>
  <c r="B31" i="9"/>
  <c r="K30" i="9"/>
  <c r="AG28" i="9"/>
  <c r="AE28" i="9"/>
  <c r="AC28" i="9"/>
  <c r="AA28" i="9"/>
  <c r="Y28" i="9"/>
  <c r="W28" i="9"/>
  <c r="U28" i="9"/>
  <c r="S28" i="9"/>
  <c r="Q28" i="9"/>
  <c r="O28" i="9"/>
  <c r="M28" i="9"/>
  <c r="I28" i="9"/>
  <c r="AG27" i="9"/>
  <c r="AE27" i="9"/>
  <c r="AC27" i="9"/>
  <c r="Y27" i="9"/>
  <c r="W27" i="9"/>
  <c r="U27" i="9"/>
  <c r="S27" i="9"/>
  <c r="Q27" i="9"/>
  <c r="O27" i="9"/>
  <c r="M27" i="9"/>
  <c r="I27" i="9"/>
  <c r="AG26" i="9"/>
  <c r="AE26" i="9"/>
  <c r="AC26" i="9"/>
  <c r="AA26" i="9"/>
  <c r="Y26" i="9"/>
  <c r="W26" i="9"/>
  <c r="U26" i="9"/>
  <c r="S26" i="9"/>
  <c r="Q26" i="9"/>
  <c r="O26" i="9"/>
  <c r="M26" i="9"/>
  <c r="I26" i="9"/>
  <c r="AG25" i="9"/>
  <c r="AE25" i="9"/>
  <c r="AC25" i="9"/>
  <c r="AA25" i="9"/>
  <c r="Y25" i="9"/>
  <c r="W25" i="9"/>
  <c r="U25" i="9"/>
  <c r="S25" i="9"/>
  <c r="Q25" i="9"/>
  <c r="O25" i="9"/>
  <c r="M25" i="9"/>
  <c r="I25" i="9"/>
  <c r="AA24" i="9"/>
  <c r="Y24" i="9"/>
  <c r="W24" i="9"/>
  <c r="U24" i="9"/>
  <c r="S24" i="9"/>
  <c r="Q24" i="9"/>
  <c r="O24" i="9"/>
  <c r="M24" i="9"/>
  <c r="I24" i="9"/>
  <c r="AG23" i="9"/>
  <c r="AE23" i="9"/>
  <c r="AC23" i="9"/>
  <c r="AA23" i="9"/>
  <c r="Y23" i="9"/>
  <c r="W23" i="9"/>
  <c r="U23" i="9"/>
  <c r="S23" i="9"/>
  <c r="Q23" i="9"/>
  <c r="O23" i="9"/>
  <c r="M23" i="9"/>
  <c r="I23" i="9"/>
  <c r="AG22" i="9"/>
  <c r="AE22" i="9"/>
  <c r="AC22" i="9"/>
  <c r="AA22" i="9"/>
  <c r="Y22" i="9"/>
  <c r="W22" i="9"/>
  <c r="U22" i="9"/>
  <c r="S22" i="9"/>
  <c r="Q22" i="9"/>
  <c r="O22" i="9"/>
  <c r="M22" i="9"/>
  <c r="I22" i="9"/>
  <c r="N21" i="9"/>
  <c r="P21" i="9" s="1"/>
  <c r="Q21" i="9" s="1"/>
  <c r="M21" i="9"/>
  <c r="N20" i="9"/>
  <c r="P20" i="9" s="1"/>
  <c r="M20" i="9"/>
  <c r="N19" i="9"/>
  <c r="O19" i="9" s="1"/>
  <c r="M19" i="9"/>
  <c r="N18" i="9"/>
  <c r="P18" i="9" s="1"/>
  <c r="M18" i="9"/>
  <c r="N17" i="9"/>
  <c r="M17" i="9"/>
  <c r="K16" i="9"/>
  <c r="A8" i="29" l="1"/>
  <c r="A10" i="29"/>
  <c r="A14" i="29"/>
  <c r="A48" i="29"/>
  <c r="A18" i="29"/>
  <c r="A26" i="29"/>
  <c r="A3" i="29"/>
  <c r="A45" i="29"/>
  <c r="A17" i="29"/>
  <c r="A20" i="29"/>
  <c r="A11" i="29"/>
  <c r="A9" i="29"/>
  <c r="A12" i="29"/>
  <c r="A47" i="29"/>
  <c r="A49" i="29"/>
  <c r="A27" i="29"/>
  <c r="A7" i="29"/>
  <c r="A13" i="29"/>
  <c r="A44" i="29"/>
  <c r="A16" i="29"/>
  <c r="A19" i="29"/>
  <c r="A25" i="29"/>
  <c r="H20" i="13"/>
  <c r="I20" i="13" s="1"/>
  <c r="H26" i="13"/>
  <c r="I26" i="13" s="1"/>
  <c r="J173" i="9"/>
  <c r="I153" i="9"/>
  <c r="P119" i="9"/>
  <c r="O138" i="9"/>
  <c r="L173" i="9"/>
  <c r="K85" i="9"/>
  <c r="K97" i="9" s="1"/>
  <c r="P168" i="9"/>
  <c r="N173" i="9"/>
  <c r="A7" i="13"/>
  <c r="A9" i="13"/>
  <c r="A12" i="13"/>
  <c r="A47" i="13"/>
  <c r="A49" i="13"/>
  <c r="A13" i="13"/>
  <c r="A44" i="13"/>
  <c r="A16" i="13"/>
  <c r="A19" i="13"/>
  <c r="A27" i="13"/>
  <c r="A8" i="13"/>
  <c r="A10" i="13"/>
  <c r="A14" i="13"/>
  <c r="A48" i="13"/>
  <c r="A18" i="13"/>
  <c r="A25" i="13"/>
  <c r="A11" i="13"/>
  <c r="A3" i="13"/>
  <c r="C5" i="18" s="1"/>
  <c r="A45" i="13"/>
  <c r="A17" i="13"/>
  <c r="A20" i="13"/>
  <c r="A26" i="13"/>
  <c r="P48" i="9"/>
  <c r="R48" i="9" s="1"/>
  <c r="T48" i="9" s="1"/>
  <c r="M86" i="9"/>
  <c r="K165" i="9"/>
  <c r="M87" i="9"/>
  <c r="I47" i="9"/>
  <c r="I45" i="9" s="1"/>
  <c r="K40" i="9"/>
  <c r="Q161" i="9"/>
  <c r="S161" i="9" s="1"/>
  <c r="U161" i="9" s="1"/>
  <c r="W161" i="9" s="1"/>
  <c r="Y161" i="9" s="1"/>
  <c r="AA161" i="9" s="1"/>
  <c r="AC161" i="9" s="1"/>
  <c r="AE161" i="9" s="1"/>
  <c r="AG161" i="9" s="1"/>
  <c r="Q162" i="9"/>
  <c r="S162" i="9" s="1"/>
  <c r="U162" i="9" s="1"/>
  <c r="W162" i="9" s="1"/>
  <c r="Y162" i="9" s="1"/>
  <c r="AA162" i="9" s="1"/>
  <c r="AC162" i="9" s="1"/>
  <c r="AE162" i="9" s="1"/>
  <c r="AG162" i="9" s="1"/>
  <c r="P46" i="9"/>
  <c r="R46" i="9" s="1"/>
  <c r="S46" i="9" s="1"/>
  <c r="O59" i="9"/>
  <c r="O18" i="9"/>
  <c r="P19" i="9"/>
  <c r="R19" i="9" s="1"/>
  <c r="Q59" i="9"/>
  <c r="P121" i="9"/>
  <c r="P142" i="9"/>
  <c r="O165" i="9"/>
  <c r="N60" i="9"/>
  <c r="O60" i="9" s="1"/>
  <c r="O120" i="9"/>
  <c r="O132" i="9" s="1"/>
  <c r="M132" i="9"/>
  <c r="Q160" i="9"/>
  <c r="P167" i="9"/>
  <c r="M54" i="9"/>
  <c r="P70" i="9"/>
  <c r="R70" i="9" s="1"/>
  <c r="M50" i="9"/>
  <c r="N52" i="9"/>
  <c r="P52" i="9" s="1"/>
  <c r="Q52" i="9" s="1"/>
  <c r="P51" i="9"/>
  <c r="O51" i="9"/>
  <c r="R20" i="9"/>
  <c r="S20" i="9" s="1"/>
  <c r="Q20" i="9"/>
  <c r="R72" i="9"/>
  <c r="T72" i="9" s="1"/>
  <c r="U72" i="9" s="1"/>
  <c r="Q72" i="9"/>
  <c r="O20" i="9"/>
  <c r="M51" i="9"/>
  <c r="M53" i="9"/>
  <c r="R68" i="9"/>
  <c r="T68" i="9" s="1"/>
  <c r="V68" i="9" s="1"/>
  <c r="W68" i="9" s="1"/>
  <c r="P50" i="9"/>
  <c r="R50" i="9" s="1"/>
  <c r="M56" i="9"/>
  <c r="M57" i="9"/>
  <c r="P56" i="9"/>
  <c r="Q56" i="9" s="1"/>
  <c r="U94" i="9"/>
  <c r="O72" i="9"/>
  <c r="I103" i="9"/>
  <c r="E25" i="13"/>
  <c r="E44" i="13"/>
  <c r="H44" i="13" s="1"/>
  <c r="I44" i="13" s="1"/>
  <c r="M72" i="9"/>
  <c r="E49" i="13"/>
  <c r="H49" i="13" s="1"/>
  <c r="I49" i="13" s="1"/>
  <c r="E17" i="13"/>
  <c r="H17" i="13" s="1"/>
  <c r="I17" i="13" s="1"/>
  <c r="E7" i="13"/>
  <c r="F7" i="13" s="1"/>
  <c r="E8" i="13"/>
  <c r="E43" i="13"/>
  <c r="H43" i="13" s="1"/>
  <c r="I43" i="13" s="1"/>
  <c r="E11" i="13"/>
  <c r="E13" i="13"/>
  <c r="E3" i="13"/>
  <c r="F3" i="13" s="1"/>
  <c r="E45" i="13"/>
  <c r="H45" i="13" s="1"/>
  <c r="I45" i="13" s="1"/>
  <c r="E47" i="13"/>
  <c r="H47" i="13" s="1"/>
  <c r="I47" i="13" s="1"/>
  <c r="E48" i="13"/>
  <c r="H48" i="13" s="1"/>
  <c r="I48" i="13" s="1"/>
  <c r="E19" i="13"/>
  <c r="E27" i="13"/>
  <c r="E9" i="13"/>
  <c r="E10" i="13"/>
  <c r="E12" i="13"/>
  <c r="O73" i="9"/>
  <c r="E16" i="13"/>
  <c r="H16" i="13" s="1"/>
  <c r="I16" i="13" s="1"/>
  <c r="I102" i="9"/>
  <c r="M90" i="9"/>
  <c r="Y93" i="9"/>
  <c r="S31" i="9"/>
  <c r="O32" i="9"/>
  <c r="M68" i="9"/>
  <c r="AG92" i="9"/>
  <c r="AA92" i="9"/>
  <c r="K74" i="9"/>
  <c r="AC92" i="9"/>
  <c r="Q69" i="9"/>
  <c r="M74" i="9"/>
  <c r="AG74" i="9"/>
  <c r="U91" i="9"/>
  <c r="S92" i="9"/>
  <c r="AG94" i="9"/>
  <c r="AA94" i="9"/>
  <c r="Q74" i="9"/>
  <c r="M92" i="9"/>
  <c r="O31" i="9"/>
  <c r="M69" i="9"/>
  <c r="U69" i="9"/>
  <c r="Q90" i="9"/>
  <c r="M91" i="9"/>
  <c r="U92" i="9"/>
  <c r="M94" i="9"/>
  <c r="AC94" i="9"/>
  <c r="I16" i="9"/>
  <c r="O47" i="9"/>
  <c r="P47" i="9"/>
  <c r="O49" i="9"/>
  <c r="P49" i="9"/>
  <c r="M16" i="9"/>
  <c r="R21" i="9"/>
  <c r="T21" i="9" s="1"/>
  <c r="T31" i="9"/>
  <c r="V31" i="9" s="1"/>
  <c r="AE32" i="9"/>
  <c r="K45" i="9"/>
  <c r="P17" i="9"/>
  <c r="O17" i="9"/>
  <c r="AA32" i="9"/>
  <c r="AG32" i="9"/>
  <c r="S32" i="9"/>
  <c r="R18" i="9"/>
  <c r="Q18" i="9"/>
  <c r="W32" i="9"/>
  <c r="AG33" i="9"/>
  <c r="AC33" i="9"/>
  <c r="Y33" i="9"/>
  <c r="U33" i="9"/>
  <c r="Q33" i="9"/>
  <c r="M33" i="9"/>
  <c r="AE33" i="9"/>
  <c r="AA33" i="9"/>
  <c r="W33" i="9"/>
  <c r="S33" i="9"/>
  <c r="O33" i="9"/>
  <c r="R66" i="9"/>
  <c r="S66" i="9" s="1"/>
  <c r="AD69" i="9"/>
  <c r="AF69" i="9" s="1"/>
  <c r="AG69" i="9" s="1"/>
  <c r="AC69" i="9"/>
  <c r="O21" i="9"/>
  <c r="M31" i="9"/>
  <c r="Q31" i="9"/>
  <c r="P53" i="9"/>
  <c r="P57" i="9"/>
  <c r="O57" i="9"/>
  <c r="T59" i="9"/>
  <c r="S59" i="9"/>
  <c r="P67" i="9"/>
  <c r="Q67" i="9" s="1"/>
  <c r="AB73" i="9"/>
  <c r="AD73" i="9" s="1"/>
  <c r="AA73" i="9"/>
  <c r="Y74" i="9"/>
  <c r="R138" i="9"/>
  <c r="Q138" i="9"/>
  <c r="M32" i="9"/>
  <c r="Q32" i="9"/>
  <c r="U32" i="9"/>
  <c r="Y32" i="9"/>
  <c r="AC32" i="9"/>
  <c r="P54" i="9"/>
  <c r="O54" i="9"/>
  <c r="W73" i="9"/>
  <c r="P87" i="9"/>
  <c r="O87" i="9"/>
  <c r="Z91" i="9"/>
  <c r="AB91" i="9" s="1"/>
  <c r="Y91" i="9"/>
  <c r="AC93" i="9"/>
  <c r="U93" i="9"/>
  <c r="M93" i="9"/>
  <c r="AA93" i="9"/>
  <c r="S93" i="9"/>
  <c r="W93" i="9"/>
  <c r="AG93" i="9"/>
  <c r="Q93" i="9"/>
  <c r="AE93" i="9"/>
  <c r="O93" i="9"/>
  <c r="V90" i="9"/>
  <c r="X90" i="9" s="1"/>
  <c r="U90" i="9"/>
  <c r="Q119" i="9"/>
  <c r="R119" i="9"/>
  <c r="K153" i="9"/>
  <c r="O141" i="9"/>
  <c r="P141" i="9"/>
  <c r="AA69" i="9"/>
  <c r="W69" i="9"/>
  <c r="S69" i="9"/>
  <c r="O69" i="9"/>
  <c r="Y69" i="9"/>
  <c r="P71" i="9"/>
  <c r="S73" i="9"/>
  <c r="AE74" i="9"/>
  <c r="AA74" i="9"/>
  <c r="W74" i="9"/>
  <c r="S74" i="9"/>
  <c r="O74" i="9"/>
  <c r="U74" i="9"/>
  <c r="AC74" i="9"/>
  <c r="I85" i="9"/>
  <c r="P86" i="9"/>
  <c r="O86" i="9"/>
  <c r="Q91" i="9"/>
  <c r="R120" i="9"/>
  <c r="Q120" i="9"/>
  <c r="O68" i="9"/>
  <c r="K73" i="9"/>
  <c r="O92" i="9"/>
  <c r="W92" i="9"/>
  <c r="AE92" i="9"/>
  <c r="O94" i="9"/>
  <c r="W94" i="9"/>
  <c r="AE94" i="9"/>
  <c r="K132" i="9"/>
  <c r="M73" i="9"/>
  <c r="Q73" i="9"/>
  <c r="U73" i="9"/>
  <c r="Y73" i="9"/>
  <c r="O90" i="9"/>
  <c r="S90" i="9"/>
  <c r="O91" i="9"/>
  <c r="S91" i="9"/>
  <c r="W91" i="9"/>
  <c r="Q92" i="9"/>
  <c r="Y92" i="9"/>
  <c r="Q94" i="9"/>
  <c r="Y94" i="9"/>
  <c r="M153" i="9"/>
  <c r="M165" i="9"/>
  <c r="P173" i="9" l="1"/>
  <c r="H19" i="13"/>
  <c r="I19" i="13" s="1"/>
  <c r="H27" i="13"/>
  <c r="I27" i="13" s="1"/>
  <c r="H25" i="13"/>
  <c r="S160" i="9"/>
  <c r="R173" i="9" s="1"/>
  <c r="O153" i="9"/>
  <c r="U31" i="9"/>
  <c r="I51" i="13"/>
  <c r="F9" i="13"/>
  <c r="H9" i="13"/>
  <c r="I9" i="13" s="1"/>
  <c r="F12" i="13"/>
  <c r="H12" i="13"/>
  <c r="I12" i="13" s="1"/>
  <c r="F13" i="13"/>
  <c r="H13" i="13"/>
  <c r="I13" i="13" s="1"/>
  <c r="F11" i="13"/>
  <c r="H11" i="13"/>
  <c r="I11" i="13" s="1"/>
  <c r="F10" i="13"/>
  <c r="H10" i="13"/>
  <c r="I10" i="13" s="1"/>
  <c r="F8" i="13"/>
  <c r="H8" i="13"/>
  <c r="I8" i="13" s="1"/>
  <c r="S48" i="9"/>
  <c r="P60" i="9"/>
  <c r="R60" i="9" s="1"/>
  <c r="Q48" i="9"/>
  <c r="M85" i="9"/>
  <c r="H3" i="13"/>
  <c r="I3" i="13" s="1"/>
  <c r="I4" i="13" s="1"/>
  <c r="H7" i="13"/>
  <c r="I7" i="13" s="1"/>
  <c r="Q19" i="9"/>
  <c r="V72" i="9"/>
  <c r="X72" i="9" s="1"/>
  <c r="S72" i="9"/>
  <c r="T20" i="9"/>
  <c r="U20" i="9" s="1"/>
  <c r="T46" i="9"/>
  <c r="V46" i="9" s="1"/>
  <c r="Q165" i="9"/>
  <c r="Q46" i="9"/>
  <c r="O85" i="9"/>
  <c r="Q142" i="9"/>
  <c r="R142" i="9"/>
  <c r="O30" i="9"/>
  <c r="W90" i="9"/>
  <c r="W89" i="9" s="1"/>
  <c r="AE69" i="9"/>
  <c r="S21" i="9"/>
  <c r="Q121" i="9"/>
  <c r="Q132" i="9" s="1"/>
  <c r="R121" i="9"/>
  <c r="U68" i="9"/>
  <c r="X68" i="9"/>
  <c r="Z68" i="9" s="1"/>
  <c r="AB68" i="9" s="1"/>
  <c r="Q70" i="9"/>
  <c r="M45" i="9"/>
  <c r="S68" i="9"/>
  <c r="R52" i="9"/>
  <c r="S52" i="9" s="1"/>
  <c r="R56" i="9"/>
  <c r="S56" i="9" s="1"/>
  <c r="Q50" i="9"/>
  <c r="O52" i="9"/>
  <c r="O45" i="9" s="1"/>
  <c r="O16" i="9"/>
  <c r="R51" i="9"/>
  <c r="Q51" i="9"/>
  <c r="I30" i="9"/>
  <c r="I40" i="9" s="1"/>
  <c r="I97" i="9"/>
  <c r="I65" i="9"/>
  <c r="I80" i="9" s="1"/>
  <c r="M65" i="9"/>
  <c r="O65" i="9"/>
  <c r="H51" i="13"/>
  <c r="U89" i="9"/>
  <c r="M89" i="9"/>
  <c r="K65" i="9"/>
  <c r="K80" i="9" s="1"/>
  <c r="K134" i="9" s="1"/>
  <c r="K155" i="9" s="1"/>
  <c r="J174" i="9" s="1"/>
  <c r="M30" i="9"/>
  <c r="M40" i="9" s="1"/>
  <c r="Q71" i="9"/>
  <c r="R71" i="9"/>
  <c r="AD91" i="9"/>
  <c r="AC91" i="9"/>
  <c r="R67" i="9"/>
  <c r="S67" i="9" s="1"/>
  <c r="V59" i="9"/>
  <c r="U59" i="9"/>
  <c r="W31" i="9"/>
  <c r="X31" i="9"/>
  <c r="S89" i="9"/>
  <c r="T120" i="9"/>
  <c r="S120" i="9"/>
  <c r="Q86" i="9"/>
  <c r="R86" i="9"/>
  <c r="Z90" i="9"/>
  <c r="Y90" i="9"/>
  <c r="Y89" i="9" s="1"/>
  <c r="Q54" i="9"/>
  <c r="R54" i="9"/>
  <c r="T70" i="9"/>
  <c r="S70" i="9"/>
  <c r="T66" i="9"/>
  <c r="U66" i="9" s="1"/>
  <c r="U21" i="9"/>
  <c r="V21" i="9"/>
  <c r="U48" i="9"/>
  <c r="V48" i="9"/>
  <c r="AF73" i="9"/>
  <c r="AG73" i="9" s="1"/>
  <c r="AE73" i="9"/>
  <c r="R57" i="9"/>
  <c r="Q57" i="9"/>
  <c r="S19" i="9"/>
  <c r="T19" i="9"/>
  <c r="O89" i="9"/>
  <c r="Q89" i="9"/>
  <c r="Q141" i="9"/>
  <c r="R141" i="9"/>
  <c r="S119" i="9"/>
  <c r="T119" i="9"/>
  <c r="R87" i="9"/>
  <c r="Q87" i="9"/>
  <c r="T138" i="9"/>
  <c r="S138" i="9"/>
  <c r="T18" i="9"/>
  <c r="S18" i="9"/>
  <c r="AA91" i="9"/>
  <c r="AC73" i="9"/>
  <c r="R53" i="9"/>
  <c r="Q53" i="9"/>
  <c r="Q17" i="9"/>
  <c r="R17" i="9"/>
  <c r="S50" i="9"/>
  <c r="T50" i="9"/>
  <c r="R49" i="9"/>
  <c r="Q49" i="9"/>
  <c r="R47" i="9"/>
  <c r="Q47" i="9"/>
  <c r="H32" i="13" l="1"/>
  <c r="I25" i="13"/>
  <c r="I32" i="13" s="1"/>
  <c r="Q60" i="9"/>
  <c r="U160" i="9"/>
  <c r="T173" i="9" s="1"/>
  <c r="S165" i="9"/>
  <c r="M97" i="9"/>
  <c r="I21" i="13"/>
  <c r="H4" i="13"/>
  <c r="Q153" i="9"/>
  <c r="V20" i="9"/>
  <c r="X20" i="9" s="1"/>
  <c r="U46" i="9"/>
  <c r="W72" i="9"/>
  <c r="H21" i="13"/>
  <c r="Q65" i="9"/>
  <c r="AA68" i="9"/>
  <c r="T56" i="9"/>
  <c r="V56" i="9" s="1"/>
  <c r="M80" i="9"/>
  <c r="Y68" i="9"/>
  <c r="O97" i="9"/>
  <c r="O40" i="9"/>
  <c r="S121" i="9"/>
  <c r="S132" i="9" s="1"/>
  <c r="T121" i="9"/>
  <c r="S142" i="9"/>
  <c r="T142" i="9"/>
  <c r="T52" i="9"/>
  <c r="V52" i="9" s="1"/>
  <c r="Q30" i="9"/>
  <c r="O80" i="9"/>
  <c r="Q45" i="9"/>
  <c r="Q16" i="9"/>
  <c r="T51" i="9"/>
  <c r="S51" i="9"/>
  <c r="V19" i="9"/>
  <c r="U19" i="9"/>
  <c r="T60" i="9"/>
  <c r="S60" i="9"/>
  <c r="V50" i="9"/>
  <c r="U50" i="9"/>
  <c r="S53" i="9"/>
  <c r="T53" i="9"/>
  <c r="V138" i="9"/>
  <c r="U138" i="9"/>
  <c r="AD68" i="9"/>
  <c r="AC68" i="9"/>
  <c r="W48" i="9"/>
  <c r="X48" i="9"/>
  <c r="Q85" i="9"/>
  <c r="S71" i="9"/>
  <c r="S65" i="9" s="1"/>
  <c r="T71" i="9"/>
  <c r="T87" i="9"/>
  <c r="S87" i="9"/>
  <c r="X21" i="9"/>
  <c r="W21" i="9"/>
  <c r="S49" i="9"/>
  <c r="T49" i="9"/>
  <c r="V18" i="9"/>
  <c r="U18" i="9"/>
  <c r="S141" i="9"/>
  <c r="T141" i="9"/>
  <c r="T57" i="9"/>
  <c r="S57" i="9"/>
  <c r="V70" i="9"/>
  <c r="U70" i="9"/>
  <c r="Z31" i="9"/>
  <c r="Y31" i="9"/>
  <c r="X59" i="9"/>
  <c r="W59" i="9"/>
  <c r="AF91" i="9"/>
  <c r="AG91" i="9" s="1"/>
  <c r="AE91" i="9"/>
  <c r="T17" i="9"/>
  <c r="S17" i="9"/>
  <c r="W20" i="9"/>
  <c r="J175" i="9"/>
  <c r="J176" i="9" s="1"/>
  <c r="AB90" i="9"/>
  <c r="AA90" i="9"/>
  <c r="AA89" i="9" s="1"/>
  <c r="V120" i="9"/>
  <c r="U120" i="9"/>
  <c r="S47" i="9"/>
  <c r="T47" i="9"/>
  <c r="U119" i="9"/>
  <c r="V119" i="9"/>
  <c r="V66" i="9"/>
  <c r="W66" i="9" s="1"/>
  <c r="T54" i="9"/>
  <c r="S54" i="9"/>
  <c r="T86" i="9"/>
  <c r="S86" i="9"/>
  <c r="W46" i="9"/>
  <c r="X46" i="9"/>
  <c r="T67" i="9"/>
  <c r="U67" i="9" s="1"/>
  <c r="Z72" i="9"/>
  <c r="Y72" i="9"/>
  <c r="H14" i="15" l="1"/>
  <c r="H92" i="29" s="1"/>
  <c r="I92" i="29" s="1"/>
  <c r="W160" i="9"/>
  <c r="V173" i="9" s="1"/>
  <c r="U165" i="9"/>
  <c r="M134" i="9"/>
  <c r="M155" i="9" s="1"/>
  <c r="L174" i="9" s="1"/>
  <c r="L175" i="9" s="1"/>
  <c r="L176" i="9" s="1"/>
  <c r="S153" i="9"/>
  <c r="Q80" i="9"/>
  <c r="S85" i="9"/>
  <c r="S97" i="9" s="1"/>
  <c r="U56" i="9"/>
  <c r="O134" i="9"/>
  <c r="O155" i="9" s="1"/>
  <c r="N174" i="9" s="1"/>
  <c r="N175" i="9" s="1"/>
  <c r="V121" i="9"/>
  <c r="U121" i="9"/>
  <c r="U132" i="9" s="1"/>
  <c r="V142" i="9"/>
  <c r="U142" i="9"/>
  <c r="U52" i="9"/>
  <c r="S16" i="9"/>
  <c r="Q40" i="9"/>
  <c r="S30" i="9"/>
  <c r="U51" i="9"/>
  <c r="V51" i="9"/>
  <c r="V67" i="9"/>
  <c r="W67" i="9" s="1"/>
  <c r="V54" i="9"/>
  <c r="U54" i="9"/>
  <c r="W56" i="9"/>
  <c r="X56" i="9"/>
  <c r="AD90" i="9"/>
  <c r="AC90" i="9"/>
  <c r="AC89" i="9" s="1"/>
  <c r="Z20" i="9"/>
  <c r="Y20" i="9"/>
  <c r="AA31" i="9"/>
  <c r="AB31" i="9"/>
  <c r="X18" i="9"/>
  <c r="W18" i="9"/>
  <c r="Z48" i="9"/>
  <c r="Y48" i="9"/>
  <c r="Z46" i="9"/>
  <c r="Y46" i="9"/>
  <c r="V47" i="9"/>
  <c r="U47" i="9"/>
  <c r="U141" i="9"/>
  <c r="V141" i="9"/>
  <c r="Y21" i="9"/>
  <c r="Z21" i="9"/>
  <c r="Q97" i="9"/>
  <c r="X138" i="9"/>
  <c r="W138" i="9"/>
  <c r="W50" i="9"/>
  <c r="X50" i="9"/>
  <c r="W19" i="9"/>
  <c r="X19" i="9"/>
  <c r="AA72" i="9"/>
  <c r="AB72" i="9"/>
  <c r="V86" i="9"/>
  <c r="U86" i="9"/>
  <c r="X66" i="9"/>
  <c r="Y66" i="9" s="1"/>
  <c r="S45" i="9"/>
  <c r="X120" i="9"/>
  <c r="W120" i="9"/>
  <c r="U17" i="9"/>
  <c r="V17" i="9"/>
  <c r="Y59" i="9"/>
  <c r="Z59" i="9"/>
  <c r="X70" i="9"/>
  <c r="W70" i="9"/>
  <c r="V57" i="9"/>
  <c r="U57" i="9"/>
  <c r="V49" i="9"/>
  <c r="U49" i="9"/>
  <c r="V71" i="9"/>
  <c r="U71" i="9"/>
  <c r="U65" i="9" s="1"/>
  <c r="W165" i="9"/>
  <c r="Y160" i="9"/>
  <c r="X173" i="9" s="1"/>
  <c r="V53" i="9"/>
  <c r="U53" i="9"/>
  <c r="W119" i="9"/>
  <c r="X119" i="9"/>
  <c r="X52" i="9"/>
  <c r="W52" i="9"/>
  <c r="U87" i="9"/>
  <c r="V87" i="9"/>
  <c r="AF68" i="9"/>
  <c r="AG68" i="9" s="1"/>
  <c r="AE68" i="9"/>
  <c r="U60" i="9"/>
  <c r="V60" i="9"/>
  <c r="R92" i="29" l="1"/>
  <c r="R98" i="29" s="1"/>
  <c r="O92" i="29"/>
  <c r="Q92" i="29"/>
  <c r="P92" i="29"/>
  <c r="U153" i="9"/>
  <c r="Q134" i="9"/>
  <c r="Q155" i="9" s="1"/>
  <c r="P174" i="9" s="1"/>
  <c r="P175" i="9" s="1"/>
  <c r="S40" i="9"/>
  <c r="U30" i="9"/>
  <c r="W142" i="9"/>
  <c r="X142" i="9"/>
  <c r="W121" i="9"/>
  <c r="W132" i="9" s="1"/>
  <c r="X121" i="9"/>
  <c r="U16" i="9"/>
  <c r="X51" i="9"/>
  <c r="W51" i="9"/>
  <c r="N176" i="9"/>
  <c r="Z52" i="9"/>
  <c r="Y52" i="9"/>
  <c r="AB59" i="9"/>
  <c r="AA59" i="9"/>
  <c r="Z120" i="9"/>
  <c r="Y120" i="9"/>
  <c r="U85" i="9"/>
  <c r="Z19" i="9"/>
  <c r="Y19" i="9"/>
  <c r="W141" i="9"/>
  <c r="X141" i="9"/>
  <c r="U45" i="9"/>
  <c r="U80" i="9" s="1"/>
  <c r="AA46" i="9"/>
  <c r="AB46" i="9"/>
  <c r="AA48" i="9"/>
  <c r="AB48" i="9"/>
  <c r="AD31" i="9"/>
  <c r="AC31" i="9"/>
  <c r="Y119" i="9"/>
  <c r="Z119" i="9"/>
  <c r="Y165" i="9"/>
  <c r="AA160" i="9"/>
  <c r="Z173" i="9" s="1"/>
  <c r="W71" i="9"/>
  <c r="W65" i="9" s="1"/>
  <c r="X71" i="9"/>
  <c r="X57" i="9"/>
  <c r="W57" i="9"/>
  <c r="X86" i="9"/>
  <c r="W86" i="9"/>
  <c r="Z138" i="9"/>
  <c r="Y138" i="9"/>
  <c r="W47" i="9"/>
  <c r="X47" i="9"/>
  <c r="AF90" i="9"/>
  <c r="AG90" i="9" s="1"/>
  <c r="AG89" i="9" s="1"/>
  <c r="AE90" i="9"/>
  <c r="AE89" i="9" s="1"/>
  <c r="X54" i="9"/>
  <c r="W54" i="9"/>
  <c r="W60" i="9"/>
  <c r="X60" i="9"/>
  <c r="X87" i="9"/>
  <c r="W87" i="9"/>
  <c r="W53" i="9"/>
  <c r="X53" i="9"/>
  <c r="X17" i="9"/>
  <c r="W17" i="9"/>
  <c r="Y50" i="9"/>
  <c r="Z50" i="9"/>
  <c r="AB21" i="9"/>
  <c r="AA21" i="9"/>
  <c r="Z56" i="9"/>
  <c r="Y56" i="9"/>
  <c r="W49" i="9"/>
  <c r="X49" i="9"/>
  <c r="Z70" i="9"/>
  <c r="Y70" i="9"/>
  <c r="S80" i="9"/>
  <c r="Z66" i="9"/>
  <c r="AA66" i="9" s="1"/>
  <c r="AD72" i="9"/>
  <c r="AC72" i="9"/>
  <c r="Z18" i="9"/>
  <c r="Y18" i="9"/>
  <c r="AB20" i="9"/>
  <c r="AA20" i="9"/>
  <c r="X67" i="9"/>
  <c r="Y67" i="9" s="1"/>
  <c r="X92" i="29" l="1"/>
  <c r="Y92" i="29" s="1"/>
  <c r="S134" i="9"/>
  <c r="S155" i="9" s="1"/>
  <c r="R174" i="9" s="1"/>
  <c r="R175" i="9" s="1"/>
  <c r="U40" i="9"/>
  <c r="W153" i="9"/>
  <c r="Y121" i="9"/>
  <c r="Y132" i="9" s="1"/>
  <c r="Z121" i="9"/>
  <c r="W85" i="9"/>
  <c r="W97" i="9" s="1"/>
  <c r="W30" i="9"/>
  <c r="Y142" i="9"/>
  <c r="Z142" i="9"/>
  <c r="W16" i="9"/>
  <c r="Y51" i="9"/>
  <c r="Z51" i="9"/>
  <c r="P176" i="9"/>
  <c r="AB66" i="9"/>
  <c r="AC66" i="9" s="1"/>
  <c r="AA56" i="9"/>
  <c r="AB56" i="9"/>
  <c r="AA50" i="9"/>
  <c r="AB50" i="9"/>
  <c r="Z53" i="9"/>
  <c r="Y53" i="9"/>
  <c r="Y60" i="9"/>
  <c r="Z60" i="9"/>
  <c r="Y86" i="9"/>
  <c r="Z86" i="9"/>
  <c r="AA119" i="9"/>
  <c r="AB119" i="9"/>
  <c r="AD48" i="9"/>
  <c r="AC48" i="9"/>
  <c r="U97" i="9"/>
  <c r="AD59" i="9"/>
  <c r="AC59" i="9"/>
  <c r="AB70" i="9"/>
  <c r="AA70" i="9"/>
  <c r="Z47" i="9"/>
  <c r="Y47" i="9"/>
  <c r="AA165" i="9"/>
  <c r="AC160" i="9"/>
  <c r="AB173" i="9" s="1"/>
  <c r="Y141" i="9"/>
  <c r="Z141" i="9"/>
  <c r="Z67" i="9"/>
  <c r="AA67" i="9" s="1"/>
  <c r="AD20" i="9"/>
  <c r="AC20" i="9"/>
  <c r="AB18" i="9"/>
  <c r="AA18" i="9"/>
  <c r="AE72" i="9"/>
  <c r="AF72" i="9"/>
  <c r="AG72" i="9" s="1"/>
  <c r="Z49" i="9"/>
  <c r="Y49" i="9"/>
  <c r="W45" i="9"/>
  <c r="W80" i="9" s="1"/>
  <c r="AB138" i="9"/>
  <c r="AA138" i="9"/>
  <c r="Z57" i="9"/>
  <c r="Y57" i="9"/>
  <c r="AD46" i="9"/>
  <c r="AC46" i="9"/>
  <c r="AB120" i="9"/>
  <c r="AA120" i="9"/>
  <c r="AB52" i="9"/>
  <c r="AA52" i="9"/>
  <c r="AC21" i="9"/>
  <c r="AD21" i="9"/>
  <c r="Y17" i="9"/>
  <c r="X16" i="9"/>
  <c r="Z17" i="9"/>
  <c r="Z87" i="9"/>
  <c r="Y87" i="9"/>
  <c r="Y54" i="9"/>
  <c r="Z54" i="9"/>
  <c r="Z71" i="9"/>
  <c r="Y71" i="9"/>
  <c r="Y65" i="9" s="1"/>
  <c r="AE31" i="9"/>
  <c r="AF31" i="9"/>
  <c r="AG31" i="9" s="1"/>
  <c r="AA19" i="9"/>
  <c r="AB19" i="9"/>
  <c r="U134" i="9" l="1"/>
  <c r="U155" i="9" s="1"/>
  <c r="T174" i="9" s="1"/>
  <c r="T175" i="9" s="1"/>
  <c r="W40" i="9"/>
  <c r="W134" i="9" s="1"/>
  <c r="W155" i="9" s="1"/>
  <c r="V174" i="9" s="1"/>
  <c r="V175" i="9" s="1"/>
  <c r="Y153" i="9"/>
  <c r="AA142" i="9"/>
  <c r="AB142" i="9"/>
  <c r="AA121" i="9"/>
  <c r="AA132" i="9" s="1"/>
  <c r="AB121" i="9"/>
  <c r="Y30" i="9"/>
  <c r="Y16" i="9"/>
  <c r="AB51" i="9"/>
  <c r="AA51" i="9"/>
  <c r="R176" i="9"/>
  <c r="AA49" i="9"/>
  <c r="AB49" i="9"/>
  <c r="AF20" i="9"/>
  <c r="AG20" i="9" s="1"/>
  <c r="AE20" i="9"/>
  <c r="AB60" i="9"/>
  <c r="AA60" i="9"/>
  <c r="AD56" i="9"/>
  <c r="AC56" i="9"/>
  <c r="AE46" i="9"/>
  <c r="AF46" i="9"/>
  <c r="AG46" i="9" s="1"/>
  <c r="AA71" i="9"/>
  <c r="AA65" i="9" s="1"/>
  <c r="AB71" i="9"/>
  <c r="AB87" i="9"/>
  <c r="AA87" i="9"/>
  <c r="AF21" i="9"/>
  <c r="AG21" i="9" s="1"/>
  <c r="AE21" i="9"/>
  <c r="AD120" i="9"/>
  <c r="AC120" i="9"/>
  <c r="AA141" i="9"/>
  <c r="AB141" i="9"/>
  <c r="AC165" i="9"/>
  <c r="AE160" i="9"/>
  <c r="AD173" i="9" s="1"/>
  <c r="Y45" i="9"/>
  <c r="Y80" i="9" s="1"/>
  <c r="AE48" i="9"/>
  <c r="AF48" i="9"/>
  <c r="AG48" i="9" s="1"/>
  <c r="AD52" i="9"/>
  <c r="AC52" i="9"/>
  <c r="AD19" i="9"/>
  <c r="AC19" i="9"/>
  <c r="AB54" i="9"/>
  <c r="AA54" i="9"/>
  <c r="AB17" i="9"/>
  <c r="AA17" i="9"/>
  <c r="AB57" i="9"/>
  <c r="AA57" i="9"/>
  <c r="AD138" i="9"/>
  <c r="AC138" i="9"/>
  <c r="AD18" i="9"/>
  <c r="AC18" i="9"/>
  <c r="AB67" i="9"/>
  <c r="AC67" i="9" s="1"/>
  <c r="AA47" i="9"/>
  <c r="AB47" i="9"/>
  <c r="AC119" i="9"/>
  <c r="AD119" i="9"/>
  <c r="AB86" i="9"/>
  <c r="AA86" i="9"/>
  <c r="AD50" i="9"/>
  <c r="AC50" i="9"/>
  <c r="AD70" i="9"/>
  <c r="AC70" i="9"/>
  <c r="AF59" i="9"/>
  <c r="AG59" i="9" s="1"/>
  <c r="AE59" i="9"/>
  <c r="Y85" i="9"/>
  <c r="AA53" i="9"/>
  <c r="AB53" i="9"/>
  <c r="AD66" i="9"/>
  <c r="AE66" i="9" s="1"/>
  <c r="Y40" i="9" l="1"/>
  <c r="AA153" i="9"/>
  <c r="AC121" i="9"/>
  <c r="AC132" i="9" s="1"/>
  <c r="AD121" i="9"/>
  <c r="AA16" i="9"/>
  <c r="AA30" i="9"/>
  <c r="AC142" i="9"/>
  <c r="AD142" i="9"/>
  <c r="AA45" i="9"/>
  <c r="AA80" i="9" s="1"/>
  <c r="AD51" i="9"/>
  <c r="AC51" i="9"/>
  <c r="T176" i="9"/>
  <c r="V176" i="9" s="1"/>
  <c r="AD53" i="9"/>
  <c r="AC53" i="9"/>
  <c r="Y97" i="9"/>
  <c r="AE70" i="9"/>
  <c r="AF70" i="9"/>
  <c r="AG70" i="9" s="1"/>
  <c r="AD86" i="9"/>
  <c r="AC86" i="9"/>
  <c r="AD67" i="9"/>
  <c r="AE67" i="9" s="1"/>
  <c r="AD57" i="9"/>
  <c r="AC57" i="9"/>
  <c r="AC49" i="9"/>
  <c r="AD49" i="9"/>
  <c r="AE119" i="9"/>
  <c r="AF119" i="9"/>
  <c r="AG119" i="9" s="1"/>
  <c r="AC47" i="9"/>
  <c r="AD47" i="9"/>
  <c r="AD54" i="9"/>
  <c r="AC54" i="9"/>
  <c r="AE19" i="9"/>
  <c r="AF19" i="9"/>
  <c r="AG19" i="9" s="1"/>
  <c r="AC60" i="9"/>
  <c r="AD60" i="9"/>
  <c r="AE50" i="9"/>
  <c r="AF50" i="9"/>
  <c r="AG50" i="9" s="1"/>
  <c r="AF18" i="9"/>
  <c r="AG18" i="9" s="1"/>
  <c r="AE18" i="9"/>
  <c r="AF138" i="9"/>
  <c r="AG138" i="9" s="1"/>
  <c r="AE138" i="9"/>
  <c r="AC141" i="9"/>
  <c r="AD141" i="9"/>
  <c r="AF120" i="9"/>
  <c r="AG120" i="9" s="1"/>
  <c r="AE120" i="9"/>
  <c r="AC87" i="9"/>
  <c r="AD87" i="9"/>
  <c r="AF66" i="9"/>
  <c r="AG66" i="9" s="1"/>
  <c r="AA85" i="9"/>
  <c r="AA97" i="9" s="1"/>
  <c r="AC17" i="9"/>
  <c r="AD17" i="9"/>
  <c r="AB16" i="9"/>
  <c r="AF52" i="9"/>
  <c r="AG52" i="9" s="1"/>
  <c r="AE52" i="9"/>
  <c r="AE165" i="9"/>
  <c r="AG160" i="9"/>
  <c r="AF173" i="9" s="1"/>
  <c r="AD71" i="9"/>
  <c r="AC71" i="9"/>
  <c r="AE56" i="9"/>
  <c r="AF56" i="9"/>
  <c r="AG56" i="9" s="1"/>
  <c r="Y134" i="9" l="1"/>
  <c r="Y155" i="9" s="1"/>
  <c r="X174" i="9" s="1"/>
  <c r="X175" i="9" s="1"/>
  <c r="AA40" i="9"/>
  <c r="AA134" i="9" s="1"/>
  <c r="AA155" i="9" s="1"/>
  <c r="Z174" i="9" s="1"/>
  <c r="Z175" i="9" s="1"/>
  <c r="AC153" i="9"/>
  <c r="AE142" i="9"/>
  <c r="AF142" i="9"/>
  <c r="AG142" i="9" s="1"/>
  <c r="AC30" i="9"/>
  <c r="AE121" i="9"/>
  <c r="AE132" i="9" s="1"/>
  <c r="AF121" i="9"/>
  <c r="AG121" i="9" s="1"/>
  <c r="AG132" i="9" s="1"/>
  <c r="AC16" i="9"/>
  <c r="AF51" i="9"/>
  <c r="AG51" i="9" s="1"/>
  <c r="AE51" i="9"/>
  <c r="AC65" i="9"/>
  <c r="AF60" i="9"/>
  <c r="AG60" i="9" s="1"/>
  <c r="AE60" i="9"/>
  <c r="AC45" i="9"/>
  <c r="AF86" i="9"/>
  <c r="AG86" i="9" s="1"/>
  <c r="AE86" i="9"/>
  <c r="AF54" i="9"/>
  <c r="AG54" i="9" s="1"/>
  <c r="AE54" i="9"/>
  <c r="AE49" i="9"/>
  <c r="AF49" i="9"/>
  <c r="AG49" i="9" s="1"/>
  <c r="AE71" i="9"/>
  <c r="AE65" i="9" s="1"/>
  <c r="AF71" i="9"/>
  <c r="AG71" i="9" s="1"/>
  <c r="AF87" i="9"/>
  <c r="AG87" i="9" s="1"/>
  <c r="AE87" i="9"/>
  <c r="AE141" i="9"/>
  <c r="AF141" i="9"/>
  <c r="AG141" i="9" s="1"/>
  <c r="AF57" i="9"/>
  <c r="AG57" i="9" s="1"/>
  <c r="AE57" i="9"/>
  <c r="AE53" i="9"/>
  <c r="AF53" i="9"/>
  <c r="AG53" i="9" s="1"/>
  <c r="AG165" i="9"/>
  <c r="AF17" i="9"/>
  <c r="AG17" i="9" s="1"/>
  <c r="AE17" i="9"/>
  <c r="AE47" i="9"/>
  <c r="AF47" i="9"/>
  <c r="AG47" i="9" s="1"/>
  <c r="AF67" i="9"/>
  <c r="AG67" i="9" s="1"/>
  <c r="AC85" i="9"/>
  <c r="AC97" i="9" s="1"/>
  <c r="AG153" i="9" l="1"/>
  <c r="AE153" i="9"/>
  <c r="AG30" i="9"/>
  <c r="AE30" i="9"/>
  <c r="AC40" i="9"/>
  <c r="AE16" i="9"/>
  <c r="AE85" i="9"/>
  <c r="AE97" i="9" s="1"/>
  <c r="AE45" i="9"/>
  <c r="AE80" i="9" s="1"/>
  <c r="AG16" i="9"/>
  <c r="AG65" i="9"/>
  <c r="AC80" i="9"/>
  <c r="AG45" i="9"/>
  <c r="X176" i="9"/>
  <c r="Z176" i="9" s="1"/>
  <c r="AG85" i="9"/>
  <c r="AC134" i="9" l="1"/>
  <c r="AC155" i="9" s="1"/>
  <c r="AB174" i="9" s="1"/>
  <c r="AB175" i="9" s="1"/>
  <c r="AB176" i="9" s="1"/>
  <c r="AE40" i="9"/>
  <c r="AE134" i="9" s="1"/>
  <c r="AE155" i="9" s="1"/>
  <c r="AD174" i="9" s="1"/>
  <c r="AD175" i="9" s="1"/>
  <c r="AH16" i="9"/>
  <c r="AG40" i="9"/>
  <c r="AG80" i="9"/>
  <c r="AH45" i="9"/>
  <c r="AG97" i="9"/>
  <c r="AH85" i="9"/>
  <c r="AG134" i="9" l="1"/>
  <c r="AG155" i="9" s="1"/>
  <c r="AF174" i="9" s="1"/>
  <c r="AD176" i="9"/>
  <c r="AF175" i="9" l="1"/>
  <c r="AF176" i="9" l="1"/>
  <c r="I110" i="9"/>
  <c r="I132" i="9" s="1"/>
  <c r="I134" i="9" l="1"/>
  <c r="H37" i="13"/>
  <c r="H86" i="13" s="1"/>
  <c r="I34" i="13"/>
  <c r="I37" i="13" s="1"/>
  <c r="I86" i="13" s="1"/>
  <c r="F16" i="15" l="1"/>
  <c r="I155" i="9"/>
  <c r="I190" i="9" s="1"/>
  <c r="E6" i="19" l="1"/>
  <c r="L88" i="13"/>
  <c r="H11" i="15"/>
  <c r="H89" i="29" s="1"/>
  <c r="I89" i="29" s="1"/>
  <c r="M10" i="15"/>
  <c r="M11" i="15" s="1"/>
  <c r="M12" i="15" s="1"/>
  <c r="H17" i="15"/>
  <c r="H95" i="29" s="1"/>
  <c r="I95" i="29" s="1"/>
  <c r="I191" i="9"/>
  <c r="H174" i="9"/>
  <c r="S89" i="29" l="1"/>
  <c r="S98" i="29" s="1"/>
  <c r="O89" i="29"/>
  <c r="M89" i="29"/>
  <c r="Q89" i="29"/>
  <c r="Q95" i="29"/>
  <c r="P95" i="29"/>
  <c r="P98" i="29" s="1"/>
  <c r="O95" i="29"/>
  <c r="F179" i="9"/>
  <c r="H175" i="9"/>
  <c r="E7" i="19"/>
  <c r="F6" i="19"/>
  <c r="H6" i="19" s="1"/>
  <c r="O98" i="29" l="1"/>
  <c r="X89" i="29"/>
  <c r="Y89" i="29" s="1"/>
  <c r="M98" i="29"/>
  <c r="Q98" i="29"/>
  <c r="F177" i="9"/>
  <c r="F180" i="9"/>
  <c r="F178" i="9"/>
  <c r="E8" i="19"/>
  <c r="F7" i="19"/>
  <c r="H7" i="19" s="1"/>
  <c r="N184" i="9" l="1"/>
  <c r="V184" i="9"/>
  <c r="AD182" i="9"/>
  <c r="AD183" i="9" s="1"/>
  <c r="D189" i="9"/>
  <c r="R184" i="9"/>
  <c r="X182" i="9"/>
  <c r="X183" i="9" s="1"/>
  <c r="T184" i="9"/>
  <c r="AF182" i="9"/>
  <c r="AF183" i="9" s="1"/>
  <c r="AF185" i="9"/>
  <c r="Z185" i="9"/>
  <c r="J182" i="9"/>
  <c r="J183" i="9" s="1"/>
  <c r="AD185" i="9"/>
  <c r="H182" i="9"/>
  <c r="H183" i="9" s="1"/>
  <c r="N182" i="9"/>
  <c r="N183" i="9" s="1"/>
  <c r="AB185" i="9"/>
  <c r="C189" i="9"/>
  <c r="X185" i="9"/>
  <c r="N185" i="9"/>
  <c r="AB182" i="9"/>
  <c r="AB183" i="9" s="1"/>
  <c r="J185" i="9"/>
  <c r="AF184" i="9"/>
  <c r="Z182" i="9"/>
  <c r="Z183" i="9" s="1"/>
  <c r="L182" i="9"/>
  <c r="L183" i="9" s="1"/>
  <c r="V185" i="9"/>
  <c r="H185" i="9"/>
  <c r="V182" i="9"/>
  <c r="V183" i="9" s="1"/>
  <c r="AB184" i="9"/>
  <c r="AD184" i="9"/>
  <c r="Z184" i="9"/>
  <c r="P185" i="9"/>
  <c r="L185" i="9"/>
  <c r="H184" i="9"/>
  <c r="R182" i="9"/>
  <c r="R183" i="9" s="1"/>
  <c r="P184" i="9"/>
  <c r="X184" i="9"/>
  <c r="T182" i="9"/>
  <c r="T183" i="9" s="1"/>
  <c r="J184" i="9"/>
  <c r="T185" i="9"/>
  <c r="R185" i="9"/>
  <c r="L184" i="9"/>
  <c r="P182" i="9"/>
  <c r="P183" i="9" s="1"/>
  <c r="E9" i="19"/>
  <c r="F9" i="19" s="1"/>
  <c r="H9" i="19" s="1"/>
  <c r="F8" i="19"/>
  <c r="H8" i="19" s="1"/>
  <c r="H11" i="19" l="1"/>
  <c r="H12" i="19" s="1"/>
  <c r="G15" i="15" s="1"/>
  <c r="H15" i="15" s="1"/>
  <c r="H93" i="29" s="1"/>
  <c r="I93" i="29" s="1"/>
  <c r="N93" i="29" l="1"/>
  <c r="I96" i="29"/>
  <c r="J19" i="15"/>
  <c r="J21" i="15" s="1"/>
  <c r="J87" i="13" l="1"/>
  <c r="J88" i="13" s="1"/>
  <c r="J107" i="29"/>
  <c r="J108" i="29" s="1"/>
  <c r="X93" i="29"/>
  <c r="Y93" i="29" s="1"/>
  <c r="N98" i="29"/>
  <c r="H19" i="15"/>
  <c r="H21" i="15" s="1"/>
  <c r="H87" i="13" l="1"/>
  <c r="H88" i="13" s="1"/>
  <c r="H107" i="29"/>
  <c r="I87" i="13" l="1"/>
  <c r="I88" i="13" s="1"/>
  <c r="I107" i="29"/>
  <c r="I108" i="29" s="1"/>
  <c r="H108" i="29"/>
  <c r="H111" i="29" s="1"/>
  <c r="H112" i="29" s="1"/>
  <c r="H91" i="13"/>
  <c r="H92" i="13" s="1"/>
  <c r="F29" i="19"/>
  <c r="G29" i="19" s="1"/>
  <c r="X95" i="29"/>
  <c r="Y95" i="29" s="1"/>
  <c r="Y98" i="29" s="1"/>
  <c r="L98" i="29"/>
  <c r="L102" i="29" s="1"/>
  <c r="M102" i="29" s="1"/>
  <c r="X98" i="29" l="1"/>
  <c r="X104" i="29" s="1"/>
  <c r="W101" i="29"/>
  <c r="F6" i="17" s="1"/>
  <c r="Q101" i="29"/>
  <c r="F5" i="17" s="1"/>
  <c r="P101" i="29"/>
  <c r="F4" i="17" s="1"/>
  <c r="N101" i="29"/>
  <c r="N102" i="29" l="1"/>
  <c r="O102" i="29" s="1"/>
  <c r="P102" i="29" s="1"/>
  <c r="Q102" i="29" s="1"/>
  <c r="R102" i="29" s="1"/>
  <c r="S102" i="29" s="1"/>
  <c r="T102" i="29" s="1"/>
  <c r="U102" i="29" s="1"/>
  <c r="V102" i="29" s="1"/>
  <c r="W102" i="29" s="1"/>
  <c r="F3" i="17"/>
  <c r="F17" i="1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William Mon Ricaurte</author>
  </authors>
  <commentList>
    <comment ref="K2" authorId="0" shapeId="0" xr:uid="{00000000-0006-0000-0100-000001000000}">
      <text>
        <r>
          <rPr>
            <b/>
            <sz val="9"/>
            <color indexed="81"/>
            <rFont val="Tahoma"/>
            <family val="2"/>
          </rPr>
          <t>William Mon Ricaurte:</t>
        </r>
        <r>
          <rPr>
            <sz val="9"/>
            <color indexed="81"/>
            <rFont val="Tahoma"/>
            <family val="2"/>
          </rPr>
          <t xml:space="preserve">
En el presente promedio se excluyen las cotizaciones 4 y 5 en atención a que no cotizaron transporte y el detalle de variación es elevado
</t>
        </r>
      </text>
    </comment>
  </commentList>
</comments>
</file>

<file path=xl/sharedStrings.xml><?xml version="1.0" encoding="utf-8"?>
<sst xmlns="http://schemas.openxmlformats.org/spreadsheetml/2006/main" count="1027" uniqueCount="401">
  <si>
    <t>1. Cultivo(s)</t>
  </si>
  <si>
    <t>Abejas</t>
  </si>
  <si>
    <t>2. Producto Comercializado</t>
  </si>
  <si>
    <t>Miel</t>
  </si>
  <si>
    <t>3. UFH (veredas):</t>
  </si>
  <si>
    <t>5. Distancia(s) de siembra:</t>
  </si>
  <si>
    <t>N/A</t>
  </si>
  <si>
    <t>6. Densidad(es) de siembra</t>
  </si>
  <si>
    <t>PROFESIONAL 
RESPONSABLE</t>
  </si>
  <si>
    <t>NELLY ANDREA BAUTISTA RAMOS</t>
  </si>
  <si>
    <t>7. Duración del (los) ciclo(s) productivo(s)</t>
  </si>
  <si>
    <t>8. Número de ciclos por años</t>
  </si>
  <si>
    <t>9. Mes(es) de cosecha</t>
  </si>
  <si>
    <t>10. Rendimiento mínimo (ton)</t>
  </si>
  <si>
    <t>11. Rendimiento Minimo Anual (Ton)</t>
  </si>
  <si>
    <t>12. Destino(s) de la producción</t>
  </si>
  <si>
    <t>CAMPO DULCE</t>
  </si>
  <si>
    <t>13. Rendimiento máximo  (ton)</t>
  </si>
  <si>
    <t>14. Rendimiento Maximo Anual (Ton)</t>
  </si>
  <si>
    <t>15. Año de estabilización (Permanentes)</t>
  </si>
  <si>
    <t>1. COSTOS DIRECTOS</t>
  </si>
  <si>
    <t>1. 1 Establecimiento</t>
  </si>
  <si>
    <t>Unidad</t>
  </si>
  <si>
    <t>Valor unitario</t>
  </si>
  <si>
    <t>Año 0</t>
  </si>
  <si>
    <t>Año 1</t>
  </si>
  <si>
    <t>Año 2</t>
  </si>
  <si>
    <t>Año 3</t>
  </si>
  <si>
    <t>Año 4</t>
  </si>
  <si>
    <t>Año 5</t>
  </si>
  <si>
    <t>Año 6</t>
  </si>
  <si>
    <t>Año 7</t>
  </si>
  <si>
    <t>Año 8</t>
  </si>
  <si>
    <t>Año 9</t>
  </si>
  <si>
    <t>Año 10</t>
  </si>
  <si>
    <t>Año 11</t>
  </si>
  <si>
    <t>Año 12</t>
  </si>
  <si>
    <t>Cant.</t>
  </si>
  <si>
    <t>Valor total</t>
  </si>
  <si>
    <t>1.1.1 Labores</t>
  </si>
  <si>
    <t>Selección del terreno para instalación apiarios</t>
  </si>
  <si>
    <t>Jornal</t>
  </si>
  <si>
    <t>Adecuación del apiario</t>
  </si>
  <si>
    <t>Recepción de núcleos e instalación</t>
  </si>
  <si>
    <t>Traspaso de núcleos biológicos a cámaras de cría.</t>
  </si>
  <si>
    <t>Transporte de colmena y núcleo</t>
  </si>
  <si>
    <t>Viaje</t>
  </si>
  <si>
    <t>,</t>
  </si>
  <si>
    <t>1.1.2 Insumos, materiales y equipos</t>
  </si>
  <si>
    <t>Global</t>
  </si>
  <si>
    <t>Subtotal Establecimiento (No. 1.1)</t>
  </si>
  <si>
    <t>1.2 Sostenimiento</t>
  </si>
  <si>
    <t>1.2.1 Labores</t>
  </si>
  <si>
    <t>Suministro de alimentación artificial según requerimiento</t>
  </si>
  <si>
    <t>Revisiones, suministro de material y adecuación de la colonia</t>
  </si>
  <si>
    <t>Control de malezas y plagas del apiario.</t>
  </si>
  <si>
    <t>Evaluación, selección y cambio de reinas</t>
  </si>
  <si>
    <t>Transporte de insumos</t>
  </si>
  <si>
    <t>Transporte de combustible</t>
  </si>
  <si>
    <t>1.2.2 Insumos</t>
  </si>
  <si>
    <t>Bulto x 50 kg</t>
  </si>
  <si>
    <t>Promocalier (suplemento vitaminas y aminoacidos): 2 cc/colmena.</t>
  </si>
  <si>
    <t>Ahumador en acero inoxidable</t>
  </si>
  <si>
    <t>Cuñetes plásticos para alimentos</t>
  </si>
  <si>
    <t>Subtotal Sostenimiento (No. 1.2)</t>
  </si>
  <si>
    <t>1.3 Cosecha</t>
  </si>
  <si>
    <t>1.3.1 Labores</t>
  </si>
  <si>
    <t>Retiro de los marcos con miel, desoperculación, centrifugación en el proceso de obtención de la miel.</t>
  </si>
  <si>
    <t>1.3.2 Insumos</t>
  </si>
  <si>
    <t>Subtotal Cosecha (No. 1.3)</t>
  </si>
  <si>
    <t>1.4 Infraestructura, equipos, herramientas y otros</t>
  </si>
  <si>
    <t>Subtotal Infraestructura, equipos, herramientas y otros (No. 1.4)</t>
  </si>
  <si>
    <t>Total Costos Directos</t>
  </si>
  <si>
    <t>2. COSTOS INDIRECTOS</t>
  </si>
  <si>
    <t xml:space="preserve">Profesional </t>
  </si>
  <si>
    <t>Técnico</t>
  </si>
  <si>
    <t>Profesional socioempresarial y comercial</t>
  </si>
  <si>
    <t>Acompañamiento ambiental</t>
  </si>
  <si>
    <t>Estrategia de comercialización</t>
  </si>
  <si>
    <t>Total Costos Indirectos</t>
  </si>
  <si>
    <t>Total costos de producción</t>
  </si>
  <si>
    <t>Producción Neta</t>
  </si>
  <si>
    <t>Lugar de distribución</t>
  </si>
  <si>
    <t>Producción</t>
  </si>
  <si>
    <t>Kilogramo</t>
  </si>
  <si>
    <t>Propóleo</t>
  </si>
  <si>
    <t>Cera</t>
  </si>
  <si>
    <t>PRECIO CALIDAD 1</t>
  </si>
  <si>
    <t>PRECIO CALIDAD 2</t>
  </si>
  <si>
    <t>PRECIO CALIDAD 3</t>
  </si>
  <si>
    <t>PRECIO CALIDAD 4</t>
  </si>
  <si>
    <t>PRECIO CALIDAD 5</t>
  </si>
  <si>
    <t>kg</t>
  </si>
  <si>
    <t>FLUJO NETO</t>
  </si>
  <si>
    <t>INGRESO</t>
  </si>
  <si>
    <t xml:space="preserve">COSTO </t>
  </si>
  <si>
    <t>FLUJO NETO ACUMULADO</t>
  </si>
  <si>
    <t>TIR</t>
  </si>
  <si>
    <t>VPN</t>
  </si>
  <si>
    <t>B/C</t>
  </si>
  <si>
    <t>PRI</t>
  </si>
  <si>
    <t>FLETE</t>
  </si>
  <si>
    <t>COSTO_FLETE</t>
  </si>
  <si>
    <t xml:space="preserve">MANO DE OBRA </t>
  </si>
  <si>
    <t>JORNAL</t>
  </si>
  <si>
    <t>FLETE MAX</t>
  </si>
  <si>
    <t>FLETE MIN</t>
  </si>
  <si>
    <t xml:space="preserve">RENDIMIENTOS </t>
  </si>
  <si>
    <t>Evaluación de la reina</t>
  </si>
  <si>
    <t>Mililitro</t>
  </si>
  <si>
    <t>Unidad / Colectiva</t>
  </si>
  <si>
    <t xml:space="preserve">Talleres componente socio-empresarial y comercial 
Formato
condicional
Formato condicional
Dar formato como
tabla
Estilos de
celda
Estilos de celda
Insertar
Eliminar
Formato
Ordenar y
filtrar
Buscar y
seleccionar
Complementos
B43
Talleres componente socio-empresarial y comercial 
Formato
condicional
Formato condicional
Dar formato como
tabla
Estilos de
celda
Estilos de celda
Insertar
Eliminar
Formato
Ordenar y
filtrar
Buscar y
seleccionar
Complementos
B43
Talleres componente socio-empresarial y comercial </t>
  </si>
  <si>
    <t>Técnico agropecuarío/comunitario</t>
  </si>
  <si>
    <t>Vivero</t>
  </si>
  <si>
    <t>Container</t>
  </si>
  <si>
    <t>TOTAL INVERSIÓN DIRECTA</t>
  </si>
  <si>
    <t>Cantidad</t>
  </si>
  <si>
    <t>Material biológico</t>
  </si>
  <si>
    <t xml:space="preserve">Unidad </t>
  </si>
  <si>
    <t>Cantidad UP</t>
  </si>
  <si>
    <t>Unidades productivas</t>
  </si>
  <si>
    <t>Subtotal material biológico</t>
  </si>
  <si>
    <t xml:space="preserve">Colmenas y equipos </t>
  </si>
  <si>
    <t>Kit de extracción</t>
  </si>
  <si>
    <t>Subtotal colmenas y equipos</t>
  </si>
  <si>
    <t>Subtotal indumentaria y materiales</t>
  </si>
  <si>
    <t>Costos operativos</t>
  </si>
  <si>
    <t>Transporte de colmena y núcleo desde punto de entrega hasta la finca de cada productor</t>
  </si>
  <si>
    <t>$/colmena</t>
  </si>
  <si>
    <t>Subtotal costos operativos</t>
  </si>
  <si>
    <t>Acompañamiento integral  (acciones complementarias)</t>
  </si>
  <si>
    <t xml:space="preserve">Cantidad </t>
  </si>
  <si>
    <t>Meses</t>
  </si>
  <si>
    <t>Subtotal acompañamiento integral (acciones complementarias)</t>
  </si>
  <si>
    <t>Actrividades de fortalecimiento de capacidades</t>
  </si>
  <si>
    <t>Número</t>
  </si>
  <si>
    <t xml:space="preserve">Talleres componente socio-empresarial y comercial </t>
  </si>
  <si>
    <t>Subtotal actividades de fortalecimiento de capacidades</t>
  </si>
  <si>
    <t>Núcleo de  4 marcos (3  marcos con cria, 1 marco con alimento); 1 kl de abejas ; con una reina joven , marcada y  fecundada</t>
  </si>
  <si>
    <t xml:space="preserve">Media alza vacía en madera moncoro, medidas estándar </t>
  </si>
  <si>
    <t>Base o piquera de la colmena en madera moncoro o acacia (de bosque reforestado), medidas estándar</t>
  </si>
  <si>
    <t>Alza profunda vacia en madera moncoro, medidas estándar.</t>
  </si>
  <si>
    <t>Techo forrado en lámina de aluminio de 60cm x 48cm.</t>
  </si>
  <si>
    <t>Rejilla excluidora de reinas en plástico de alta resistencia, importada para colmena tipo langstroth</t>
  </si>
  <si>
    <t>Lámina de cera estampada para cuadro de alza profunda importada, tamaño del alveolo de 4,9mm</t>
  </si>
  <si>
    <t>Marco alambrado para alza profunda, medidas estandar</t>
  </si>
  <si>
    <t>Tapa interna en madera moncoro, medidas estándar</t>
  </si>
  <si>
    <t>Centrifuga de 4 marcos de alza profunda, en acero inoxidable 304 calidad alimentaria, herrajes y llave tipo gullotina en acero.</t>
  </si>
  <si>
    <t>Carpa para extracción de miel de 2,5x3x2,4m, doble comoartimento</t>
  </si>
  <si>
    <t>Cuchillo desoperculador en acero inoxidable, plano o en Z</t>
  </si>
  <si>
    <t>Filtro doble en acero inoxidable, Importado con extensión para colgar en cuñete de 20 litros</t>
  </si>
  <si>
    <t>Bandeja para desopercular en acero, 65cm x 45cm con soporte para apoyar el cuadro</t>
  </si>
  <si>
    <t>Especificaciones</t>
  </si>
  <si>
    <t>Equipos</t>
  </si>
  <si>
    <t>Tanque decantador en acero inoxidable, capacidad 150kg con llave desalida tipo guillotina, tapa repujada con manija y gancho para soportar contra el tanque.</t>
  </si>
  <si>
    <t>Marco de segueta estandar</t>
  </si>
  <si>
    <t>Cable duplex de 2x 12 x metro</t>
  </si>
  <si>
    <t>Churrusco calentador de agua</t>
  </si>
  <si>
    <t>Insumos</t>
  </si>
  <si>
    <t>Envasadora</t>
  </si>
  <si>
    <t>Talleres teorico prácticos de aceites esenciales</t>
  </si>
  <si>
    <t>Talleres teórico prácticos de aceites esenciales</t>
  </si>
  <si>
    <t xml:space="preserve">El equipo esta conformado por: un quemador de gas, un alambique – calderín 
con espacio para el material vegetal, un condensador, un vaso florentino y sus 
conexiones. Estas piezas se dimensionan para procesar lotes de 7 Kg de 
citronela, limoncillo, Lippia alba o romero. Las piezas principales del equipo se 
construyen en acero inoxidable. </t>
  </si>
  <si>
    <t>ENVASADORA</t>
  </si>
  <si>
    <t>VIVERO</t>
  </si>
  <si>
    <t>PANELA</t>
  </si>
  <si>
    <t>PROMOCALIER</t>
  </si>
  <si>
    <t xml:space="preserve">Envasadora semiautomática de líquidos y viscosos, capacidad 20 botellas por minuto; material acero inoxidable 304; modo de funcinamiento tipo pisto neumático; usos envasado de miel; eficiencia de +- 50gramos de precisión; voltaje 220V </t>
  </si>
  <si>
    <t>EQUIPO DE DESTILACIÓN DE ACEITES ESENCIALES</t>
  </si>
  <si>
    <t>Total costos inversión directa</t>
  </si>
  <si>
    <t>Talleres de reparación (construcción de confianza y dignificación de la población víctima y firmantes de paz) realizados a lo largo del proyecto con la población vinculada y otros actores territoriales.</t>
  </si>
  <si>
    <t>Talleres ECAS</t>
  </si>
  <si>
    <t>Asistente Psicosocial</t>
  </si>
  <si>
    <t>CONTAINER</t>
  </si>
  <si>
    <t>Mejoramiento vial</t>
  </si>
  <si>
    <t>Elemento</t>
  </si>
  <si>
    <t>Descripcion</t>
  </si>
  <si>
    <t>Cotización 1</t>
  </si>
  <si>
    <t>Cotización 2</t>
  </si>
  <si>
    <t>Cotización 3</t>
  </si>
  <si>
    <t>MEDIA ALZA</t>
  </si>
  <si>
    <t xml:space="preserve">Media alza vacía en madera moncoro o aceituno o pino cipres o acacia o melina (en todo caso maderas certificadas) medidas estándar </t>
  </si>
  <si>
    <t>PIQUERA</t>
  </si>
  <si>
    <t>Base o piquera de la colmena en madera moncoro o aceituno o pino cipres o acacia o melina (en todo caso maderas certificadas) (de bosque reforestado), medidas estándar</t>
  </si>
  <si>
    <t>ALZA PROFUNDA</t>
  </si>
  <si>
    <t>Alza profunda vacia en madera moncoro o aceituno o pino cipres o acacia o melina (en todo caso maderas certificadas)medidas estándar.</t>
  </si>
  <si>
    <t>TECHO</t>
  </si>
  <si>
    <t>EXCLUIDOR</t>
  </si>
  <si>
    <t xml:space="preserve">LÁMINA DE CERA </t>
  </si>
  <si>
    <t>MARCO ALAMBRADO</t>
  </si>
  <si>
    <t>ENTRETAPA</t>
  </si>
  <si>
    <t>Tapa interna en madera moncoro o aceituno o pino cipres o acacia o melina (en todo caso maderas certificadas) medidas estándar</t>
  </si>
  <si>
    <t>MATERIAL BIOLÓGICO</t>
  </si>
  <si>
    <t>AHUMADOR</t>
  </si>
  <si>
    <t>Ahumador en coll rolled, pintado con pintura electrostatica, salida en boca de pato</t>
  </si>
  <si>
    <t>TRAJE APÍCOLA</t>
  </si>
  <si>
    <t>Overol para apicultura elaborado en drill vulcano, posee 4 bolsillos con 4  cremalleras, liviano, facil lavado , cremallera frontal y careta removible , caucho en puños y mangas. Color amarillo. Incluye guantes de apicultura</t>
  </si>
  <si>
    <t>GANCHO PALANCA</t>
  </si>
  <si>
    <t>Gancho palanca en acero, doble propósito, importado.</t>
  </si>
  <si>
    <t xml:space="preserve">CENTRIFUGA </t>
  </si>
  <si>
    <t>TOLDILLO</t>
  </si>
  <si>
    <t>MARCO DE MEDIA</t>
  </si>
  <si>
    <t>Marco alambrado de media alza, en madera moncoro.</t>
  </si>
  <si>
    <t>LAMINA DE CERA</t>
  </si>
  <si>
    <t>Lámina de cera estampada para cuadro de media alza, tamaño del alveolo de 4,9mm.</t>
  </si>
  <si>
    <t>VARILLA</t>
  </si>
  <si>
    <t>Varilla corrugada de 12mm x 6m, cortada en 4 partes de 1,5m</t>
  </si>
  <si>
    <t>EMBUDO</t>
  </si>
  <si>
    <t>Embudo en plástico pequeño</t>
  </si>
  <si>
    <t>CUCHILLO DESOPERCULADOR</t>
  </si>
  <si>
    <t>TENEDOR DESOPERCULADOR</t>
  </si>
  <si>
    <t>Tenedor desoperculador con mango en plástico y 18 dientes en acero inoxidable</t>
  </si>
  <si>
    <t>FILTRO DOBLE</t>
  </si>
  <si>
    <t xml:space="preserve">BANDEJA </t>
  </si>
  <si>
    <t>TANQUE DECANTADOR</t>
  </si>
  <si>
    <t>MARCO DE SEGUETA</t>
  </si>
  <si>
    <t>CABLE</t>
  </si>
  <si>
    <t>CALENTADOR DE AGUA</t>
  </si>
  <si>
    <t>CINTA</t>
  </si>
  <si>
    <t>cinta aislante negra</t>
  </si>
  <si>
    <t>SEGUETA</t>
  </si>
  <si>
    <t>Segueta</t>
  </si>
  <si>
    <t>ALIMENTO</t>
  </si>
  <si>
    <t>Panela libra</t>
  </si>
  <si>
    <t xml:space="preserve"> (suplemento vitaminas y aminoácidos) x litro</t>
  </si>
  <si>
    <t>CUÑETES PLASTICOS</t>
  </si>
  <si>
    <t>Para alimentos, envase pástico blanco para alimentos, material polietileno de alta densidad con precintos de seguridad, tapa ancha y manija con capacidad de 5 galones</t>
  </si>
  <si>
    <t>Equipo de destilación de aceites esenciales por arrastre con vapor</t>
  </si>
  <si>
    <t>COSTOS DE IMPLETACIÓN</t>
  </si>
  <si>
    <t>ÍTEM</t>
  </si>
  <si>
    <t>DESCRIPCION DE LA ACTIVIDAD</t>
  </si>
  <si>
    <t>UNIDAD</t>
  </si>
  <si>
    <t>CANTIDAD</t>
  </si>
  <si>
    <t xml:space="preserve"> COSTO UNITARIO </t>
  </si>
  <si>
    <t xml:space="preserve"> VALOR TOTAL </t>
  </si>
  <si>
    <t>Aporte Alcaldía</t>
  </si>
  <si>
    <t>A. PERSONAL</t>
  </si>
  <si>
    <t>Efectivo</t>
  </si>
  <si>
    <t>Especie</t>
  </si>
  <si>
    <t>Mes</t>
  </si>
  <si>
    <t>SUBTOTAL COSTOS DE PERSONAL</t>
  </si>
  <si>
    <t>B. OTROS COSTOS ADMINISTRATIVOS</t>
  </si>
  <si>
    <t xml:space="preserve">PORCENTAJE </t>
  </si>
  <si>
    <t>Identidad gráfica</t>
  </si>
  <si>
    <t>SUBTOTAL COSTOS ADMINISTRATIVOS</t>
  </si>
  <si>
    <t>TOTAL COSTOS DE PERSONAL + COSTOS ADMINISTRATIVOS</t>
  </si>
  <si>
    <t>Escritorio en L oficina (mdetal-madera)</t>
  </si>
  <si>
    <t>Página WEB</t>
  </si>
  <si>
    <t>Homecenter</t>
  </si>
  <si>
    <t>Silla Oficina Lyn  110X64X64 Negro</t>
  </si>
  <si>
    <t>Archivador metálico</t>
  </si>
  <si>
    <t>Archivador metalico ref. 2x1 38x48x70 negro</t>
  </si>
  <si>
    <t xml:space="preserve">Computador </t>
  </si>
  <si>
    <t>Computador All In One HP Pavilion 32-b1001la I7 16GB RAM 512GB SSD</t>
  </si>
  <si>
    <t>Impresora</t>
  </si>
  <si>
    <t>Impresora Multifuncional EPSON Ecotank L5590 WiFi Hg-Of - Negro</t>
  </si>
  <si>
    <t>Dotación oficina</t>
  </si>
  <si>
    <t>Sub total oficina</t>
  </si>
  <si>
    <t>Mobiliario de Oficina</t>
  </si>
  <si>
    <t>Sub total Mobiliario de Oficina</t>
  </si>
  <si>
    <t>Valor X Unidad Productiva</t>
  </si>
  <si>
    <t>Profesional Adminstrativo</t>
  </si>
  <si>
    <t>Profesional Contable</t>
  </si>
  <si>
    <t>Aporte FCP</t>
  </si>
  <si>
    <t>Aporte Alcaldia</t>
  </si>
  <si>
    <t>Mes 1</t>
  </si>
  <si>
    <t>Alistamiento</t>
  </si>
  <si>
    <t>Mes 2</t>
  </si>
  <si>
    <t>Mes 3</t>
  </si>
  <si>
    <t>Mes 4</t>
  </si>
  <si>
    <t>Mes 5</t>
  </si>
  <si>
    <t>Mes 6</t>
  </si>
  <si>
    <t>Mes 7</t>
  </si>
  <si>
    <t>Mes 8</t>
  </si>
  <si>
    <t>Mes 9</t>
  </si>
  <si>
    <t>Mes 10</t>
  </si>
  <si>
    <t>Mes 11</t>
  </si>
  <si>
    <t>Mes 12</t>
  </si>
  <si>
    <t>Ejecución</t>
  </si>
  <si>
    <t>Cierre</t>
  </si>
  <si>
    <t>Total</t>
  </si>
  <si>
    <t>Entregables</t>
  </si>
  <si>
    <t>Fases del Convenio</t>
  </si>
  <si>
    <t xml:space="preserve">Valor </t>
  </si>
  <si>
    <t>TOTAL</t>
  </si>
  <si>
    <t>Inversión Directa</t>
  </si>
  <si>
    <t>Amparos</t>
  </si>
  <si>
    <t>%</t>
  </si>
  <si>
    <t>Valor</t>
  </si>
  <si>
    <t>Vlr Asegurado</t>
  </si>
  <si>
    <t>Tasa</t>
  </si>
  <si>
    <t>Prima</t>
  </si>
  <si>
    <t>Desde</t>
  </si>
  <si>
    <t>Cumplimiento</t>
  </si>
  <si>
    <t>Pago de salarios</t>
  </si>
  <si>
    <t>Calidad del servicio</t>
  </si>
  <si>
    <t>Responsabilidad civil</t>
  </si>
  <si>
    <t>Unidades Productivas</t>
  </si>
  <si>
    <t>TOTAL COSTOS DE IMPLEMENTACIÓN</t>
  </si>
  <si>
    <t>TOTAL COSTOS DEL CONVENIO</t>
  </si>
  <si>
    <t>PA FCP</t>
  </si>
  <si>
    <t>ALCALDÍA</t>
  </si>
  <si>
    <t>DETALLE</t>
  </si>
  <si>
    <t>Etereo</t>
  </si>
  <si>
    <t>Promedio</t>
  </si>
  <si>
    <t xml:space="preserve">Desviación </t>
  </si>
  <si>
    <t>Lím Inf</t>
  </si>
  <si>
    <t>Lím Sup</t>
  </si>
  <si>
    <t>FORTALECIMIENTO A PROYECTOS PRODUCTIVOS MIEL Y ESENCIAS LA MONTAÑA, QUE IMPACTARÁ A FIRMANTES DE PAZ Y COMUNIDADES ALEDAÑAS AL PREDIO VILLA FÁTIMA MUNICIPIO DE ANORÍ, DEPARTAMENTO DE ANTIOQUIA</t>
  </si>
  <si>
    <t>PRESUPUESTO CONSTRUCCIÓN</t>
  </si>
  <si>
    <t>ITEM</t>
  </si>
  <si>
    <t>ACTIVIDAD</t>
  </si>
  <si>
    <t xml:space="preserve">UNIDAD </t>
  </si>
  <si>
    <t>VR UNITARIO</t>
  </si>
  <si>
    <t>VR PARCIAL</t>
  </si>
  <si>
    <t xml:space="preserve"> CONTEINER</t>
  </si>
  <si>
    <t xml:space="preserve">1. </t>
  </si>
  <si>
    <t>PRELIMINARES</t>
  </si>
  <si>
    <t>Localización y replanteo obra arquitectónica</t>
  </si>
  <si>
    <t>m2</t>
  </si>
  <si>
    <t>Descapote manual (Hasta 20 cm)</t>
  </si>
  <si>
    <t>Excavación manual en material común</t>
  </si>
  <si>
    <t>m3</t>
  </si>
  <si>
    <t>BASE EN MATERIAL DE AFIRMADO COMPACTADO</t>
  </si>
  <si>
    <t>2.</t>
  </si>
  <si>
    <t>PLACA DE CONCRETO</t>
  </si>
  <si>
    <t>Solado de limpieza en concreto pobre 5cm de espesor</t>
  </si>
  <si>
    <t xml:space="preserve"> Placa de contrapiso en concreto de 3000 PSI e=0,20m</t>
  </si>
  <si>
    <t>Malla electrosoldada 0.15 X 0.15 M D= 5MM (INCLUYE SUMINISTRO FIJACION E INSTALACION)</t>
  </si>
  <si>
    <t>3.</t>
  </si>
  <si>
    <t>CONTAINER CON INSTALACIONES ELÉCTRICAS</t>
  </si>
  <si>
    <t>Contenedor marítimo de 20 pies.
Tipo Mitad Oficina Mitad Bodega.
Incluye: Red eléctrica con 1 tablero eléctrico de 6 circuitos, 1 toma VCP 220 V para
acometida principal, 1 toma sencillo a 220
V, 3 tomas dobles a 110 V, 1 salida para voz
y datos, 1 Aire Acondicionado de 12.000
BTU R410 a 220V, iluminación con panel
LED redondo de 12 W y 1 interruptor sencillo. Recubrimiento en paredes con placa
OSB, piso en vinilo PVC y cielo en placa
PVC (SOLO MITAD OFICINA), división en
placa OSB. 1 puerta peatonal de 2.0m x
0.8m y 1 ventana corrediza de 1.00 x 1.00
m. Pintura en anticorrosivo para interior de
bodega y exterior de todo el contenedo</t>
  </si>
  <si>
    <t xml:space="preserve">UND </t>
  </si>
  <si>
    <t>Generador electrico 6000W velocidad de 3.000 R.P.M.Su presión de trabajo es 6.000 PSI.Posee un motor de tipo bencinero de cuatro tiempos y 419 cc.</t>
  </si>
  <si>
    <t>INSTALACIONES HIDROSANITARIAS</t>
  </si>
  <si>
    <t>SUMINISTRO E INSTALACIÓN DE POZO SEPTICO
PLASTICO ANAEROBICO DE 2000LTS</t>
  </si>
  <si>
    <t>Und</t>
  </si>
  <si>
    <t>INSTALACION BAÑO PORTATIL</t>
  </si>
  <si>
    <t>SUMINISTRO E INSTALACIÓN TANQUE ELEVADO PVC 1000 LTS. INC. ACCESORIOS</t>
  </si>
  <si>
    <t>UND</t>
  </si>
  <si>
    <t>SUMINISTRO E INSTALACION DE BAJANTE DE AGUA LLUVIA PVC 4"</t>
  </si>
  <si>
    <t>m</t>
  </si>
  <si>
    <t xml:space="preserve"> Limpieza General Entrega</t>
  </si>
  <si>
    <t>ESTRUCTURA</t>
  </si>
  <si>
    <t>Madera inmunizada de Ø15cm para columnas</t>
  </si>
  <si>
    <t xml:space="preserve">Alambre de acero para sostener la polisombra </t>
  </si>
  <si>
    <t xml:space="preserve">Tensor de alambre </t>
  </si>
  <si>
    <t>Polisombra del vivero 100 m</t>
  </si>
  <si>
    <t>Grapas de amarre polisombra</t>
  </si>
  <si>
    <t>PLANTULAS</t>
  </si>
  <si>
    <t xml:space="preserve">Acero galvanizado para acarreo de eras </t>
  </si>
  <si>
    <t>Estacas para Acarreo de ERAS</t>
  </si>
  <si>
    <t>Mejoramiento Vial</t>
  </si>
  <si>
    <t>Mejoramiento vial Anori</t>
  </si>
  <si>
    <t>Sub- base clase C (NT1) gradación SBG-50</t>
  </si>
  <si>
    <t>EXCAVACION MANUAL EN MATERIAL COMUN CUNETA</t>
  </si>
  <si>
    <t>Mej vial</t>
  </si>
  <si>
    <t>COSTOS DIRECTOS</t>
  </si>
  <si>
    <t>A</t>
  </si>
  <si>
    <t>I</t>
  </si>
  <si>
    <t>U</t>
  </si>
  <si>
    <t>IVA</t>
  </si>
  <si>
    <t>AIU</t>
  </si>
  <si>
    <t>COSTOS DIRECTOS + AIU</t>
  </si>
  <si>
    <t>COSTO TOTAL</t>
  </si>
  <si>
    <t>CONTRAPARTIDA</t>
  </si>
  <si>
    <t>Horas maquinq</t>
  </si>
  <si>
    <t>Horas</t>
  </si>
  <si>
    <t>Hr</t>
  </si>
  <si>
    <t>1. Informe técnico final de ejecución con soportes aprobado por la supervisión
2. Informe financiero final de ejecución de los recursos aportados por la subcuenta PDET, así como de los recursos aportados por el Municipio en el marco de la contrapartida, el cual deberá ser aprobado por la supervisión.
3. Acta de entrega formal a las comunidades
4. Expediente digital y físico autorizado
5. Acta de cierre del proyecto.</t>
  </si>
  <si>
    <t xml:space="preserve">Profesional Coordiandor </t>
  </si>
  <si>
    <t xml:space="preserve">Informe de avance de las actividades, con los siguientes soportes, aprobado por el supervisor del proyecto:
1. Apropiación del proyecto por parte del CONVINIENTE
2. Contratación del Profesinal Coordinador
3. Transferencia conceptual de la ART al equipo implementador
4. Visita territorial de contextualización
5. Verificación de beneficiaros del proyecto 
6. Elaboración del Plan Operativo de Actividades -POA- del proyecto
</t>
  </si>
  <si>
    <t>Informe de avance de las actividades, con los siguientes soportes, aprobado por el supervisor del proyecto:
1. Acta de socializacion del proyecto.
2.Contratos y pagos que evidencien la contratación del Profesional Coordinador y  técnico agropecuario comunitario del proyecto.
3. Un Plan de compras aprobado por la supervisión
8. Actas de entrega a beneficiarios que evidencien el 35% Apiarios adecuados
9.Actas de entrega a beneficiarios que evidencien el 35% de indumentaria e insumos
11. Un Informe de  financiero que evidencie el 80% de ejecución del desembolso anterior y que contenga los soportes respectivos, como facturas, cuentas de cobro, estados de cuenta y demás soportes y documentación contable que avale la ejecución de los recursos; dos capítulos independientes, uno con el detalle de la ejecución de los recursos del FCP y otro con el aporte de la contrapartida.</t>
  </si>
  <si>
    <t>INFRAESTURA PRODUCTIVA</t>
  </si>
  <si>
    <t>Informe de avance de las actividades, con los siguientes soportes, aprobado por el supervisor del proyecto:
1.Contratos y pagos que evidencien la contratación del Profesional Coordinador y  técnico agropecuario comunitario del proyecto.
2. Informe técnico que evidencie la implementación del vivero
3. Publicación de pliegos en SECOP para la contratación de la implementación de la  infraestructura productiva.
3. Actas de entrega a beneficiarios que evidencien el 100% Apiarios adecuados
9.Actas de entrega a beneficiarios que evidencien el 80% de indumentaria e insumos
11. Un Informe  financiero que evidencie el 80% de ejecución del total desembolsado, que contenga los soportes respectivos, como facturas, cuentas de cobro, estados de cuenta y demás soportes y documentación contable que avale la ejecución de los recursos; dos capítulos independientes, uno con el detalle de la ejecución de los recursos del FCP y otro con el aporte de la contrapartida.</t>
  </si>
  <si>
    <t>No
 Desembolso</t>
  </si>
  <si>
    <t>% desembolso</t>
  </si>
  <si>
    <t>Cotizaciones todas</t>
  </si>
  <si>
    <t>rango X prom</t>
  </si>
  <si>
    <t>Baño portatil</t>
  </si>
  <si>
    <t>Generador eléctrico</t>
  </si>
  <si>
    <t>Panela x 1 kg  (3 kg/colmena)</t>
  </si>
  <si>
    <t>Impuestos</t>
  </si>
  <si>
    <t>Papelería 0,2% (se calcula sobre los costos directos)</t>
  </si>
  <si>
    <t>Techo presupuestal</t>
  </si>
  <si>
    <t>Diferencia</t>
  </si>
  <si>
    <t>Imprevistos</t>
  </si>
  <si>
    <t>Tanque decantador en acero inoxidable calibre 18 , capacidad 150kg con llave desalida tipo guillotina, tapa repujada con manija y gancho para soportar contra el tanque.</t>
  </si>
  <si>
    <t>Taller empoderamiento económico de la mujer rural,</t>
  </si>
  <si>
    <t>Carpa para extracción de miel de 2,5x3x2,4m, doble compartimento</t>
  </si>
  <si>
    <t>Centrifuga de 4 marcos de alza profunda, en acero inoxidable 304 calidad alimentaria, herrajes y llave tipo guillotina en acero.</t>
  </si>
  <si>
    <t xml:space="preserve">Envasadora semiautomática de líquidos y viscosos, capacidad 20 botellas por minuto; material acero inoxidable 304; modo de funcinamiento tipo pisto neumático; usos envasado de miel; eficiencia de +- 50gramos de precisión; voltaje 110-220V </t>
  </si>
  <si>
    <t>BODEGAJE (se calcula, sobre el valor de bienes e insumos que requieren bodegaje, para el presente caso el cálculo se realiza sobre $519.862.650)</t>
  </si>
  <si>
    <t>Póliza contratación derivada</t>
  </si>
  <si>
    <t>Costos de Implementación</t>
  </si>
  <si>
    <t>Sub Total Costos de Implementación</t>
  </si>
  <si>
    <t>Reunión de socialización</t>
  </si>
  <si>
    <t>Control</t>
  </si>
  <si>
    <t>Desembolsos</t>
  </si>
  <si>
    <t>Saldos en caja</t>
  </si>
  <si>
    <t>Escritorio en L oficina (mdetal-madera) Altura 73cm, Largo 154 cm, Ancho 106cm, Profundidad 48cm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</si>
</sst>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6" formatCode="&quot;$&quot;\ #,##0;[Red]\-&quot;$&quot;\ #,##0"/>
    <numFmt numFmtId="41" formatCode="_-* #,##0_-;\-* #,##0_-;_-* &quot;-&quot;_-;_-@_-"/>
    <numFmt numFmtId="44" formatCode="_-&quot;$&quot;\ * #,##0.00_-;\-&quot;$&quot;\ * #,##0.00_-;_-&quot;$&quot;\ * &quot;-&quot;??_-;_-@_-"/>
    <numFmt numFmtId="43" formatCode="_-* #,##0.00_-;\-* #,##0.00_-;_-* &quot;-&quot;??_-;_-@_-"/>
    <numFmt numFmtId="164" formatCode="_-* #,##0_-;\-* #,##0_-;_-* &quot;-&quot;??_-;_-@_-"/>
    <numFmt numFmtId="165" formatCode="#,##0.0"/>
    <numFmt numFmtId="166" formatCode="_-* #,##0.0_-;\-* #,##0.0_-;_-* &quot;-&quot;??_-;_-@_-"/>
    <numFmt numFmtId="167" formatCode="_-* #,##0.00\ _€_-;\-* #,##0.00\ _€_-;_-* &quot;-&quot;??\ _€_-;_-@_-"/>
    <numFmt numFmtId="168" formatCode="_-* #,##0.00\ &quot;€&quot;_-;\-* #,##0.00\ &quot;€&quot;_-;_-* &quot;-&quot;??\ &quot;€&quot;_-;_-@_-"/>
    <numFmt numFmtId="169" formatCode="_-&quot;$&quot;\ * #,##0_-;\-&quot;$&quot;\ * #,##0_-;_-&quot;$&quot;\ * &quot;-&quot;??_-;_-@_-"/>
    <numFmt numFmtId="170" formatCode="#,##0.00_ ;\-#,##0.00\ "/>
    <numFmt numFmtId="171" formatCode="#,##0_ ;\-#,##0\ "/>
    <numFmt numFmtId="172" formatCode="&quot;$&quot;\ #,##0.000"/>
    <numFmt numFmtId="173" formatCode="&quot;$&quot;\ #,##0"/>
    <numFmt numFmtId="174" formatCode="&quot;$&quot;\ #,##0.00"/>
    <numFmt numFmtId="175" formatCode="0.0"/>
    <numFmt numFmtId="176" formatCode="_-&quot;$&quot;* #,##0_-;\-&quot;$&quot;* #,##0_-;_-&quot;$&quot;* &quot;-&quot;_-;_-@_-"/>
    <numFmt numFmtId="177" formatCode="#,##0_ ;[Red]\-#,##0\ "/>
  </numFmts>
  <fonts count="41" x14ac:knownFonts="1">
    <font>
      <sz val="11"/>
      <color theme="1"/>
      <name val="Calibri"/>
      <family val="2"/>
      <scheme val="minor"/>
    </font>
    <font>
      <sz val="11"/>
      <color theme="1"/>
      <name val="Calibri"/>
      <family val="2"/>
      <scheme val="minor"/>
    </font>
    <font>
      <sz val="10"/>
      <color theme="1"/>
      <name val="Arial"/>
      <family val="2"/>
    </font>
    <font>
      <sz val="9"/>
      <color indexed="81"/>
      <name val="Tahoma"/>
      <family val="2"/>
    </font>
    <font>
      <b/>
      <sz val="9"/>
      <color indexed="81"/>
      <name val="Tahoma"/>
      <family val="2"/>
    </font>
    <font>
      <sz val="11"/>
      <color rgb="FF000000"/>
      <name val="Calibri"/>
      <family val="2"/>
      <scheme val="minor"/>
    </font>
    <font>
      <u/>
      <sz val="11"/>
      <color theme="10"/>
      <name val="Calibri"/>
      <family val="2"/>
      <scheme val="minor"/>
    </font>
    <font>
      <b/>
      <sz val="8"/>
      <color rgb="FFFFFFFF"/>
      <name val="Arial Narrow"/>
      <family val="2"/>
    </font>
    <font>
      <sz val="8"/>
      <color rgb="FF000000"/>
      <name val="Arial Narrow"/>
      <family val="2"/>
    </font>
    <font>
      <b/>
      <sz val="8"/>
      <color rgb="FF000000"/>
      <name val="Arial Narrow"/>
      <family val="2"/>
    </font>
    <font>
      <sz val="8"/>
      <color theme="1"/>
      <name val="Arial Narrow"/>
      <family val="2"/>
    </font>
    <font>
      <sz val="8"/>
      <color theme="1"/>
      <name val="Times New Roman"/>
      <family val="1"/>
    </font>
    <font>
      <sz val="14"/>
      <color theme="1"/>
      <name val="Arial"/>
      <family val="2"/>
    </font>
    <font>
      <b/>
      <sz val="14"/>
      <color theme="1"/>
      <name val="Arial"/>
      <family val="2"/>
    </font>
    <font>
      <sz val="14"/>
      <color theme="0" tint="-0.14999847407452621"/>
      <name val="Arial"/>
      <family val="2"/>
    </font>
    <font>
      <b/>
      <sz val="14"/>
      <color theme="0"/>
      <name val="Arial"/>
      <family val="2"/>
    </font>
    <font>
      <sz val="14"/>
      <name val="Arial"/>
      <family val="2"/>
    </font>
    <font>
      <b/>
      <sz val="14"/>
      <color rgb="FFFFFF00"/>
      <name val="Arial"/>
      <family val="2"/>
    </font>
    <font>
      <sz val="14"/>
      <color rgb="FFFF0000"/>
      <name val="Arial"/>
      <family val="2"/>
    </font>
    <font>
      <sz val="14"/>
      <color theme="1"/>
      <name val="Calibri"/>
      <family val="2"/>
      <scheme val="minor"/>
    </font>
    <font>
      <b/>
      <sz val="14"/>
      <name val="Arial"/>
      <family val="2"/>
    </font>
    <font>
      <sz val="14"/>
      <color rgb="FF000000"/>
      <name val="Arial"/>
      <family val="2"/>
    </font>
    <font>
      <b/>
      <sz val="8"/>
      <color rgb="FFFFFFFF"/>
      <name val="Calibri"/>
      <family val="2"/>
      <scheme val="minor"/>
    </font>
    <font>
      <sz val="8"/>
      <name val="Calibri"/>
      <family val="2"/>
      <scheme val="minor"/>
    </font>
    <font>
      <sz val="8"/>
      <color rgb="FF000000"/>
      <name val="Calibri"/>
      <family val="2"/>
      <scheme val="minor"/>
    </font>
    <font>
      <b/>
      <sz val="8"/>
      <color rgb="FF000000"/>
      <name val="Calibri"/>
      <family val="2"/>
      <scheme val="minor"/>
    </font>
    <font>
      <sz val="8"/>
      <color theme="1"/>
      <name val="Calibri"/>
      <family val="2"/>
      <scheme val="minor"/>
    </font>
    <font>
      <b/>
      <sz val="11"/>
      <color rgb="FF000000"/>
      <name val="Calibri"/>
      <family val="2"/>
      <scheme val="minor"/>
    </font>
    <font>
      <b/>
      <sz val="8"/>
      <color theme="1"/>
      <name val="Calibri"/>
      <family val="2"/>
      <scheme val="minor"/>
    </font>
    <font>
      <b/>
      <sz val="8"/>
      <name val="Calibri"/>
      <family val="2"/>
      <scheme val="minor"/>
    </font>
    <font>
      <sz val="8"/>
      <color rgb="FFFF0000"/>
      <name val="Calibri"/>
      <family val="2"/>
      <scheme val="minor"/>
    </font>
    <font>
      <sz val="8"/>
      <color rgb="FF000000"/>
      <name val="Arial"/>
      <family val="2"/>
    </font>
    <font>
      <b/>
      <sz val="11"/>
      <color theme="0"/>
      <name val="Calibri"/>
      <family val="2"/>
      <scheme val="minor"/>
    </font>
    <font>
      <b/>
      <sz val="11"/>
      <color theme="1"/>
      <name val="Calibri"/>
      <family val="2"/>
      <scheme val="minor"/>
    </font>
    <font>
      <sz val="14"/>
      <color rgb="FFFF0000"/>
      <name val="Calibri"/>
      <family val="2"/>
      <scheme val="minor"/>
    </font>
    <font>
      <b/>
      <sz val="8"/>
      <color rgb="FFFFFFFF"/>
      <name val="Arial"/>
      <family val="2"/>
    </font>
    <font>
      <sz val="8"/>
      <color theme="1"/>
      <name val="Arial"/>
      <family val="2"/>
    </font>
    <font>
      <sz val="8"/>
      <color rgb="FFFF0000"/>
      <name val="Arial Narrow"/>
      <family val="2"/>
    </font>
    <font>
      <sz val="11"/>
      <color rgb="FFFF0000"/>
      <name val="Calibri"/>
      <family val="2"/>
      <scheme val="minor"/>
    </font>
    <font>
      <b/>
      <u/>
      <sz val="8"/>
      <name val="Calibri"/>
      <family val="2"/>
      <scheme val="minor"/>
    </font>
    <font>
      <b/>
      <u/>
      <sz val="8"/>
      <color theme="10"/>
      <name val="Calibri"/>
      <family val="2"/>
      <scheme val="minor"/>
    </font>
  </fonts>
  <fills count="20">
    <fill>
      <patternFill patternType="none"/>
    </fill>
    <fill>
      <patternFill patternType="gray125"/>
    </fill>
    <fill>
      <patternFill patternType="solid">
        <fgColor theme="0" tint="-0.14999847407452621"/>
        <bgColor indexed="64"/>
      </patternFill>
    </fill>
    <fill>
      <patternFill patternType="solid">
        <fgColor rgb="FF4A66AC"/>
        <bgColor indexed="64"/>
      </patternFill>
    </fill>
    <fill>
      <patternFill patternType="solid">
        <fgColor theme="4" tint="0.59999389629810485"/>
        <bgColor indexed="64"/>
      </patternFill>
    </fill>
    <fill>
      <patternFill patternType="solid">
        <fgColor theme="0"/>
        <bgColor indexed="64"/>
      </patternFill>
    </fill>
    <fill>
      <patternFill patternType="solid">
        <fgColor theme="4" tint="0.79998168889431442"/>
        <bgColor indexed="64"/>
      </patternFill>
    </fill>
    <fill>
      <patternFill patternType="solid">
        <fgColor theme="4"/>
        <bgColor indexed="64"/>
      </patternFill>
    </fill>
    <fill>
      <patternFill patternType="solid">
        <fgColor rgb="FFFFFF00"/>
        <bgColor indexed="64"/>
      </patternFill>
    </fill>
    <fill>
      <patternFill patternType="solid">
        <fgColor rgb="FF4F81BD"/>
        <bgColor indexed="64"/>
      </patternFill>
    </fill>
    <fill>
      <patternFill patternType="solid">
        <fgColor rgb="FF00B0F0"/>
        <bgColor indexed="64"/>
      </patternFill>
    </fill>
    <fill>
      <patternFill patternType="solid">
        <fgColor rgb="FF0B3040"/>
        <bgColor rgb="FF000000"/>
      </patternFill>
    </fill>
    <fill>
      <patternFill patternType="solid">
        <fgColor rgb="FF00B0F0"/>
        <bgColor rgb="FF000000"/>
      </patternFill>
    </fill>
    <fill>
      <patternFill patternType="solid">
        <fgColor theme="0" tint="-0.499984740745262"/>
        <bgColor indexed="64"/>
      </patternFill>
    </fill>
    <fill>
      <patternFill patternType="solid">
        <fgColor theme="0" tint="-0.34998626667073579"/>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theme="9" tint="0.39997558519241921"/>
        <bgColor indexed="64"/>
      </patternFill>
    </fill>
  </fills>
  <borders count="54">
    <border>
      <left/>
      <right/>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right/>
      <top style="double">
        <color indexed="64"/>
      </top>
      <bottom/>
      <diagonal/>
    </border>
    <border>
      <left style="thin">
        <color theme="0" tint="-0.34998626667073579"/>
      </left>
      <right/>
      <top style="thin">
        <color theme="0" tint="-0.34998626667073579"/>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diagonal/>
    </border>
    <border>
      <left/>
      <right style="thin">
        <color theme="0" tint="-0.34998626667073579"/>
      </right>
      <top style="thin">
        <color theme="0" tint="-0.34998626667073579"/>
      </top>
      <bottom/>
      <diagonal/>
    </border>
    <border>
      <left/>
      <right/>
      <top style="thin">
        <color theme="0" tint="-0.34998626667073579"/>
      </top>
      <bottom/>
      <diagonal/>
    </border>
    <border>
      <left style="thin">
        <color theme="0" tint="-0.34998626667073579"/>
      </left>
      <right/>
      <top/>
      <bottom/>
      <diagonal/>
    </border>
    <border>
      <left style="thin">
        <color theme="0" tint="-0.34998626667073579"/>
      </left>
      <right/>
      <top/>
      <bottom style="thin">
        <color theme="0" tint="-0.34998626667073579"/>
      </bottom>
      <diagonal/>
    </border>
    <border>
      <left/>
      <right/>
      <top/>
      <bottom style="thin">
        <color theme="0" tint="-0.34998626667073579"/>
      </bottom>
      <diagonal/>
    </border>
    <border>
      <left/>
      <right style="thin">
        <color theme="0" tint="-0.34998626667073579"/>
      </right>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top style="thin">
        <color theme="0" tint="-0.34998626667073579"/>
      </top>
      <bottom style="double">
        <color indexed="64"/>
      </bottom>
      <diagonal/>
    </border>
    <border>
      <left/>
      <right/>
      <top style="thin">
        <color theme="0" tint="-0.34998626667073579"/>
      </top>
      <bottom style="double">
        <color indexed="64"/>
      </bottom>
      <diagonal/>
    </border>
    <border>
      <left/>
      <right style="thin">
        <color theme="0" tint="-0.34998626667073579"/>
      </right>
      <top style="thin">
        <color theme="0" tint="-0.34998626667073579"/>
      </top>
      <bottom style="double">
        <color indexed="64"/>
      </bottom>
      <diagonal/>
    </border>
    <border>
      <left style="thin">
        <color theme="0" tint="-0.34998626667073579"/>
      </left>
      <right/>
      <top style="double">
        <color indexed="64"/>
      </top>
      <bottom/>
      <diagonal/>
    </border>
    <border>
      <left/>
      <right style="thin">
        <color theme="0" tint="-0.34998626667073579"/>
      </right>
      <top style="double">
        <color indexed="64"/>
      </top>
      <bottom/>
      <diagonal/>
    </border>
    <border>
      <left/>
      <right style="thin">
        <color indexed="64"/>
      </right>
      <top style="thin">
        <color theme="0" tint="-0.34998626667073579"/>
      </top>
      <bottom style="thin">
        <color theme="0" tint="-0.34998626667073579"/>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bottom/>
      <diagonal/>
    </border>
    <border>
      <left/>
      <right style="thin">
        <color theme="0" tint="-0.34998626667073579"/>
      </right>
      <top/>
      <bottom/>
      <diagonal/>
    </border>
    <border>
      <left style="thin">
        <color theme="0" tint="-0.34998626667073579"/>
      </left>
      <right style="thin">
        <color theme="0" tint="-0.34998626667073579"/>
      </right>
      <top/>
      <bottom/>
      <diagonal/>
    </border>
    <border>
      <left style="thin">
        <color theme="0" tint="-0.34998626667073579"/>
      </left>
      <right/>
      <top style="thin">
        <color theme="0" tint="-0.34998626667073579"/>
      </top>
      <bottom style="thin">
        <color indexed="64"/>
      </bottom>
      <diagonal/>
    </border>
    <border>
      <left/>
      <right/>
      <top style="thin">
        <color theme="0" tint="-0.34998626667073579"/>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thin">
        <color auto="1"/>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bottom style="medium">
        <color indexed="64"/>
      </bottom>
      <diagonal/>
    </border>
    <border>
      <left style="thin">
        <color auto="1"/>
      </left>
      <right/>
      <top/>
      <bottom style="thin">
        <color auto="1"/>
      </bottom>
      <diagonal/>
    </border>
    <border>
      <left/>
      <right style="thin">
        <color indexed="64"/>
      </right>
      <top/>
      <bottom/>
      <diagonal/>
    </border>
    <border>
      <left/>
      <right/>
      <top style="thin">
        <color auto="1"/>
      </top>
      <bottom style="medium">
        <color auto="1"/>
      </bottom>
      <diagonal/>
    </border>
    <border>
      <left style="medium">
        <color indexed="64"/>
      </left>
      <right/>
      <top style="medium">
        <color indexed="64"/>
      </top>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indexed="64"/>
      </left>
      <right/>
      <top/>
      <bottom/>
      <diagonal/>
    </border>
    <border>
      <left style="medium">
        <color indexed="64"/>
      </left>
      <right style="thin">
        <color indexed="64"/>
      </right>
      <top style="thin">
        <color indexed="64"/>
      </top>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s>
  <cellStyleXfs count="10">
    <xf numFmtId="0" fontId="0" fillId="0" borderId="0"/>
    <xf numFmtId="43" fontId="1" fillId="0" borderId="0" applyFont="0" applyFill="0" applyBorder="0" applyAlignment="0" applyProtection="0"/>
    <xf numFmtId="41" fontId="1" fillId="0" borderId="0" applyFont="0" applyFill="0" applyBorder="0" applyAlignment="0" applyProtection="0"/>
    <xf numFmtId="43" fontId="2" fillId="0" borderId="0" applyFont="0" applyFill="0" applyBorder="0" applyAlignment="0" applyProtection="0"/>
    <xf numFmtId="44" fontId="1" fillId="0" borderId="0" applyFont="0" applyFill="0" applyBorder="0" applyAlignment="0" applyProtection="0"/>
    <xf numFmtId="0" fontId="2" fillId="0" borderId="0"/>
    <xf numFmtId="168" fontId="1" fillId="0" borderId="0" applyFont="0" applyFill="0" applyBorder="0" applyAlignment="0" applyProtection="0"/>
    <xf numFmtId="0" fontId="6" fillId="0" borderId="0" applyNumberFormat="0" applyFill="0" applyBorder="0" applyAlignment="0" applyProtection="0"/>
    <xf numFmtId="0" fontId="1" fillId="0" borderId="0"/>
    <xf numFmtId="176" fontId="1" fillId="0" borderId="0" applyFont="0" applyFill="0" applyBorder="0" applyAlignment="0" applyProtection="0"/>
  </cellStyleXfs>
  <cellXfs count="672">
    <xf numFmtId="0" fontId="0" fillId="0" borderId="0" xfId="0"/>
    <xf numFmtId="0" fontId="7" fillId="9" borderId="2" xfId="0" applyFont="1" applyFill="1" applyBorder="1" applyAlignment="1">
      <alignment horizontal="center" vertical="center" wrapText="1"/>
    </xf>
    <xf numFmtId="0" fontId="7" fillId="9" borderId="2" xfId="0" applyFont="1" applyFill="1" applyBorder="1" applyAlignment="1">
      <alignment horizontal="right" vertical="center" wrapText="1"/>
    </xf>
    <xf numFmtId="0" fontId="7" fillId="9" borderId="2" xfId="0" applyFont="1" applyFill="1" applyBorder="1" applyAlignment="1">
      <alignment vertical="center" wrapText="1"/>
    </xf>
    <xf numFmtId="0" fontId="8" fillId="0" borderId="2" xfId="0" applyFont="1" applyBorder="1" applyAlignment="1">
      <alignment horizontal="center" vertical="center"/>
    </xf>
    <xf numFmtId="10" fontId="8" fillId="0" borderId="2" xfId="0" applyNumberFormat="1" applyFont="1" applyBorder="1" applyAlignment="1">
      <alignment horizontal="right" vertical="center" wrapText="1"/>
    </xf>
    <xf numFmtId="0" fontId="8" fillId="0" borderId="2" xfId="0" applyFont="1" applyBorder="1" applyAlignment="1">
      <alignment horizontal="right" vertical="center" wrapText="1"/>
    </xf>
    <xf numFmtId="10" fontId="8" fillId="0" borderId="2" xfId="0" applyNumberFormat="1" applyFont="1" applyBorder="1" applyAlignment="1">
      <alignment horizontal="center" vertical="center" wrapText="1"/>
    </xf>
    <xf numFmtId="10" fontId="8" fillId="0" borderId="2" xfId="0" applyNumberFormat="1" applyFont="1" applyBorder="1" applyAlignment="1">
      <alignment horizontal="center" vertical="center"/>
    </xf>
    <xf numFmtId="10" fontId="8" fillId="0" borderId="2" xfId="0" applyNumberFormat="1" applyFont="1" applyBorder="1" applyAlignment="1">
      <alignment horizontal="right" vertical="center"/>
    </xf>
    <xf numFmtId="0" fontId="7" fillId="9" borderId="2" xfId="0" applyFont="1" applyFill="1" applyBorder="1" applyAlignment="1">
      <alignment horizontal="right" vertical="center"/>
    </xf>
    <xf numFmtId="0" fontId="0" fillId="0" borderId="0" xfId="0" applyAlignment="1">
      <alignment horizontal="right"/>
    </xf>
    <xf numFmtId="0" fontId="12" fillId="2" borderId="0" xfId="0" applyFont="1" applyFill="1" applyProtection="1">
      <protection locked="0"/>
    </xf>
    <xf numFmtId="0" fontId="13" fillId="2" borderId="1" xfId="5" applyFont="1" applyFill="1" applyBorder="1" applyAlignment="1" applyProtection="1">
      <alignment vertical="center"/>
      <protection locked="0"/>
    </xf>
    <xf numFmtId="3" fontId="13" fillId="2" borderId="1" xfId="5" applyNumberFormat="1" applyFont="1" applyFill="1" applyBorder="1" applyAlignment="1" applyProtection="1">
      <alignment vertical="center"/>
      <protection locked="0"/>
    </xf>
    <xf numFmtId="0" fontId="12" fillId="2" borderId="0" xfId="5" applyFont="1" applyFill="1" applyProtection="1">
      <protection locked="0"/>
    </xf>
    <xf numFmtId="0" fontId="14" fillId="2" borderId="0" xfId="5" applyFont="1" applyFill="1" applyProtection="1">
      <protection locked="0"/>
    </xf>
    <xf numFmtId="0" fontId="14" fillId="2" borderId="0" xfId="0" applyFont="1" applyFill="1" applyProtection="1">
      <protection locked="0"/>
    </xf>
    <xf numFmtId="0" fontId="12" fillId="2" borderId="0" xfId="5" applyFont="1" applyFill="1" applyAlignment="1" applyProtection="1">
      <alignment vertical="center" wrapText="1"/>
      <protection locked="0"/>
    </xf>
    <xf numFmtId="3" fontId="12" fillId="2" borderId="0" xfId="5" applyNumberFormat="1" applyFont="1" applyFill="1" applyAlignment="1" applyProtection="1">
      <alignment vertical="center" wrapText="1"/>
      <protection locked="0"/>
    </xf>
    <xf numFmtId="3" fontId="12" fillId="2" borderId="0" xfId="5" applyNumberFormat="1" applyFont="1" applyFill="1" applyAlignment="1" applyProtection="1">
      <alignment horizontal="center" vertical="center"/>
      <protection locked="0"/>
    </xf>
    <xf numFmtId="0" fontId="15" fillId="3" borderId="4" xfId="5" applyFont="1" applyFill="1" applyBorder="1" applyAlignment="1">
      <alignment vertical="center" wrapText="1"/>
    </xf>
    <xf numFmtId="0" fontId="12" fillId="2" borderId="0" xfId="5" applyFont="1" applyFill="1"/>
    <xf numFmtId="3" fontId="12" fillId="2" borderId="0" xfId="5" applyNumberFormat="1" applyFont="1" applyFill="1" applyProtection="1">
      <protection locked="0"/>
    </xf>
    <xf numFmtId="0" fontId="12" fillId="2" borderId="0" xfId="5" applyFont="1" applyFill="1" applyAlignment="1" applyProtection="1">
      <alignment vertical="center"/>
      <protection locked="0"/>
    </xf>
    <xf numFmtId="0" fontId="12" fillId="2" borderId="0" xfId="5" applyFont="1" applyFill="1" applyAlignment="1">
      <alignment vertical="center"/>
    </xf>
    <xf numFmtId="0" fontId="14" fillId="2" borderId="0" xfId="5" applyFont="1" applyFill="1" applyAlignment="1" applyProtection="1">
      <alignment vertical="center"/>
      <protection locked="0"/>
    </xf>
    <xf numFmtId="0" fontId="14" fillId="2" borderId="0" xfId="0" applyFont="1" applyFill="1" applyAlignment="1" applyProtection="1">
      <alignment vertical="center"/>
      <protection locked="0"/>
    </xf>
    <xf numFmtId="0" fontId="12" fillId="2" borderId="0" xfId="5" applyFont="1" applyFill="1" applyAlignment="1" applyProtection="1">
      <alignment wrapText="1"/>
      <protection locked="0"/>
    </xf>
    <xf numFmtId="0" fontId="18" fillId="2" borderId="0" xfId="5" applyFont="1" applyFill="1"/>
    <xf numFmtId="3" fontId="12" fillId="2" borderId="0" xfId="5" applyNumberFormat="1" applyFont="1" applyFill="1" applyAlignment="1" applyProtection="1">
      <alignment horizontal="center"/>
      <protection locked="0"/>
    </xf>
    <xf numFmtId="0" fontId="15" fillId="3" borderId="4" xfId="5" applyFont="1" applyFill="1" applyBorder="1" applyAlignment="1" applyProtection="1">
      <alignment vertical="center" wrapText="1"/>
      <protection locked="0"/>
    </xf>
    <xf numFmtId="0" fontId="18" fillId="2" borderId="0" xfId="0" applyFont="1" applyFill="1"/>
    <xf numFmtId="0" fontId="12" fillId="0" borderId="0" xfId="5" applyFont="1" applyAlignment="1" applyProtection="1">
      <alignment horizontal="right" vertical="center"/>
      <protection locked="0"/>
    </xf>
    <xf numFmtId="0" fontId="12" fillId="2" borderId="0" xfId="5" applyFont="1" applyFill="1" applyAlignment="1" applyProtection="1">
      <alignment horizontal="right"/>
      <protection locked="0"/>
    </xf>
    <xf numFmtId="0" fontId="12" fillId="0" borderId="0" xfId="5" applyFont="1" applyAlignment="1" applyProtection="1">
      <alignment vertical="center"/>
      <protection locked="0"/>
    </xf>
    <xf numFmtId="0" fontId="13" fillId="2" borderId="0" xfId="5" applyFont="1" applyFill="1" applyProtection="1">
      <protection locked="0"/>
    </xf>
    <xf numFmtId="0" fontId="12" fillId="4" borderId="5" xfId="5" applyFont="1" applyFill="1" applyBorder="1" applyAlignment="1">
      <alignment horizontal="center" vertical="center" wrapText="1"/>
    </xf>
    <xf numFmtId="0" fontId="12" fillId="4" borderId="5" xfId="5" applyFont="1" applyFill="1" applyBorder="1" applyAlignment="1" applyProtection="1">
      <alignment horizontal="center" vertical="center" wrapText="1"/>
      <protection locked="0"/>
    </xf>
    <xf numFmtId="43" fontId="12" fillId="2" borderId="4" xfId="5" applyNumberFormat="1" applyFont="1" applyFill="1" applyBorder="1" applyAlignment="1" applyProtection="1">
      <alignment vertical="center"/>
      <protection locked="0"/>
    </xf>
    <xf numFmtId="43" fontId="12" fillId="2" borderId="7" xfId="5" applyNumberFormat="1" applyFont="1" applyFill="1" applyBorder="1" applyAlignment="1">
      <alignment vertical="center"/>
    </xf>
    <xf numFmtId="43" fontId="12" fillId="2" borderId="7" xfId="5" applyNumberFormat="1" applyFont="1" applyFill="1" applyBorder="1" applyAlignment="1" applyProtection="1">
      <alignment vertical="center"/>
      <protection locked="0"/>
    </xf>
    <xf numFmtId="4" fontId="16" fillId="2" borderId="0" xfId="0" applyNumberFormat="1" applyFont="1" applyFill="1" applyProtection="1">
      <protection locked="0"/>
    </xf>
    <xf numFmtId="0" fontId="12" fillId="5" borderId="8" xfId="5" applyFont="1" applyFill="1" applyBorder="1" applyAlignment="1" applyProtection="1">
      <alignment horizontal="left" vertical="center" wrapText="1"/>
      <protection locked="0"/>
    </xf>
    <xf numFmtId="3" fontId="12" fillId="5" borderId="8" xfId="3" applyNumberFormat="1" applyFont="1" applyFill="1" applyBorder="1" applyAlignment="1" applyProtection="1">
      <alignment horizontal="right" vertical="center"/>
      <protection locked="0"/>
    </xf>
    <xf numFmtId="43" fontId="12" fillId="0" borderId="8" xfId="3" applyFont="1" applyFill="1" applyBorder="1" applyAlignment="1" applyProtection="1">
      <alignment horizontal="right" vertical="center"/>
      <protection locked="0"/>
    </xf>
    <xf numFmtId="0" fontId="12" fillId="2" borderId="8" xfId="5" applyFont="1" applyFill="1" applyBorder="1" applyAlignment="1" applyProtection="1">
      <alignment horizontal="left" vertical="center" wrapText="1"/>
      <protection locked="0"/>
    </xf>
    <xf numFmtId="43" fontId="12" fillId="2" borderId="8" xfId="3" applyFont="1" applyFill="1" applyBorder="1" applyAlignment="1" applyProtection="1">
      <alignment horizontal="right" vertical="center"/>
    </xf>
    <xf numFmtId="43" fontId="12" fillId="5" borderId="8" xfId="3" applyFont="1" applyFill="1" applyBorder="1" applyAlignment="1" applyProtection="1">
      <alignment horizontal="right" vertical="center"/>
      <protection locked="0"/>
    </xf>
    <xf numFmtId="43" fontId="12" fillId="5" borderId="8" xfId="3" applyFont="1" applyFill="1" applyBorder="1" applyAlignment="1" applyProtection="1">
      <alignment horizontal="right" vertical="center"/>
    </xf>
    <xf numFmtId="43" fontId="12" fillId="5" borderId="8" xfId="5" applyNumberFormat="1" applyFont="1" applyFill="1" applyBorder="1" applyAlignment="1" applyProtection="1">
      <alignment horizontal="left" vertical="center" wrapText="1"/>
      <protection locked="0"/>
    </xf>
    <xf numFmtId="3" fontId="16" fillId="4" borderId="8" xfId="3" applyNumberFormat="1" applyFont="1" applyFill="1" applyBorder="1" applyAlignment="1" applyProtection="1">
      <alignment horizontal="right" vertical="center"/>
      <protection locked="0"/>
    </xf>
    <xf numFmtId="43" fontId="16" fillId="4" borderId="8" xfId="3" applyFont="1" applyFill="1" applyBorder="1" applyAlignment="1" applyProtection="1">
      <alignment horizontal="right" vertical="center"/>
      <protection locked="0"/>
    </xf>
    <xf numFmtId="43" fontId="16" fillId="4" borderId="8" xfId="3" applyFont="1" applyFill="1" applyBorder="1" applyAlignment="1" applyProtection="1">
      <alignment horizontal="right" vertical="center"/>
    </xf>
    <xf numFmtId="43" fontId="16" fillId="4" borderId="8" xfId="5" applyNumberFormat="1" applyFont="1" applyFill="1" applyBorder="1" applyAlignment="1" applyProtection="1">
      <alignment horizontal="left" vertical="center" wrapText="1"/>
      <protection locked="0"/>
    </xf>
    <xf numFmtId="3" fontId="12" fillId="5" borderId="8" xfId="5" applyNumberFormat="1" applyFont="1" applyFill="1" applyBorder="1" applyAlignment="1" applyProtection="1">
      <alignment horizontal="center" vertical="center" wrapText="1"/>
      <protection locked="0"/>
    </xf>
    <xf numFmtId="0" fontId="12" fillId="5" borderId="8" xfId="5" applyFont="1" applyFill="1" applyBorder="1" applyAlignment="1" applyProtection="1">
      <alignment horizontal="center" vertical="center" wrapText="1"/>
      <protection locked="0"/>
    </xf>
    <xf numFmtId="3" fontId="16" fillId="5" borderId="8" xfId="3" applyNumberFormat="1" applyFont="1" applyFill="1" applyBorder="1" applyAlignment="1" applyProtection="1">
      <alignment horizontal="right" vertical="center"/>
    </xf>
    <xf numFmtId="0" fontId="15" fillId="4" borderId="6" xfId="5" applyFont="1" applyFill="1" applyBorder="1"/>
    <xf numFmtId="3" fontId="15" fillId="4" borderId="7" xfId="5" applyNumberFormat="1" applyFont="1" applyFill="1" applyBorder="1"/>
    <xf numFmtId="43" fontId="15" fillId="4" borderId="4" xfId="3" applyFont="1" applyFill="1" applyBorder="1" applyAlignment="1" applyProtection="1">
      <alignment vertical="center"/>
    </xf>
    <xf numFmtId="3" fontId="20" fillId="4" borderId="7" xfId="3" applyNumberFormat="1" applyFont="1" applyFill="1" applyBorder="1" applyAlignment="1" applyProtection="1">
      <alignment vertical="center"/>
    </xf>
    <xf numFmtId="43" fontId="15" fillId="4" borderId="7" xfId="3" applyFont="1" applyFill="1" applyBorder="1" applyAlignment="1" applyProtection="1">
      <alignment vertical="center"/>
    </xf>
    <xf numFmtId="0" fontId="12" fillId="2" borderId="8" xfId="5" applyFont="1" applyFill="1" applyBorder="1" applyAlignment="1" applyProtection="1">
      <alignment horizontal="right" vertical="center" wrapText="1"/>
      <protection locked="0"/>
    </xf>
    <xf numFmtId="0" fontId="12" fillId="0" borderId="0" xfId="0" applyFont="1" applyProtection="1">
      <protection locked="0"/>
    </xf>
    <xf numFmtId="0" fontId="16" fillId="4" borderId="8" xfId="5" applyFont="1" applyFill="1" applyBorder="1" applyAlignment="1" applyProtection="1">
      <alignment horizontal="left" vertical="center" wrapText="1"/>
      <protection locked="0"/>
    </xf>
    <xf numFmtId="0" fontId="16" fillId="4" borderId="8" xfId="5" applyFont="1" applyFill="1" applyBorder="1" applyAlignment="1" applyProtection="1">
      <alignment horizontal="center" vertical="center" wrapText="1"/>
      <protection locked="0"/>
    </xf>
    <xf numFmtId="3" fontId="16" fillId="5" borderId="8" xfId="5" applyNumberFormat="1" applyFont="1" applyFill="1" applyBorder="1" applyAlignment="1" applyProtection="1">
      <alignment horizontal="left" vertical="center" wrapText="1"/>
      <protection locked="0"/>
    </xf>
    <xf numFmtId="0" fontId="12" fillId="2" borderId="4" xfId="5" applyFont="1" applyFill="1" applyBorder="1" applyAlignment="1" applyProtection="1">
      <alignment horizontal="left" vertical="center" wrapText="1"/>
      <protection locked="0"/>
    </xf>
    <xf numFmtId="0" fontId="12" fillId="5" borderId="4" xfId="5" applyFont="1" applyFill="1" applyBorder="1" applyAlignment="1" applyProtection="1">
      <alignment horizontal="left" vertical="center" wrapText="1"/>
      <protection locked="0"/>
    </xf>
    <xf numFmtId="0" fontId="16" fillId="2" borderId="4" xfId="5" applyFont="1" applyFill="1" applyBorder="1" applyAlignment="1" applyProtection="1">
      <alignment horizontal="left" vertical="center"/>
      <protection locked="0"/>
    </xf>
    <xf numFmtId="0" fontId="16" fillId="2" borderId="6" xfId="5" applyFont="1" applyFill="1" applyBorder="1" applyAlignment="1" applyProtection="1">
      <alignment horizontal="center" vertical="center"/>
      <protection locked="0"/>
    </xf>
    <xf numFmtId="3" fontId="16" fillId="2" borderId="7" xfId="5" applyNumberFormat="1" applyFont="1" applyFill="1" applyBorder="1" applyAlignment="1" applyProtection="1">
      <alignment horizontal="center" vertical="center"/>
      <protection locked="0"/>
    </xf>
    <xf numFmtId="3" fontId="19" fillId="5" borderId="2" xfId="2" applyNumberFormat="1" applyFont="1" applyFill="1" applyBorder="1" applyAlignment="1">
      <alignment vertical="center"/>
    </xf>
    <xf numFmtId="43" fontId="12" fillId="0" borderId="8" xfId="5" applyNumberFormat="1" applyFont="1" applyBorder="1" applyAlignment="1" applyProtection="1">
      <alignment horizontal="left" vertical="center" wrapText="1"/>
      <protection locked="0"/>
    </xf>
    <xf numFmtId="0" fontId="16" fillId="5" borderId="8" xfId="5" applyFont="1" applyFill="1" applyBorder="1" applyAlignment="1" applyProtection="1">
      <alignment horizontal="left" vertical="center" wrapText="1"/>
      <protection locked="0"/>
    </xf>
    <xf numFmtId="0" fontId="14" fillId="2" borderId="0" xfId="0" applyFont="1" applyFill="1"/>
    <xf numFmtId="0" fontId="12" fillId="2" borderId="4" xfId="5" applyFont="1" applyFill="1" applyBorder="1" applyAlignment="1">
      <alignment horizontal="left" vertical="center"/>
    </xf>
    <xf numFmtId="0" fontId="12" fillId="2" borderId="6" xfId="5" applyFont="1" applyFill="1" applyBorder="1" applyAlignment="1">
      <alignment horizontal="center" vertical="center"/>
    </xf>
    <xf numFmtId="3" fontId="12" fillId="2" borderId="7" xfId="5" applyNumberFormat="1" applyFont="1" applyFill="1" applyBorder="1" applyAlignment="1">
      <alignment horizontal="center" vertical="center"/>
    </xf>
    <xf numFmtId="43" fontId="12" fillId="2" borderId="4" xfId="5" applyNumberFormat="1" applyFont="1" applyFill="1" applyBorder="1" applyAlignment="1">
      <alignment vertical="center"/>
    </xf>
    <xf numFmtId="3" fontId="12" fillId="0" borderId="0" xfId="0" applyNumberFormat="1" applyFont="1" applyProtection="1">
      <protection locked="0"/>
    </xf>
    <xf numFmtId="0" fontId="15" fillId="4" borderId="6" xfId="5" applyFont="1" applyFill="1" applyBorder="1" applyProtection="1">
      <protection locked="0"/>
    </xf>
    <xf numFmtId="3" fontId="15" fillId="4" borderId="7" xfId="5" applyNumberFormat="1" applyFont="1" applyFill="1" applyBorder="1" applyProtection="1">
      <protection locked="0"/>
    </xf>
    <xf numFmtId="43" fontId="15" fillId="4" borderId="4" xfId="3" applyFont="1" applyFill="1" applyBorder="1" applyAlignment="1" applyProtection="1">
      <alignment vertical="center"/>
      <protection locked="0"/>
    </xf>
    <xf numFmtId="171" fontId="12" fillId="5" borderId="8" xfId="3" applyNumberFormat="1" applyFont="1" applyFill="1" applyBorder="1" applyAlignment="1" applyProtection="1">
      <alignment horizontal="right" vertical="center"/>
      <protection locked="0"/>
    </xf>
    <xf numFmtId="43" fontId="12" fillId="2" borderId="8" xfId="3" applyFont="1" applyFill="1" applyBorder="1" applyAlignment="1" applyProtection="1">
      <alignment horizontal="right" vertical="center"/>
      <protection locked="0"/>
    </xf>
    <xf numFmtId="0" fontId="16" fillId="5" borderId="6" xfId="5" applyFont="1" applyFill="1" applyBorder="1" applyAlignment="1" applyProtection="1">
      <alignment horizontal="left" vertical="center" wrapText="1"/>
      <protection locked="0"/>
    </xf>
    <xf numFmtId="3" fontId="12" fillId="5" borderId="7" xfId="3" applyNumberFormat="1" applyFont="1" applyFill="1" applyBorder="1" applyAlignment="1" applyProtection="1">
      <alignment horizontal="right" vertical="center"/>
      <protection locked="0"/>
    </xf>
    <xf numFmtId="171" fontId="12" fillId="5" borderId="4" xfId="3" applyNumberFormat="1" applyFont="1" applyFill="1" applyBorder="1" applyAlignment="1" applyProtection="1">
      <alignment horizontal="right" vertical="center"/>
      <protection locked="0"/>
    </xf>
    <xf numFmtId="3" fontId="16" fillId="5" borderId="7" xfId="3" applyNumberFormat="1" applyFont="1" applyFill="1" applyBorder="1" applyAlignment="1" applyProtection="1">
      <alignment horizontal="right" vertical="center"/>
    </xf>
    <xf numFmtId="43" fontId="12" fillId="2" borderId="4" xfId="3" applyFont="1" applyFill="1" applyBorder="1" applyAlignment="1" applyProtection="1">
      <alignment horizontal="right" vertical="center"/>
      <protection locked="0"/>
    </xf>
    <xf numFmtId="43" fontId="12" fillId="2" borderId="7" xfId="3" applyFont="1" applyFill="1" applyBorder="1" applyAlignment="1" applyProtection="1">
      <alignment horizontal="right" vertical="center"/>
    </xf>
    <xf numFmtId="43" fontId="12" fillId="5" borderId="4" xfId="3" applyFont="1" applyFill="1" applyBorder="1" applyAlignment="1" applyProtection="1">
      <alignment horizontal="right" vertical="center"/>
      <protection locked="0"/>
    </xf>
    <xf numFmtId="43" fontId="12" fillId="5" borderId="7" xfId="3" applyFont="1" applyFill="1" applyBorder="1" applyAlignment="1" applyProtection="1">
      <alignment horizontal="right" vertical="center"/>
    </xf>
    <xf numFmtId="43" fontId="12" fillId="5" borderId="4" xfId="5" applyNumberFormat="1" applyFont="1" applyFill="1" applyBorder="1" applyAlignment="1" applyProtection="1">
      <alignment horizontal="left" vertical="center" wrapText="1"/>
      <protection locked="0"/>
    </xf>
    <xf numFmtId="0" fontId="16" fillId="0" borderId="4" xfId="5" applyFont="1" applyBorder="1" applyAlignment="1" applyProtection="1">
      <alignment horizontal="left" vertical="top" wrapText="1"/>
      <protection locked="0"/>
    </xf>
    <xf numFmtId="0" fontId="16" fillId="0" borderId="6" xfId="5" applyFont="1" applyBorder="1" applyAlignment="1" applyProtection="1">
      <alignment horizontal="left" vertical="top" wrapText="1"/>
      <protection locked="0"/>
    </xf>
    <xf numFmtId="3" fontId="20" fillId="5" borderId="7" xfId="3" applyNumberFormat="1" applyFont="1" applyFill="1" applyBorder="1" applyAlignment="1" applyProtection="1">
      <alignment horizontal="right" vertical="center"/>
    </xf>
    <xf numFmtId="0" fontId="16" fillId="0" borderId="9" xfId="5" applyFont="1" applyBorder="1" applyAlignment="1" applyProtection="1">
      <alignment horizontal="left" vertical="top" wrapText="1"/>
      <protection locked="0"/>
    </xf>
    <xf numFmtId="0" fontId="16" fillId="0" borderId="11" xfId="5" applyFont="1" applyBorder="1" applyAlignment="1" applyProtection="1">
      <alignment horizontal="left" vertical="top" wrapText="1"/>
      <protection locked="0"/>
    </xf>
    <xf numFmtId="0" fontId="16" fillId="5" borderId="11" xfId="5" applyFont="1" applyFill="1" applyBorder="1" applyAlignment="1" applyProtection="1">
      <alignment horizontal="left" vertical="center" wrapText="1"/>
      <protection locked="0"/>
    </xf>
    <xf numFmtId="3" fontId="12" fillId="5" borderId="10" xfId="3" applyNumberFormat="1" applyFont="1" applyFill="1" applyBorder="1" applyAlignment="1" applyProtection="1">
      <alignment horizontal="right" vertical="center"/>
      <protection locked="0"/>
    </xf>
    <xf numFmtId="43" fontId="12" fillId="5" borderId="9" xfId="3" applyFont="1" applyFill="1" applyBorder="1" applyAlignment="1" applyProtection="1">
      <alignment horizontal="right" vertical="center"/>
      <protection locked="0"/>
    </xf>
    <xf numFmtId="3" fontId="16" fillId="5" borderId="10" xfId="3" applyNumberFormat="1" applyFont="1" applyFill="1" applyBorder="1" applyAlignment="1" applyProtection="1">
      <alignment horizontal="right" vertical="center"/>
    </xf>
    <xf numFmtId="3" fontId="12" fillId="5" borderId="2" xfId="3" applyNumberFormat="1" applyFont="1" applyFill="1" applyBorder="1" applyAlignment="1" applyProtection="1">
      <alignment horizontal="right" vertical="center"/>
      <protection locked="0"/>
    </xf>
    <xf numFmtId="3" fontId="16" fillId="5" borderId="2" xfId="3" applyNumberFormat="1" applyFont="1" applyFill="1" applyBorder="1" applyAlignment="1" applyProtection="1">
      <alignment horizontal="right" vertical="center"/>
    </xf>
    <xf numFmtId="3" fontId="12" fillId="2" borderId="0" xfId="5" applyNumberFormat="1" applyFont="1" applyFill="1"/>
    <xf numFmtId="164" fontId="15" fillId="3" borderId="6" xfId="3" applyNumberFormat="1" applyFont="1" applyFill="1" applyBorder="1" applyAlignment="1" applyProtection="1">
      <alignment horizontal="right" vertical="center"/>
    </xf>
    <xf numFmtId="3" fontId="15" fillId="3" borderId="7" xfId="3" applyNumberFormat="1" applyFont="1" applyFill="1" applyBorder="1" applyAlignment="1" applyProtection="1">
      <alignment horizontal="right" vertical="center"/>
    </xf>
    <xf numFmtId="43" fontId="15" fillId="3" borderId="4" xfId="3" applyFont="1" applyFill="1" applyBorder="1" applyAlignment="1" applyProtection="1">
      <alignment vertical="center"/>
    </xf>
    <xf numFmtId="43" fontId="15" fillId="3" borderId="7" xfId="3" applyFont="1" applyFill="1" applyBorder="1" applyAlignment="1" applyProtection="1">
      <alignment vertical="center"/>
    </xf>
    <xf numFmtId="0" fontId="15" fillId="3" borderId="5" xfId="5" applyFont="1" applyFill="1" applyBorder="1" applyAlignment="1">
      <alignment horizontal="center" vertical="center"/>
    </xf>
    <xf numFmtId="41" fontId="19" fillId="5" borderId="2" xfId="2" applyFont="1" applyFill="1" applyBorder="1" applyAlignment="1">
      <alignment vertical="center"/>
    </xf>
    <xf numFmtId="43" fontId="18" fillId="5" borderId="8" xfId="3" applyFont="1" applyFill="1" applyBorder="1" applyAlignment="1" applyProtection="1">
      <alignment horizontal="right" vertical="center"/>
    </xf>
    <xf numFmtId="3" fontId="19" fillId="5" borderId="2" xfId="2" applyNumberFormat="1" applyFont="1" applyFill="1" applyBorder="1" applyAlignment="1">
      <alignment vertical="center" wrapText="1"/>
    </xf>
    <xf numFmtId="43" fontId="15" fillId="3" borderId="4" xfId="3" applyFont="1" applyFill="1" applyBorder="1" applyAlignment="1" applyProtection="1">
      <alignment vertical="center"/>
      <protection locked="0"/>
    </xf>
    <xf numFmtId="0" fontId="15" fillId="3" borderId="0" xfId="5" applyFont="1" applyFill="1"/>
    <xf numFmtId="0" fontId="12" fillId="3" borderId="0" xfId="5" applyFont="1" applyFill="1"/>
    <xf numFmtId="3" fontId="12" fillId="3" borderId="0" xfId="5" applyNumberFormat="1" applyFont="1" applyFill="1"/>
    <xf numFmtId="0" fontId="12" fillId="0" borderId="4" xfId="5" applyFont="1" applyBorder="1" applyAlignment="1" applyProtection="1">
      <alignment vertical="center" wrapText="1"/>
      <protection locked="0"/>
    </xf>
    <xf numFmtId="0" fontId="12" fillId="2" borderId="4" xfId="5" applyFont="1" applyFill="1" applyBorder="1" applyAlignment="1" applyProtection="1">
      <alignment vertical="center" wrapText="1"/>
      <protection locked="0"/>
    </xf>
    <xf numFmtId="0" fontId="12" fillId="5" borderId="4" xfId="5" applyFont="1" applyFill="1" applyBorder="1" applyAlignment="1" applyProtection="1">
      <alignment vertical="center" wrapText="1"/>
      <protection locked="0"/>
    </xf>
    <xf numFmtId="43" fontId="12" fillId="0" borderId="7" xfId="5" applyNumberFormat="1" applyFont="1" applyBorder="1" applyAlignment="1" applyProtection="1">
      <alignment vertical="center" wrapText="1"/>
      <protection locked="0"/>
    </xf>
    <xf numFmtId="43" fontId="12" fillId="5" borderId="7" xfId="5" applyNumberFormat="1" applyFont="1" applyFill="1" applyBorder="1" applyAlignment="1" applyProtection="1">
      <alignment vertical="center" wrapText="1"/>
      <protection locked="0"/>
    </xf>
    <xf numFmtId="0" fontId="12" fillId="5" borderId="7" xfId="5" applyFont="1" applyFill="1" applyBorder="1" applyAlignment="1" applyProtection="1">
      <alignment vertical="center" wrapText="1"/>
      <protection locked="0"/>
    </xf>
    <xf numFmtId="0" fontId="12" fillId="2" borderId="9" xfId="5" applyFont="1" applyFill="1" applyBorder="1" applyAlignment="1" applyProtection="1">
      <alignment vertical="center" wrapText="1"/>
      <protection locked="0"/>
    </xf>
    <xf numFmtId="0" fontId="12" fillId="5" borderId="9" xfId="5" applyFont="1" applyFill="1" applyBorder="1" applyAlignment="1" applyProtection="1">
      <alignment vertical="center" wrapText="1"/>
      <protection locked="0"/>
    </xf>
    <xf numFmtId="0" fontId="12" fillId="5" borderId="11" xfId="5" applyFont="1" applyFill="1" applyBorder="1" applyAlignment="1" applyProtection="1">
      <alignment vertical="center" wrapText="1"/>
      <protection locked="0"/>
    </xf>
    <xf numFmtId="0" fontId="12" fillId="5" borderId="10" xfId="5" applyFont="1" applyFill="1" applyBorder="1" applyAlignment="1" applyProtection="1">
      <alignment vertical="center" wrapText="1"/>
      <protection locked="0"/>
    </xf>
    <xf numFmtId="0" fontId="12" fillId="2" borderId="2" xfId="5" applyFont="1" applyFill="1" applyBorder="1" applyProtection="1">
      <protection locked="0"/>
    </xf>
    <xf numFmtId="3" fontId="12" fillId="6" borderId="2" xfId="5" applyNumberFormat="1" applyFont="1" applyFill="1" applyBorder="1" applyProtection="1">
      <protection locked="0"/>
    </xf>
    <xf numFmtId="0" fontId="12" fillId="6" borderId="2" xfId="5" applyFont="1" applyFill="1" applyBorder="1" applyProtection="1">
      <protection locked="0"/>
    </xf>
    <xf numFmtId="167" fontId="12" fillId="2" borderId="0" xfId="5" applyNumberFormat="1" applyFont="1" applyFill="1"/>
    <xf numFmtId="166" fontId="12" fillId="2" borderId="0" xfId="1" applyNumberFormat="1" applyFont="1" applyFill="1"/>
    <xf numFmtId="44" fontId="12" fillId="2" borderId="0" xfId="5" applyNumberFormat="1" applyFont="1" applyFill="1" applyProtection="1">
      <protection locked="0"/>
    </xf>
    <xf numFmtId="0" fontId="12" fillId="5" borderId="2" xfId="5" applyFont="1" applyFill="1" applyBorder="1"/>
    <xf numFmtId="43" fontId="12" fillId="2" borderId="0" xfId="5" applyNumberFormat="1" applyFont="1" applyFill="1" applyProtection="1">
      <protection locked="0"/>
    </xf>
    <xf numFmtId="43" fontId="12" fillId="5" borderId="2" xfId="1" applyFont="1" applyFill="1" applyBorder="1" applyProtection="1"/>
    <xf numFmtId="10" fontId="12" fillId="2" borderId="0" xfId="5" applyNumberFormat="1" applyFont="1" applyFill="1" applyProtection="1">
      <protection locked="0"/>
    </xf>
    <xf numFmtId="0" fontId="12" fillId="0" borderId="0" xfId="5" applyFont="1" applyProtection="1">
      <protection locked="0"/>
    </xf>
    <xf numFmtId="3" fontId="12" fillId="0" borderId="0" xfId="5" applyNumberFormat="1" applyFont="1" applyProtection="1">
      <protection locked="0"/>
    </xf>
    <xf numFmtId="43" fontId="12" fillId="0" borderId="7" xfId="3" applyFont="1" applyFill="1" applyBorder="1" applyAlignment="1" applyProtection="1">
      <alignment horizontal="right" vertical="center"/>
      <protection locked="0"/>
    </xf>
    <xf numFmtId="0" fontId="12" fillId="2" borderId="11" xfId="5" applyFont="1" applyFill="1" applyBorder="1" applyAlignment="1" applyProtection="1">
      <alignment horizontal="center" vertical="center"/>
      <protection locked="0"/>
    </xf>
    <xf numFmtId="3" fontId="12" fillId="2" borderId="10" xfId="5" applyNumberFormat="1" applyFont="1" applyFill="1" applyBorder="1" applyAlignment="1" applyProtection="1">
      <alignment horizontal="center" vertical="center"/>
      <protection locked="0"/>
    </xf>
    <xf numFmtId="43" fontId="12" fillId="2" borderId="9" xfId="5" applyNumberFormat="1" applyFont="1" applyFill="1" applyBorder="1" applyAlignment="1" applyProtection="1">
      <alignment vertical="center"/>
      <protection locked="0"/>
    </xf>
    <xf numFmtId="0" fontId="12" fillId="5" borderId="2" xfId="5" applyFont="1" applyFill="1" applyBorder="1" applyAlignment="1" applyProtection="1">
      <alignment horizontal="left" vertical="center" wrapText="1"/>
      <protection locked="0"/>
    </xf>
    <xf numFmtId="0" fontId="12" fillId="2" borderId="2" xfId="5" applyFont="1" applyFill="1" applyBorder="1" applyAlignment="1" applyProtection="1">
      <alignment horizontal="right" vertical="center" wrapText="1"/>
      <protection locked="0"/>
    </xf>
    <xf numFmtId="0" fontId="12" fillId="5" borderId="16" xfId="5" applyFont="1" applyFill="1" applyBorder="1" applyAlignment="1" applyProtection="1">
      <alignment horizontal="left" vertical="center" wrapText="1"/>
      <protection locked="0"/>
    </xf>
    <xf numFmtId="3" fontId="12" fillId="5" borderId="16" xfId="5" applyNumberFormat="1" applyFont="1" applyFill="1" applyBorder="1" applyAlignment="1" applyProtection="1">
      <alignment horizontal="center" vertical="center" wrapText="1"/>
      <protection locked="0"/>
    </xf>
    <xf numFmtId="0" fontId="12" fillId="5" borderId="16" xfId="5" applyFont="1" applyFill="1" applyBorder="1" applyAlignment="1" applyProtection="1">
      <alignment horizontal="center" vertical="center" wrapText="1"/>
      <protection locked="0"/>
    </xf>
    <xf numFmtId="0" fontId="12" fillId="2" borderId="16" xfId="5" applyFont="1" applyFill="1" applyBorder="1" applyAlignment="1" applyProtection="1">
      <alignment horizontal="left" vertical="center" wrapText="1"/>
      <protection locked="0"/>
    </xf>
    <xf numFmtId="43" fontId="12" fillId="2" borderId="16" xfId="3" applyFont="1" applyFill="1" applyBorder="1" applyAlignment="1" applyProtection="1">
      <alignment horizontal="right" vertical="center"/>
    </xf>
    <xf numFmtId="43" fontId="12" fillId="5" borderId="16" xfId="3" applyFont="1" applyFill="1" applyBorder="1" applyAlignment="1" applyProtection="1">
      <alignment horizontal="right" vertical="center"/>
      <protection locked="0"/>
    </xf>
    <xf numFmtId="43" fontId="12" fillId="5" borderId="16" xfId="3" applyFont="1" applyFill="1" applyBorder="1" applyAlignment="1" applyProtection="1">
      <alignment horizontal="right" vertical="center"/>
    </xf>
    <xf numFmtId="43" fontId="12" fillId="2" borderId="13" xfId="5" applyNumberFormat="1" applyFont="1" applyFill="1" applyBorder="1" applyAlignment="1" applyProtection="1">
      <alignment vertical="center"/>
      <protection locked="0"/>
    </xf>
    <xf numFmtId="43" fontId="12" fillId="2" borderId="15" xfId="5" applyNumberFormat="1" applyFont="1" applyFill="1" applyBorder="1" applyAlignment="1">
      <alignment vertical="center"/>
    </xf>
    <xf numFmtId="0" fontId="12" fillId="2" borderId="0" xfId="5" applyFont="1" applyFill="1" applyAlignment="1" applyProtection="1">
      <alignment horizontal="left" vertical="center" wrapText="1"/>
      <protection locked="0"/>
    </xf>
    <xf numFmtId="43" fontId="12" fillId="2" borderId="0" xfId="3" applyFont="1" applyFill="1" applyBorder="1" applyAlignment="1" applyProtection="1">
      <alignment horizontal="right" vertical="center"/>
    </xf>
    <xf numFmtId="43" fontId="12" fillId="5" borderId="0" xfId="3" applyFont="1" applyFill="1" applyBorder="1" applyAlignment="1" applyProtection="1">
      <alignment horizontal="right" vertical="center"/>
      <protection locked="0"/>
    </xf>
    <xf numFmtId="43" fontId="12" fillId="5" borderId="0" xfId="3" applyFont="1" applyFill="1" applyBorder="1" applyAlignment="1" applyProtection="1">
      <alignment horizontal="right" vertical="center"/>
    </xf>
    <xf numFmtId="43" fontId="12" fillId="2" borderId="14" xfId="5" applyNumberFormat="1" applyFont="1" applyFill="1" applyBorder="1" applyAlignment="1" applyProtection="1">
      <alignment vertical="center"/>
      <protection locked="0"/>
    </xf>
    <xf numFmtId="43" fontId="12" fillId="2" borderId="6" xfId="5" applyNumberFormat="1" applyFont="1" applyFill="1" applyBorder="1" applyAlignment="1" applyProtection="1">
      <alignment vertical="center"/>
      <protection locked="0"/>
    </xf>
    <xf numFmtId="0" fontId="12" fillId="2" borderId="7" xfId="5" applyFont="1" applyFill="1" applyBorder="1" applyAlignment="1" applyProtection="1">
      <alignment horizontal="left" vertical="center" wrapText="1"/>
      <protection locked="0"/>
    </xf>
    <xf numFmtId="0" fontId="12" fillId="4" borderId="28" xfId="5" applyFont="1" applyFill="1" applyBorder="1" applyAlignment="1">
      <alignment horizontal="center" vertical="center" wrapText="1"/>
    </xf>
    <xf numFmtId="43" fontId="16" fillId="4" borderId="5" xfId="3" applyFont="1" applyFill="1" applyBorder="1" applyAlignment="1" applyProtection="1">
      <alignment horizontal="right" vertical="center"/>
      <protection locked="0"/>
    </xf>
    <xf numFmtId="0" fontId="16" fillId="4" borderId="13" xfId="5" applyFont="1" applyFill="1" applyBorder="1" applyAlignment="1" applyProtection="1">
      <alignment horizontal="left" vertical="center"/>
      <protection locked="0"/>
    </xf>
    <xf numFmtId="3" fontId="16" fillId="4" borderId="5" xfId="3" applyNumberFormat="1" applyFont="1" applyFill="1" applyBorder="1" applyAlignment="1" applyProtection="1">
      <alignment horizontal="right" vertical="center"/>
      <protection locked="0"/>
    </xf>
    <xf numFmtId="3" fontId="16" fillId="4" borderId="5" xfId="3" applyNumberFormat="1" applyFont="1" applyFill="1" applyBorder="1" applyAlignment="1" applyProtection="1">
      <alignment horizontal="center" vertical="center"/>
    </xf>
    <xf numFmtId="0" fontId="12" fillId="0" borderId="2" xfId="5" applyFont="1" applyBorder="1" applyAlignment="1" applyProtection="1">
      <alignment horizontal="left" vertical="center" wrapText="1"/>
      <protection locked="0"/>
    </xf>
    <xf numFmtId="3" fontId="12" fillId="0" borderId="2" xfId="3" applyNumberFormat="1" applyFont="1" applyFill="1" applyBorder="1" applyAlignment="1" applyProtection="1">
      <alignment horizontal="right" vertical="center"/>
      <protection locked="0"/>
    </xf>
    <xf numFmtId="0" fontId="16" fillId="0" borderId="2" xfId="5" applyFont="1" applyBorder="1" applyAlignment="1" applyProtection="1">
      <alignment horizontal="left" vertical="center"/>
      <protection locked="0"/>
    </xf>
    <xf numFmtId="3" fontId="16" fillId="0" borderId="2" xfId="3" applyNumberFormat="1" applyFont="1" applyFill="1" applyBorder="1" applyAlignment="1" applyProtection="1">
      <alignment horizontal="right" vertical="center"/>
      <protection locked="0"/>
    </xf>
    <xf numFmtId="43" fontId="16" fillId="0" borderId="2" xfId="3" applyFont="1" applyFill="1" applyBorder="1" applyAlignment="1" applyProtection="1">
      <alignment horizontal="right" vertical="center"/>
      <protection locked="0"/>
    </xf>
    <xf numFmtId="3" fontId="16" fillId="0" borderId="2" xfId="3" applyNumberFormat="1" applyFont="1" applyFill="1" applyBorder="1" applyAlignment="1" applyProtection="1">
      <alignment horizontal="right" vertical="center"/>
    </xf>
    <xf numFmtId="43" fontId="15" fillId="4" borderId="6" xfId="3" applyFont="1" applyFill="1" applyBorder="1" applyAlignment="1" applyProtection="1">
      <alignment vertical="center"/>
    </xf>
    <xf numFmtId="0" fontId="16" fillId="0" borderId="2" xfId="5" applyFont="1" applyBorder="1" applyAlignment="1" applyProtection="1">
      <alignment horizontal="left" vertical="center" wrapText="1"/>
      <protection locked="0"/>
    </xf>
    <xf numFmtId="3" fontId="20" fillId="4" borderId="2" xfId="3" applyNumberFormat="1" applyFont="1" applyFill="1" applyBorder="1" applyAlignment="1" applyProtection="1">
      <alignment vertical="center"/>
    </xf>
    <xf numFmtId="171" fontId="12" fillId="0" borderId="2" xfId="3" applyNumberFormat="1" applyFont="1" applyFill="1" applyBorder="1" applyAlignment="1" applyProtection="1">
      <alignment horizontal="right" vertical="center"/>
      <protection locked="0"/>
    </xf>
    <xf numFmtId="171" fontId="16" fillId="0" borderId="2" xfId="3" applyNumberFormat="1" applyFont="1" applyFill="1" applyBorder="1" applyAlignment="1" applyProtection="1">
      <alignment horizontal="right" vertical="center"/>
      <protection locked="0"/>
    </xf>
    <xf numFmtId="3" fontId="20" fillId="2" borderId="1" xfId="5" applyNumberFormat="1" applyFont="1" applyFill="1" applyBorder="1" applyAlignment="1" applyProtection="1">
      <alignment vertical="center"/>
      <protection locked="0"/>
    </xf>
    <xf numFmtId="3" fontId="16" fillId="2" borderId="0" xfId="5" applyNumberFormat="1" applyFont="1" applyFill="1" applyAlignment="1" applyProtection="1">
      <alignment vertical="center" wrapText="1"/>
      <protection locked="0"/>
    </xf>
    <xf numFmtId="3" fontId="16" fillId="2" borderId="0" xfId="5" applyNumberFormat="1" applyFont="1" applyFill="1" applyProtection="1">
      <protection locked="0"/>
    </xf>
    <xf numFmtId="3" fontId="16" fillId="4" borderId="28" xfId="5" applyNumberFormat="1" applyFont="1" applyFill="1" applyBorder="1" applyAlignment="1">
      <alignment horizontal="center" vertical="center" wrapText="1"/>
    </xf>
    <xf numFmtId="3" fontId="20" fillId="2" borderId="2" xfId="5" applyNumberFormat="1" applyFont="1" applyFill="1" applyBorder="1" applyAlignment="1">
      <alignment vertical="center"/>
    </xf>
    <xf numFmtId="3" fontId="16" fillId="5" borderId="8" xfId="3" applyNumberFormat="1" applyFont="1" applyFill="1" applyBorder="1" applyAlignment="1" applyProtection="1">
      <alignment horizontal="center" vertical="center"/>
    </xf>
    <xf numFmtId="3" fontId="16" fillId="5" borderId="16" xfId="3" applyNumberFormat="1" applyFont="1" applyFill="1" applyBorder="1" applyAlignment="1" applyProtection="1">
      <alignment horizontal="center" vertical="center"/>
    </xf>
    <xf numFmtId="3" fontId="16" fillId="4" borderId="5" xfId="5" applyNumberFormat="1" applyFont="1" applyFill="1" applyBorder="1" applyAlignment="1">
      <alignment horizontal="center" vertical="center" wrapText="1"/>
    </xf>
    <xf numFmtId="3" fontId="20" fillId="2" borderId="10" xfId="5" applyNumberFormat="1" applyFont="1" applyFill="1" applyBorder="1" applyAlignment="1">
      <alignment vertical="center"/>
    </xf>
    <xf numFmtId="3" fontId="16" fillId="2" borderId="8" xfId="3" applyNumberFormat="1" applyFont="1" applyFill="1" applyBorder="1" applyAlignment="1" applyProtection="1">
      <alignment horizontal="right" vertical="center"/>
    </xf>
    <xf numFmtId="3" fontId="16" fillId="2" borderId="7" xfId="3" applyNumberFormat="1" applyFont="1" applyFill="1" applyBorder="1" applyAlignment="1" applyProtection="1">
      <alignment horizontal="right" vertical="center"/>
    </xf>
    <xf numFmtId="3" fontId="20" fillId="2" borderId="7" xfId="5" applyNumberFormat="1" applyFont="1" applyFill="1" applyBorder="1" applyAlignment="1">
      <alignment vertical="center"/>
    </xf>
    <xf numFmtId="3" fontId="16" fillId="2" borderId="0" xfId="5" applyNumberFormat="1" applyFont="1" applyFill="1"/>
    <xf numFmtId="3" fontId="20" fillId="3" borderId="7" xfId="3" applyNumberFormat="1" applyFont="1" applyFill="1" applyBorder="1" applyAlignment="1" applyProtection="1">
      <alignment vertical="center"/>
    </xf>
    <xf numFmtId="3" fontId="20" fillId="3" borderId="5" xfId="5" applyNumberFormat="1" applyFont="1" applyFill="1" applyBorder="1" applyAlignment="1">
      <alignment horizontal="center" vertical="center"/>
    </xf>
    <xf numFmtId="3" fontId="16" fillId="2" borderId="7" xfId="5" applyNumberFormat="1" applyFont="1" applyFill="1" applyBorder="1" applyAlignment="1" applyProtection="1">
      <alignment vertical="center" wrapText="1"/>
      <protection locked="0"/>
    </xf>
    <xf numFmtId="3" fontId="16" fillId="2" borderId="10" xfId="5" applyNumberFormat="1" applyFont="1" applyFill="1" applyBorder="1" applyAlignment="1" applyProtection="1">
      <alignment vertical="center" wrapText="1"/>
      <protection locked="0"/>
    </xf>
    <xf numFmtId="3" fontId="16" fillId="6" borderId="2" xfId="5" applyNumberFormat="1" applyFont="1" applyFill="1" applyBorder="1" applyProtection="1">
      <protection locked="0"/>
    </xf>
    <xf numFmtId="3" fontId="16" fillId="0" borderId="0" xfId="5" applyNumberFormat="1" applyFont="1" applyProtection="1">
      <protection locked="0"/>
    </xf>
    <xf numFmtId="3" fontId="16" fillId="0" borderId="0" xfId="0" applyNumberFormat="1" applyFont="1" applyProtection="1">
      <protection locked="0"/>
    </xf>
    <xf numFmtId="3" fontId="0" fillId="0" borderId="0" xfId="0" applyNumberFormat="1"/>
    <xf numFmtId="3" fontId="8" fillId="0" borderId="2" xfId="0" applyNumberFormat="1" applyFont="1" applyBorder="1" applyAlignment="1">
      <alignment horizontal="right" vertical="center"/>
    </xf>
    <xf numFmtId="2" fontId="8" fillId="0" borderId="2" xfId="0" applyNumberFormat="1" applyFont="1" applyBorder="1" applyAlignment="1">
      <alignment horizontal="right" vertical="center" wrapText="1"/>
    </xf>
    <xf numFmtId="0" fontId="27" fillId="0" borderId="0" xfId="0" applyFont="1"/>
    <xf numFmtId="0" fontId="5" fillId="0" borderId="0" xfId="0" applyFont="1"/>
    <xf numFmtId="9" fontId="5" fillId="0" borderId="0" xfId="0" applyNumberFormat="1" applyFont="1"/>
    <xf numFmtId="3" fontId="5" fillId="0" borderId="0" xfId="0" applyNumberFormat="1" applyFont="1"/>
    <xf numFmtId="10" fontId="5" fillId="0" borderId="0" xfId="0" applyNumberFormat="1" applyFont="1"/>
    <xf numFmtId="3" fontId="27" fillId="12" borderId="0" xfId="0" applyNumberFormat="1" applyFont="1" applyFill="1"/>
    <xf numFmtId="3" fontId="8" fillId="0" borderId="2" xfId="0" applyNumberFormat="1" applyFont="1" applyBorder="1" applyAlignment="1">
      <alignment horizontal="center" vertical="center"/>
    </xf>
    <xf numFmtId="3" fontId="7" fillId="9" borderId="2" xfId="0" applyNumberFormat="1" applyFont="1" applyFill="1" applyBorder="1" applyAlignment="1">
      <alignment horizontal="right" vertical="center"/>
    </xf>
    <xf numFmtId="3" fontId="10" fillId="0" borderId="0" xfId="0" applyNumberFormat="1" applyFont="1" applyAlignment="1">
      <alignment horizontal="center" vertical="center"/>
    </xf>
    <xf numFmtId="0" fontId="26" fillId="0" borderId="0" xfId="0" applyFont="1"/>
    <xf numFmtId="41" fontId="26" fillId="0" borderId="2" xfId="2" applyFont="1" applyFill="1" applyBorder="1" applyAlignment="1">
      <alignment horizontal="right" vertical="center"/>
    </xf>
    <xf numFmtId="3" fontId="26" fillId="5" borderId="0" xfId="2" applyNumberFormat="1" applyFont="1" applyFill="1" applyBorder="1" applyAlignment="1">
      <alignment horizontal="center" vertical="center"/>
    </xf>
    <xf numFmtId="41" fontId="26" fillId="5" borderId="0" xfId="2" applyFont="1" applyFill="1" applyBorder="1" applyAlignment="1">
      <alignment horizontal="center" vertical="center"/>
    </xf>
    <xf numFmtId="41" fontId="28" fillId="5" borderId="0" xfId="2" applyFont="1" applyFill="1" applyBorder="1" applyAlignment="1">
      <alignment horizontal="center" vertical="center"/>
    </xf>
    <xf numFmtId="41" fontId="26" fillId="0" borderId="2" xfId="2" applyFont="1" applyFill="1" applyBorder="1" applyAlignment="1">
      <alignment vertical="center" wrapText="1"/>
    </xf>
    <xf numFmtId="41" fontId="26" fillId="0" borderId="0" xfId="2" applyFont="1" applyFill="1" applyBorder="1" applyAlignment="1">
      <alignment vertical="center"/>
    </xf>
    <xf numFmtId="41" fontId="26" fillId="0" borderId="2" xfId="2" applyFont="1" applyFill="1" applyBorder="1" applyAlignment="1">
      <alignment vertical="center"/>
    </xf>
    <xf numFmtId="3" fontId="26" fillId="0" borderId="2" xfId="2" applyNumberFormat="1" applyFont="1" applyFill="1" applyBorder="1" applyAlignment="1">
      <alignment horizontal="center" vertical="center"/>
    </xf>
    <xf numFmtId="41" fontId="26" fillId="0" borderId="2" xfId="2" applyFont="1" applyFill="1" applyBorder="1" applyAlignment="1">
      <alignment horizontal="center" vertical="center"/>
    </xf>
    <xf numFmtId="41" fontId="28" fillId="5" borderId="0" xfId="2" applyFont="1" applyFill="1" applyBorder="1" applyAlignment="1">
      <alignment horizontal="left" vertical="center"/>
    </xf>
    <xf numFmtId="41" fontId="29" fillId="5" borderId="2" xfId="0" applyNumberFormat="1" applyFont="1" applyFill="1" applyBorder="1" applyAlignment="1">
      <alignment horizontal="right"/>
    </xf>
    <xf numFmtId="0" fontId="26" fillId="5" borderId="0" xfId="0" applyFont="1" applyFill="1"/>
    <xf numFmtId="3" fontId="26" fillId="5" borderId="0" xfId="0" applyNumberFormat="1" applyFont="1" applyFill="1" applyAlignment="1">
      <alignment horizontal="center"/>
    </xf>
    <xf numFmtId="0" fontId="26" fillId="5" borderId="0" xfId="0" applyFont="1" applyFill="1" applyAlignment="1">
      <alignment horizontal="right"/>
    </xf>
    <xf numFmtId="0" fontId="26" fillId="5" borderId="0" xfId="0" applyFont="1" applyFill="1" applyAlignment="1">
      <alignment horizontal="center"/>
    </xf>
    <xf numFmtId="4" fontId="26" fillId="0" borderId="0" xfId="0" applyNumberFormat="1" applyFont="1"/>
    <xf numFmtId="41" fontId="26" fillId="0" borderId="0" xfId="0" applyNumberFormat="1" applyFont="1"/>
    <xf numFmtId="3" fontId="26" fillId="0" borderId="0" xfId="0" applyNumberFormat="1" applyFont="1"/>
    <xf numFmtId="3" fontId="29" fillId="5" borderId="2" xfId="0" applyNumberFormat="1" applyFont="1" applyFill="1" applyBorder="1" applyAlignment="1">
      <alignment horizontal="right"/>
    </xf>
    <xf numFmtId="3" fontId="29" fillId="5" borderId="0" xfId="0" applyNumberFormat="1" applyFont="1" applyFill="1" applyAlignment="1">
      <alignment horizontal="right"/>
    </xf>
    <xf numFmtId="3" fontId="23" fillId="5" borderId="0" xfId="0" applyNumberFormat="1" applyFont="1" applyFill="1" applyAlignment="1">
      <alignment horizontal="right"/>
    </xf>
    <xf numFmtId="3" fontId="28" fillId="0" borderId="2" xfId="0" applyNumberFormat="1" applyFont="1" applyBorder="1"/>
    <xf numFmtId="0" fontId="26" fillId="0" borderId="0" xfId="0" applyFont="1" applyAlignment="1">
      <alignment horizontal="right"/>
    </xf>
    <xf numFmtId="3" fontId="26" fillId="0" borderId="0" xfId="0" applyNumberFormat="1" applyFont="1" applyAlignment="1">
      <alignment horizontal="right" vertical="center"/>
    </xf>
    <xf numFmtId="0" fontId="1" fillId="0" borderId="0" xfId="8" applyAlignment="1">
      <alignment horizontal="center"/>
    </xf>
    <xf numFmtId="2" fontId="1" fillId="0" borderId="0" xfId="8" applyNumberFormat="1" applyAlignment="1">
      <alignment horizontal="center"/>
    </xf>
    <xf numFmtId="0" fontId="33" fillId="14" borderId="36" xfId="8" applyFont="1" applyFill="1" applyBorder="1" applyAlignment="1">
      <alignment horizontal="center" vertical="center"/>
    </xf>
    <xf numFmtId="0" fontId="33" fillId="14" borderId="37" xfId="8" applyFont="1" applyFill="1" applyBorder="1" applyAlignment="1">
      <alignment horizontal="left" wrapText="1"/>
    </xf>
    <xf numFmtId="0" fontId="33" fillId="14" borderId="37" xfId="8" applyFont="1" applyFill="1" applyBorder="1" applyAlignment="1">
      <alignment horizontal="center" vertical="center"/>
    </xf>
    <xf numFmtId="172" fontId="33" fillId="14" borderId="37" xfId="8" applyNumberFormat="1" applyFont="1" applyFill="1" applyBorder="1" applyAlignment="1">
      <alignment horizontal="right" vertical="center"/>
    </xf>
    <xf numFmtId="0" fontId="33" fillId="14" borderId="38" xfId="8" applyFont="1" applyFill="1" applyBorder="1" applyAlignment="1">
      <alignment horizontal="right" vertical="center"/>
    </xf>
    <xf numFmtId="0" fontId="33" fillId="0" borderId="0" xfId="8" applyFont="1" applyAlignment="1">
      <alignment horizontal="center"/>
    </xf>
    <xf numFmtId="2" fontId="33" fillId="0" borderId="0" xfId="8" applyNumberFormat="1" applyFont="1" applyAlignment="1">
      <alignment horizontal="center"/>
    </xf>
    <xf numFmtId="0" fontId="33" fillId="16" borderId="39" xfId="8" applyFont="1" applyFill="1" applyBorder="1" applyAlignment="1">
      <alignment horizontal="center" vertical="center"/>
    </xf>
    <xf numFmtId="0" fontId="33" fillId="16" borderId="40" xfId="8" applyFont="1" applyFill="1" applyBorder="1" applyAlignment="1">
      <alignment horizontal="left" wrapText="1"/>
    </xf>
    <xf numFmtId="0" fontId="33" fillId="16" borderId="40" xfId="8" applyFont="1" applyFill="1" applyBorder="1" applyAlignment="1">
      <alignment horizontal="center" vertical="center"/>
    </xf>
    <xf numFmtId="172" fontId="33" fillId="16" borderId="40" xfId="8" applyNumberFormat="1" applyFont="1" applyFill="1" applyBorder="1" applyAlignment="1">
      <alignment horizontal="right" vertical="center"/>
    </xf>
    <xf numFmtId="173" fontId="33" fillId="16" borderId="41" xfId="8" applyNumberFormat="1" applyFont="1" applyFill="1" applyBorder="1" applyAlignment="1">
      <alignment horizontal="right" vertical="center"/>
    </xf>
    <xf numFmtId="173" fontId="1" fillId="0" borderId="0" xfId="8" applyNumberFormat="1" applyAlignment="1">
      <alignment horizontal="center"/>
    </xf>
    <xf numFmtId="0" fontId="33" fillId="0" borderId="2" xfId="8" applyFont="1" applyBorder="1" applyAlignment="1">
      <alignment horizontal="center" vertical="center"/>
    </xf>
    <xf numFmtId="0" fontId="1" fillId="0" borderId="2" xfId="8" applyBorder="1" applyAlignment="1">
      <alignment horizontal="left" wrapText="1"/>
    </xf>
    <xf numFmtId="0" fontId="1" fillId="0" borderId="2" xfId="8" applyBorder="1" applyAlignment="1">
      <alignment horizontal="center" vertical="center"/>
    </xf>
    <xf numFmtId="2" fontId="1" fillId="0" borderId="2" xfId="8" applyNumberFormat="1" applyBorder="1" applyAlignment="1">
      <alignment horizontal="center" vertical="center"/>
    </xf>
    <xf numFmtId="173" fontId="1" fillId="0" borderId="2" xfId="8" applyNumberFormat="1" applyBorder="1" applyAlignment="1">
      <alignment horizontal="right" vertical="center"/>
    </xf>
    <xf numFmtId="0" fontId="33" fillId="0" borderId="0" xfId="8" applyFont="1" applyAlignment="1">
      <alignment horizontal="center" vertical="center"/>
    </xf>
    <xf numFmtId="49" fontId="1" fillId="0" borderId="2" xfId="8" applyNumberFormat="1" applyBorder="1" applyAlignment="1">
      <alignment horizontal="left" wrapText="1"/>
    </xf>
    <xf numFmtId="0" fontId="1" fillId="0" borderId="0" xfId="8" applyAlignment="1">
      <alignment horizontal="left" wrapText="1"/>
    </xf>
    <xf numFmtId="0" fontId="1" fillId="0" borderId="0" xfId="8" applyAlignment="1">
      <alignment horizontal="center" vertical="center"/>
    </xf>
    <xf numFmtId="173" fontId="1" fillId="0" borderId="0" xfId="8" applyNumberFormat="1" applyAlignment="1">
      <alignment horizontal="right" vertical="center"/>
    </xf>
    <xf numFmtId="174" fontId="1" fillId="0" borderId="0" xfId="8" applyNumberFormat="1" applyAlignment="1">
      <alignment horizontal="right" vertical="center"/>
    </xf>
    <xf numFmtId="173" fontId="33" fillId="16" borderId="40" xfId="8" applyNumberFormat="1" applyFont="1" applyFill="1" applyBorder="1" applyAlignment="1">
      <alignment horizontal="right" vertical="center"/>
    </xf>
    <xf numFmtId="175" fontId="33" fillId="0" borderId="2" xfId="8" applyNumberFormat="1" applyFont="1" applyBorder="1" applyAlignment="1">
      <alignment horizontal="center" vertical="center"/>
    </xf>
    <xf numFmtId="0" fontId="33" fillId="0" borderId="31" xfId="8" applyFont="1" applyBorder="1" applyAlignment="1">
      <alignment horizontal="center" vertical="center"/>
    </xf>
    <xf numFmtId="0" fontId="1" fillId="0" borderId="31" xfId="8" applyBorder="1" applyAlignment="1">
      <alignment horizontal="center" vertical="center"/>
    </xf>
    <xf numFmtId="2" fontId="1" fillId="0" borderId="31" xfId="8" applyNumberFormat="1" applyBorder="1" applyAlignment="1">
      <alignment horizontal="center" vertical="center"/>
    </xf>
    <xf numFmtId="173" fontId="1" fillId="0" borderId="31" xfId="8" applyNumberFormat="1" applyBorder="1" applyAlignment="1">
      <alignment horizontal="right" vertical="center"/>
    </xf>
    <xf numFmtId="0" fontId="33" fillId="16" borderId="2" xfId="8" applyFont="1" applyFill="1" applyBorder="1" applyAlignment="1">
      <alignment horizontal="center" vertical="center"/>
    </xf>
    <xf numFmtId="0" fontId="33" fillId="16" borderId="2" xfId="8" applyFont="1" applyFill="1" applyBorder="1" applyAlignment="1">
      <alignment horizontal="left" wrapText="1"/>
    </xf>
    <xf numFmtId="173" fontId="33" fillId="16" borderId="2" xfId="8" applyNumberFormat="1" applyFont="1" applyFill="1" applyBorder="1" applyAlignment="1">
      <alignment horizontal="right" vertical="center"/>
    </xf>
    <xf numFmtId="0" fontId="33" fillId="5" borderId="2" xfId="8" applyFont="1" applyFill="1" applyBorder="1" applyAlignment="1">
      <alignment horizontal="center" vertical="center"/>
    </xf>
    <xf numFmtId="0" fontId="1" fillId="5" borderId="2" xfId="8" applyFill="1" applyBorder="1" applyAlignment="1">
      <alignment horizontal="left" wrapText="1"/>
    </xf>
    <xf numFmtId="0" fontId="1" fillId="5" borderId="2" xfId="8" applyFill="1" applyBorder="1" applyAlignment="1">
      <alignment horizontal="center" vertical="center"/>
    </xf>
    <xf numFmtId="173" fontId="1" fillId="5" borderId="2" xfId="8" applyNumberFormat="1" applyFill="1" applyBorder="1" applyAlignment="1">
      <alignment horizontal="right" vertical="center"/>
    </xf>
    <xf numFmtId="0" fontId="33" fillId="5" borderId="0" xfId="8" applyFont="1" applyFill="1" applyAlignment="1">
      <alignment horizontal="center" vertical="center"/>
    </xf>
    <xf numFmtId="0" fontId="1" fillId="5" borderId="0" xfId="8" applyFill="1" applyAlignment="1">
      <alignment horizontal="left" wrapText="1"/>
    </xf>
    <xf numFmtId="0" fontId="1" fillId="5" borderId="0" xfId="8" applyFill="1" applyAlignment="1">
      <alignment horizontal="center" vertical="center"/>
    </xf>
    <xf numFmtId="173" fontId="1" fillId="5" borderId="0" xfId="8" applyNumberFormat="1" applyFill="1" applyAlignment="1">
      <alignment horizontal="right" vertical="center"/>
    </xf>
    <xf numFmtId="172" fontId="1" fillId="0" borderId="0" xfId="8" applyNumberFormat="1" applyAlignment="1">
      <alignment horizontal="right" vertical="center"/>
    </xf>
    <xf numFmtId="173" fontId="1" fillId="0" borderId="43" xfId="8" applyNumberFormat="1" applyBorder="1" applyAlignment="1">
      <alignment horizontal="right" vertical="center"/>
    </xf>
    <xf numFmtId="175" fontId="33" fillId="0" borderId="44" xfId="8" applyNumberFormat="1" applyFont="1" applyBorder="1" applyAlignment="1">
      <alignment horizontal="center" vertical="center"/>
    </xf>
    <xf numFmtId="0" fontId="1" fillId="0" borderId="26" xfId="8" applyBorder="1" applyAlignment="1">
      <alignment horizontal="left" wrapText="1"/>
    </xf>
    <xf numFmtId="0" fontId="1" fillId="0" borderId="26" xfId="8" applyBorder="1" applyAlignment="1">
      <alignment horizontal="center" vertical="center"/>
    </xf>
    <xf numFmtId="2" fontId="1" fillId="0" borderId="26" xfId="8" applyNumberFormat="1" applyBorder="1" applyAlignment="1">
      <alignment horizontal="center" vertical="center"/>
    </xf>
    <xf numFmtId="173" fontId="1" fillId="0" borderId="26" xfId="8" applyNumberFormat="1" applyBorder="1" applyAlignment="1">
      <alignment horizontal="right" vertical="center"/>
    </xf>
    <xf numFmtId="175" fontId="33" fillId="0" borderId="0" xfId="8" applyNumberFormat="1" applyFont="1" applyAlignment="1">
      <alignment horizontal="center" vertical="center"/>
    </xf>
    <xf numFmtId="2" fontId="1" fillId="0" borderId="0" xfId="8" applyNumberFormat="1" applyAlignment="1">
      <alignment horizontal="center" vertical="center"/>
    </xf>
    <xf numFmtId="174" fontId="1" fillId="0" borderId="43" xfId="8" applyNumberFormat="1" applyBorder="1" applyAlignment="1">
      <alignment horizontal="right" vertical="center"/>
    </xf>
    <xf numFmtId="173" fontId="1" fillId="0" borderId="47" xfId="8" applyNumberFormat="1" applyBorder="1" applyAlignment="1">
      <alignment horizontal="right" vertical="center"/>
    </xf>
    <xf numFmtId="0" fontId="33" fillId="16" borderId="48" xfId="8" applyFont="1" applyFill="1" applyBorder="1" applyAlignment="1">
      <alignment horizontal="center" vertical="center"/>
    </xf>
    <xf numFmtId="10" fontId="1" fillId="0" borderId="2" xfId="8" applyNumberFormat="1" applyBorder="1" applyAlignment="1">
      <alignment horizontal="right" vertical="center"/>
    </xf>
    <xf numFmtId="173" fontId="1" fillId="0" borderId="49" xfId="8" applyNumberFormat="1" applyBorder="1" applyAlignment="1">
      <alignment horizontal="right" vertical="center"/>
    </xf>
    <xf numFmtId="173" fontId="1" fillId="0" borderId="50" xfId="8" applyNumberFormat="1" applyBorder="1" applyAlignment="1">
      <alignment horizontal="center"/>
    </xf>
    <xf numFmtId="0" fontId="33" fillId="16" borderId="51" xfId="8" applyFont="1" applyFill="1" applyBorder="1" applyAlignment="1">
      <alignment horizontal="center" vertical="center"/>
    </xf>
    <xf numFmtId="10" fontId="1" fillId="0" borderId="31" xfId="8" applyNumberFormat="1" applyBorder="1" applyAlignment="1">
      <alignment horizontal="right" vertical="center"/>
    </xf>
    <xf numFmtId="0" fontId="33" fillId="16" borderId="52" xfId="8" applyFont="1" applyFill="1" applyBorder="1" applyAlignment="1">
      <alignment horizontal="center" vertical="center"/>
    </xf>
    <xf numFmtId="10" fontId="1" fillId="0" borderId="53" xfId="8" applyNumberFormat="1" applyBorder="1" applyAlignment="1">
      <alignment horizontal="right" vertical="center"/>
    </xf>
    <xf numFmtId="173" fontId="1" fillId="0" borderId="38" xfId="8" applyNumberFormat="1" applyBorder="1" applyAlignment="1">
      <alignment horizontal="right" vertical="center"/>
    </xf>
    <xf numFmtId="3" fontId="1" fillId="0" borderId="0" xfId="8" applyNumberFormat="1" applyAlignment="1">
      <alignment horizontal="center"/>
    </xf>
    <xf numFmtId="174" fontId="1" fillId="8" borderId="0" xfId="8" applyNumberFormat="1" applyFill="1" applyAlignment="1">
      <alignment horizontal="right" vertical="center"/>
    </xf>
    <xf numFmtId="0" fontId="1" fillId="0" borderId="0" xfId="8" applyAlignment="1">
      <alignment horizontal="right" vertical="center"/>
    </xf>
    <xf numFmtId="0" fontId="1" fillId="5" borderId="0" xfId="8" applyFill="1" applyAlignment="1">
      <alignment horizontal="center"/>
    </xf>
    <xf numFmtId="2" fontId="1" fillId="5" borderId="0" xfId="8" applyNumberFormat="1" applyFill="1" applyAlignment="1">
      <alignment horizontal="center"/>
    </xf>
    <xf numFmtId="6" fontId="0" fillId="0" borderId="0" xfId="0" applyNumberFormat="1"/>
    <xf numFmtId="3" fontId="18" fillId="5" borderId="8" xfId="3" applyNumberFormat="1" applyFont="1" applyFill="1" applyBorder="1" applyAlignment="1" applyProtection="1">
      <alignment horizontal="right" vertical="center"/>
      <protection locked="0"/>
    </xf>
    <xf numFmtId="43" fontId="18" fillId="5" borderId="8" xfId="3" applyFont="1" applyFill="1" applyBorder="1" applyAlignment="1" applyProtection="1">
      <alignment horizontal="right" vertical="center"/>
      <protection locked="0"/>
    </xf>
    <xf numFmtId="3" fontId="34" fillId="5" borderId="2" xfId="2" applyNumberFormat="1" applyFont="1" applyFill="1" applyBorder="1" applyAlignment="1">
      <alignment vertical="center"/>
    </xf>
    <xf numFmtId="0" fontId="0" fillId="0" borderId="2" xfId="0" applyBorder="1"/>
    <xf numFmtId="0" fontId="7" fillId="5" borderId="2" xfId="0" applyFont="1" applyFill="1" applyBorder="1" applyAlignment="1">
      <alignment horizontal="center" vertical="center" wrapText="1"/>
    </xf>
    <xf numFmtId="0" fontId="35" fillId="11" borderId="2" xfId="0" applyFont="1" applyFill="1" applyBorder="1" applyAlignment="1">
      <alignment horizontal="center" vertical="center" wrapText="1"/>
    </xf>
    <xf numFmtId="0" fontId="35" fillId="11" borderId="2" xfId="0" applyFont="1" applyFill="1" applyBorder="1" applyAlignment="1">
      <alignment horizontal="center" vertical="center"/>
    </xf>
    <xf numFmtId="0" fontId="36" fillId="0" borderId="0" xfId="0" applyFont="1"/>
    <xf numFmtId="0" fontId="31" fillId="5" borderId="31" xfId="0" applyFont="1" applyFill="1" applyBorder="1" applyAlignment="1">
      <alignment horizontal="center" vertical="center"/>
    </xf>
    <xf numFmtId="0" fontId="31" fillId="0" borderId="31" xfId="0" applyFont="1" applyBorder="1" applyAlignment="1">
      <alignment horizontal="left" vertical="center" wrapText="1"/>
    </xf>
    <xf numFmtId="0" fontId="31" fillId="0" borderId="31" xfId="0" applyFont="1" applyBorder="1" applyAlignment="1">
      <alignment horizontal="center" vertical="center"/>
    </xf>
    <xf numFmtId="9" fontId="31" fillId="0" borderId="31" xfId="0" applyNumberFormat="1" applyFont="1" applyBorder="1" applyAlignment="1">
      <alignment horizontal="center" vertical="center"/>
    </xf>
    <xf numFmtId="6" fontId="31" fillId="0" borderId="31" xfId="0" applyNumberFormat="1" applyFont="1" applyBorder="1" applyAlignment="1">
      <alignment vertical="center"/>
    </xf>
    <xf numFmtId="0" fontId="31" fillId="0" borderId="2" xfId="0" applyFont="1" applyBorder="1" applyAlignment="1">
      <alignment horizontal="left" vertical="center" wrapText="1"/>
    </xf>
    <xf numFmtId="0" fontId="31" fillId="0" borderId="2" xfId="0" applyFont="1" applyBorder="1" applyAlignment="1">
      <alignment horizontal="center" vertical="center"/>
    </xf>
    <xf numFmtId="9" fontId="31" fillId="0" borderId="2" xfId="0" applyNumberFormat="1" applyFont="1" applyBorder="1" applyAlignment="1">
      <alignment horizontal="center" vertical="center"/>
    </xf>
    <xf numFmtId="6" fontId="31" fillId="0" borderId="2" xfId="0" applyNumberFormat="1" applyFont="1" applyBorder="1" applyAlignment="1">
      <alignment vertical="center"/>
    </xf>
    <xf numFmtId="0" fontId="31" fillId="0" borderId="26" xfId="0" applyFont="1" applyBorder="1" applyAlignment="1">
      <alignment horizontal="left" vertical="center" wrapText="1"/>
    </xf>
    <xf numFmtId="9" fontId="31" fillId="0" borderId="26" xfId="0" applyNumberFormat="1" applyFont="1" applyBorder="1" applyAlignment="1">
      <alignment horizontal="center" vertical="center"/>
    </xf>
    <xf numFmtId="6" fontId="31" fillId="0" borderId="26" xfId="0" applyNumberFormat="1" applyFont="1" applyBorder="1" applyAlignment="1">
      <alignment vertical="center"/>
    </xf>
    <xf numFmtId="9" fontId="35" fillId="11" borderId="2" xfId="0" applyNumberFormat="1" applyFont="1" applyFill="1" applyBorder="1" applyAlignment="1">
      <alignment horizontal="center" vertical="center"/>
    </xf>
    <xf numFmtId="0" fontId="7" fillId="9" borderId="2" xfId="0" applyFont="1" applyFill="1" applyBorder="1" applyAlignment="1">
      <alignment horizontal="center" vertical="center"/>
    </xf>
    <xf numFmtId="0" fontId="8" fillId="0" borderId="2" xfId="0" applyFont="1" applyBorder="1" applyAlignment="1">
      <alignment vertical="center" wrapText="1"/>
    </xf>
    <xf numFmtId="9" fontId="8" fillId="0" borderId="2" xfId="0" applyNumberFormat="1" applyFont="1" applyBorder="1" applyAlignment="1">
      <alignment horizontal="right" vertical="center"/>
    </xf>
    <xf numFmtId="3" fontId="7" fillId="9" borderId="2" xfId="0" applyNumberFormat="1" applyFont="1" applyFill="1" applyBorder="1" applyAlignment="1">
      <alignment horizontal="center" vertical="center"/>
    </xf>
    <xf numFmtId="0" fontId="9" fillId="0" borderId="2" xfId="0" applyFont="1" applyBorder="1" applyAlignment="1">
      <alignment horizontal="center" vertical="center"/>
    </xf>
    <xf numFmtId="0" fontId="11" fillId="0" borderId="2" xfId="0" applyFont="1" applyBorder="1" applyAlignment="1">
      <alignment vertical="center"/>
    </xf>
    <xf numFmtId="3" fontId="26" fillId="0" borderId="2" xfId="0" applyNumberFormat="1" applyFont="1" applyBorder="1"/>
    <xf numFmtId="3" fontId="26" fillId="0" borderId="2" xfId="0" applyNumberFormat="1" applyFont="1" applyBorder="1" applyAlignment="1">
      <alignment horizontal="right" vertical="center"/>
    </xf>
    <xf numFmtId="41" fontId="19" fillId="18" borderId="2" xfId="2" applyFont="1" applyFill="1" applyBorder="1" applyAlignment="1">
      <alignment vertical="center"/>
    </xf>
    <xf numFmtId="41" fontId="19" fillId="18" borderId="2" xfId="2" applyFont="1" applyFill="1" applyBorder="1" applyAlignment="1">
      <alignment vertical="center" wrapText="1"/>
    </xf>
    <xf numFmtId="0" fontId="16" fillId="18" borderId="8" xfId="5" applyFont="1" applyFill="1" applyBorder="1" applyAlignment="1" applyProtection="1">
      <alignment horizontal="left" vertical="center" wrapText="1"/>
      <protection locked="0"/>
    </xf>
    <xf numFmtId="3" fontId="29" fillId="18" borderId="2" xfId="2" applyNumberFormat="1" applyFont="1" applyFill="1" applyBorder="1" applyAlignment="1">
      <alignment horizontal="right" vertical="center"/>
    </xf>
    <xf numFmtId="3" fontId="29" fillId="18" borderId="2" xfId="0" applyNumberFormat="1" applyFont="1" applyFill="1" applyBorder="1" applyAlignment="1">
      <alignment horizontal="right"/>
    </xf>
    <xf numFmtId="0" fontId="16" fillId="18" borderId="6" xfId="5" applyFont="1" applyFill="1" applyBorder="1" applyAlignment="1" applyProtection="1">
      <alignment horizontal="left" vertical="center" wrapText="1"/>
      <protection locked="0"/>
    </xf>
    <xf numFmtId="3" fontId="16" fillId="0" borderId="8" xfId="3" applyNumberFormat="1" applyFont="1" applyFill="1" applyBorder="1" applyAlignment="1" applyProtection="1">
      <alignment horizontal="right" vertical="center"/>
    </xf>
    <xf numFmtId="0" fontId="16" fillId="0" borderId="4" xfId="5" applyFont="1" applyBorder="1" applyAlignment="1" applyProtection="1">
      <alignment horizontal="left" vertical="center" wrapText="1"/>
      <protection locked="0"/>
    </xf>
    <xf numFmtId="0" fontId="16" fillId="0" borderId="6" xfId="5" applyFont="1" applyBorder="1" applyAlignment="1" applyProtection="1">
      <alignment horizontal="left" vertical="center" wrapText="1"/>
      <protection locked="0"/>
    </xf>
    <xf numFmtId="0" fontId="16" fillId="0" borderId="7" xfId="5" applyFont="1" applyBorder="1" applyAlignment="1" applyProtection="1">
      <alignment horizontal="left" vertical="center" wrapText="1"/>
      <protection locked="0"/>
    </xf>
    <xf numFmtId="3" fontId="29" fillId="18" borderId="2" xfId="0" applyNumberFormat="1" applyFont="1" applyFill="1" applyBorder="1" applyAlignment="1">
      <alignment horizontal="center"/>
    </xf>
    <xf numFmtId="0" fontId="28" fillId="18" borderId="2" xfId="0" applyFont="1" applyFill="1" applyBorder="1" applyAlignment="1">
      <alignment horizontal="center"/>
    </xf>
    <xf numFmtId="0" fontId="26" fillId="5" borderId="0" xfId="0" applyFont="1" applyFill="1" applyAlignment="1">
      <alignment horizontal="left"/>
    </xf>
    <xf numFmtId="3" fontId="29" fillId="18" borderId="0" xfId="0" applyNumberFormat="1" applyFont="1" applyFill="1" applyAlignment="1">
      <alignment horizontal="right"/>
    </xf>
    <xf numFmtId="3" fontId="16" fillId="18" borderId="2" xfId="3" applyNumberFormat="1" applyFont="1" applyFill="1" applyBorder="1" applyAlignment="1" applyProtection="1">
      <alignment horizontal="right" vertical="center"/>
    </xf>
    <xf numFmtId="3" fontId="16" fillId="18" borderId="8" xfId="3" applyNumberFormat="1" applyFont="1" applyFill="1" applyBorder="1" applyAlignment="1" applyProtection="1">
      <alignment horizontal="right" vertical="center"/>
    </xf>
    <xf numFmtId="3" fontId="16" fillId="18" borderId="7" xfId="3" applyNumberFormat="1" applyFont="1" applyFill="1" applyBorder="1" applyAlignment="1" applyProtection="1">
      <alignment horizontal="right" vertical="center"/>
    </xf>
    <xf numFmtId="3" fontId="23" fillId="18" borderId="2" xfId="2" applyNumberFormat="1" applyFont="1" applyFill="1" applyBorder="1" applyAlignment="1">
      <alignment horizontal="right" vertical="center"/>
    </xf>
    <xf numFmtId="41" fontId="28" fillId="0" borderId="2" xfId="2" applyFont="1" applyFill="1" applyBorder="1" applyAlignment="1">
      <alignment horizontal="center" vertical="center" wrapText="1"/>
    </xf>
    <xf numFmtId="41" fontId="28" fillId="0" borderId="2" xfId="2" applyFont="1" applyFill="1" applyBorder="1" applyAlignment="1">
      <alignment vertical="center" wrapText="1"/>
    </xf>
    <xf numFmtId="3" fontId="28" fillId="0" borderId="2" xfId="2" applyNumberFormat="1" applyFont="1" applyFill="1" applyBorder="1" applyAlignment="1">
      <alignment horizontal="center" vertical="center" wrapText="1"/>
    </xf>
    <xf numFmtId="3" fontId="29" fillId="0" borderId="2" xfId="2" applyNumberFormat="1" applyFont="1" applyFill="1" applyBorder="1" applyAlignment="1">
      <alignment horizontal="center" vertical="center" wrapText="1"/>
    </xf>
    <xf numFmtId="41" fontId="29" fillId="0" borderId="2" xfId="2" applyFont="1" applyFill="1" applyBorder="1" applyAlignment="1">
      <alignment vertical="center" wrapText="1"/>
    </xf>
    <xf numFmtId="0" fontId="24" fillId="0" borderId="2" xfId="0" applyFont="1" applyBorder="1" applyAlignment="1">
      <alignment vertical="center" wrapText="1"/>
    </xf>
    <xf numFmtId="3" fontId="23" fillId="0" borderId="2" xfId="2" applyNumberFormat="1" applyFont="1" applyFill="1" applyBorder="1" applyAlignment="1">
      <alignment horizontal="right" vertical="center"/>
    </xf>
    <xf numFmtId="41" fontId="23" fillId="0" borderId="2" xfId="2" applyFont="1" applyFill="1" applyBorder="1" applyAlignment="1">
      <alignment horizontal="right" vertical="center"/>
    </xf>
    <xf numFmtId="3" fontId="29" fillId="0" borderId="2" xfId="2" applyNumberFormat="1" applyFont="1" applyFill="1" applyBorder="1" applyAlignment="1">
      <alignment horizontal="right" vertical="center"/>
    </xf>
    <xf numFmtId="3" fontId="26" fillId="0" borderId="0" xfId="0" applyNumberFormat="1" applyFont="1" applyAlignment="1">
      <alignment horizontal="center"/>
    </xf>
    <xf numFmtId="0" fontId="26" fillId="0" borderId="0" xfId="0" applyFont="1" applyAlignment="1">
      <alignment horizontal="center"/>
    </xf>
    <xf numFmtId="3" fontId="23" fillId="0" borderId="0" xfId="0" applyNumberFormat="1" applyFont="1" applyAlignment="1">
      <alignment horizontal="right"/>
    </xf>
    <xf numFmtId="3" fontId="28" fillId="0" borderId="2" xfId="2" applyNumberFormat="1" applyFont="1" applyFill="1" applyBorder="1" applyAlignment="1">
      <alignment vertical="center" wrapText="1"/>
    </xf>
    <xf numFmtId="3" fontId="29" fillId="0" borderId="2" xfId="2" applyNumberFormat="1" applyFont="1" applyFill="1" applyBorder="1" applyAlignment="1">
      <alignment vertical="center" wrapText="1"/>
    </xf>
    <xf numFmtId="41" fontId="26" fillId="0" borderId="0" xfId="0" applyNumberFormat="1" applyFont="1" applyAlignment="1">
      <alignment horizontal="center" vertical="center"/>
    </xf>
    <xf numFmtId="0" fontId="26" fillId="0" borderId="0" xfId="0" applyFont="1" applyAlignment="1">
      <alignment horizontal="center" vertical="center"/>
    </xf>
    <xf numFmtId="41" fontId="28" fillId="0" borderId="23" xfId="2" applyFont="1" applyFill="1" applyBorder="1" applyAlignment="1">
      <alignment horizontal="left" vertical="center"/>
    </xf>
    <xf numFmtId="41" fontId="28" fillId="0" borderId="24" xfId="2" applyFont="1" applyFill="1" applyBorder="1" applyAlignment="1">
      <alignment horizontal="left" vertical="center"/>
    </xf>
    <xf numFmtId="3" fontId="28" fillId="0" borderId="24" xfId="2" applyNumberFormat="1" applyFont="1" applyFill="1" applyBorder="1" applyAlignment="1">
      <alignment horizontal="center" vertical="center"/>
    </xf>
    <xf numFmtId="41" fontId="28" fillId="0" borderId="24" xfId="2" applyFont="1" applyFill="1" applyBorder="1" applyAlignment="1">
      <alignment horizontal="right" vertical="center"/>
    </xf>
    <xf numFmtId="41" fontId="28" fillId="0" borderId="25" xfId="2" applyFont="1" applyFill="1" applyBorder="1" applyAlignment="1">
      <alignment horizontal="center" vertical="center"/>
    </xf>
    <xf numFmtId="41" fontId="28" fillId="0" borderId="2" xfId="2" applyFont="1" applyFill="1" applyBorder="1" applyAlignment="1">
      <alignment horizontal="center" vertical="center"/>
    </xf>
    <xf numFmtId="41" fontId="28" fillId="0" borderId="2" xfId="2" applyFont="1" applyFill="1" applyBorder="1" applyAlignment="1">
      <alignment horizontal="right" vertical="center" wrapText="1"/>
    </xf>
    <xf numFmtId="41" fontId="29" fillId="0" borderId="2" xfId="2" applyFont="1" applyFill="1" applyBorder="1" applyAlignment="1">
      <alignment horizontal="center" vertical="center" wrapText="1"/>
    </xf>
    <xf numFmtId="41" fontId="26" fillId="0" borderId="0" xfId="0" applyNumberFormat="1" applyFont="1" applyAlignment="1">
      <alignment vertical="center"/>
    </xf>
    <xf numFmtId="2" fontId="26" fillId="0" borderId="0" xfId="0" applyNumberFormat="1" applyFont="1" applyAlignment="1">
      <alignment vertical="center"/>
    </xf>
    <xf numFmtId="0" fontId="26" fillId="0" borderId="0" xfId="0" applyFont="1" applyAlignment="1">
      <alignment vertical="center"/>
    </xf>
    <xf numFmtId="0" fontId="26" fillId="0" borderId="2" xfId="2" applyNumberFormat="1" applyFont="1" applyFill="1" applyBorder="1" applyAlignment="1">
      <alignment vertical="center" wrapText="1"/>
    </xf>
    <xf numFmtId="0" fontId="24" fillId="0" borderId="23" xfId="0" applyFont="1" applyBorder="1" applyAlignment="1">
      <alignment vertical="center" wrapText="1"/>
    </xf>
    <xf numFmtId="41" fontId="26" fillId="0" borderId="24" xfId="2" applyFont="1" applyFill="1" applyBorder="1" applyAlignment="1">
      <alignment vertical="center" wrapText="1"/>
    </xf>
    <xf numFmtId="3" fontId="26" fillId="0" borderId="24" xfId="2" applyNumberFormat="1" applyFont="1" applyFill="1" applyBorder="1" applyAlignment="1">
      <alignment horizontal="center" vertical="center"/>
    </xf>
    <xf numFmtId="41" fontId="26" fillId="0" borderId="24" xfId="2" applyFont="1" applyFill="1" applyBorder="1" applyAlignment="1">
      <alignment horizontal="right" vertical="center"/>
    </xf>
    <xf numFmtId="41" fontId="26" fillId="0" borderId="24" xfId="2" applyFont="1" applyFill="1" applyBorder="1" applyAlignment="1">
      <alignment horizontal="center" vertical="center"/>
    </xf>
    <xf numFmtId="0" fontId="24" fillId="0" borderId="2" xfId="0" applyFont="1" applyBorder="1" applyAlignment="1">
      <alignment horizontal="left" vertical="center" wrapText="1"/>
    </xf>
    <xf numFmtId="0" fontId="24" fillId="0" borderId="2" xfId="0" applyFont="1" applyBorder="1" applyAlignment="1">
      <alignment horizontal="center" vertical="center" wrapText="1"/>
    </xf>
    <xf numFmtId="3" fontId="24" fillId="0" borderId="2" xfId="0" applyNumberFormat="1" applyFont="1" applyBorder="1" applyAlignment="1">
      <alignment horizontal="right"/>
    </xf>
    <xf numFmtId="3" fontId="23" fillId="0" borderId="2" xfId="0" applyNumberFormat="1" applyFont="1" applyBorder="1" applyAlignment="1">
      <alignment horizontal="right"/>
    </xf>
    <xf numFmtId="41" fontId="26" fillId="0" borderId="0" xfId="0" applyNumberFormat="1" applyFont="1" applyAlignment="1">
      <alignment horizontal="center"/>
    </xf>
    <xf numFmtId="0" fontId="24" fillId="0" borderId="0" xfId="0" applyFont="1" applyAlignment="1">
      <alignment vertical="center" wrapText="1"/>
    </xf>
    <xf numFmtId="41" fontId="26" fillId="0" borderId="0" xfId="2" applyFont="1" applyFill="1" applyBorder="1" applyAlignment="1">
      <alignment vertical="center" wrapText="1"/>
    </xf>
    <xf numFmtId="3" fontId="26" fillId="0" borderId="0" xfId="2" applyNumberFormat="1" applyFont="1" applyFill="1" applyBorder="1" applyAlignment="1">
      <alignment horizontal="center" vertical="center"/>
    </xf>
    <xf numFmtId="41" fontId="26" fillId="0" borderId="0" xfId="2" applyFont="1" applyFill="1" applyBorder="1" applyAlignment="1">
      <alignment horizontal="right" vertical="center"/>
    </xf>
    <xf numFmtId="41" fontId="26" fillId="0" borderId="0" xfId="2" applyFont="1" applyFill="1" applyBorder="1" applyAlignment="1">
      <alignment horizontal="center" vertical="center"/>
    </xf>
    <xf numFmtId="41" fontId="29" fillId="0" borderId="0" xfId="2" applyFont="1" applyFill="1" applyBorder="1" applyAlignment="1">
      <alignment horizontal="right" vertical="center"/>
    </xf>
    <xf numFmtId="3" fontId="23" fillId="0" borderId="0" xfId="2" applyNumberFormat="1" applyFont="1" applyFill="1" applyBorder="1" applyAlignment="1">
      <alignment horizontal="right" vertical="center"/>
    </xf>
    <xf numFmtId="3" fontId="23" fillId="0" borderId="2" xfId="2" applyNumberFormat="1" applyFont="1" applyFill="1" applyBorder="1" applyAlignment="1">
      <alignment horizontal="center" vertical="center"/>
    </xf>
    <xf numFmtId="3" fontId="26" fillId="0" borderId="2" xfId="2" applyNumberFormat="1" applyFont="1" applyFill="1" applyBorder="1" applyAlignment="1">
      <alignment horizontal="center" vertical="center" wrapText="1"/>
    </xf>
    <xf numFmtId="41" fontId="28" fillId="0" borderId="0" xfId="2" applyFont="1" applyFill="1" applyBorder="1" applyAlignment="1">
      <alignment horizontal="center" vertical="center"/>
    </xf>
    <xf numFmtId="41" fontId="28" fillId="0" borderId="0" xfId="2" applyFont="1" applyFill="1" applyBorder="1" applyAlignment="1">
      <alignment horizontal="center" vertical="center" wrapText="1"/>
    </xf>
    <xf numFmtId="3" fontId="28" fillId="0" borderId="2" xfId="2" applyNumberFormat="1" applyFont="1" applyFill="1" applyBorder="1" applyAlignment="1">
      <alignment horizontal="center" vertical="center"/>
    </xf>
    <xf numFmtId="41" fontId="28" fillId="0" borderId="2" xfId="2" applyFont="1" applyFill="1" applyBorder="1" applyAlignment="1">
      <alignment horizontal="right" vertical="center"/>
    </xf>
    <xf numFmtId="3" fontId="29" fillId="0" borderId="2" xfId="2" applyNumberFormat="1" applyFont="1" applyFill="1" applyBorder="1" applyAlignment="1">
      <alignment horizontal="center" vertical="center"/>
    </xf>
    <xf numFmtId="41" fontId="29" fillId="0" borderId="2" xfId="2" applyFont="1" applyFill="1" applyBorder="1" applyAlignment="1">
      <alignment horizontal="center" vertical="center"/>
    </xf>
    <xf numFmtId="41" fontId="30" fillId="0" borderId="2" xfId="2" applyFont="1" applyFill="1" applyBorder="1" applyAlignment="1">
      <alignment horizontal="right" vertical="center"/>
    </xf>
    <xf numFmtId="0" fontId="24" fillId="0" borderId="2" xfId="0" applyFont="1" applyBorder="1" applyAlignment="1">
      <alignment horizontal="center" vertical="center"/>
    </xf>
    <xf numFmtId="169" fontId="26" fillId="0" borderId="2" xfId="6" applyNumberFormat="1" applyFont="1" applyFill="1" applyBorder="1" applyAlignment="1">
      <alignment horizontal="right" vertical="center"/>
    </xf>
    <xf numFmtId="0" fontId="26" fillId="0" borderId="2" xfId="0" applyFont="1" applyBorder="1" applyAlignment="1">
      <alignment horizontal="center"/>
    </xf>
    <xf numFmtId="170" fontId="26" fillId="0" borderId="0" xfId="0" applyNumberFormat="1" applyFont="1" applyAlignment="1">
      <alignment vertical="center"/>
    </xf>
    <xf numFmtId="0" fontId="26" fillId="0" borderId="2" xfId="0" applyFont="1" applyBorder="1" applyAlignment="1">
      <alignment horizontal="center" vertical="center"/>
    </xf>
    <xf numFmtId="3" fontId="24" fillId="0" borderId="2" xfId="0" applyNumberFormat="1" applyFont="1" applyBorder="1" applyAlignment="1">
      <alignment horizontal="center" vertical="center" wrapText="1"/>
    </xf>
    <xf numFmtId="3" fontId="23" fillId="0" borderId="2" xfId="0" applyNumberFormat="1" applyFont="1" applyBorder="1" applyAlignment="1">
      <alignment horizontal="right" vertical="center"/>
    </xf>
    <xf numFmtId="169" fontId="26" fillId="0" borderId="0" xfId="0" applyNumberFormat="1" applyFont="1"/>
    <xf numFmtId="3" fontId="29" fillId="0" borderId="2" xfId="0" applyNumberFormat="1" applyFont="1" applyBorder="1" applyAlignment="1">
      <alignment horizontal="right"/>
    </xf>
    <xf numFmtId="41" fontId="28" fillId="0" borderId="0" xfId="2" applyFont="1" applyFill="1" applyBorder="1" applyAlignment="1">
      <alignment horizontal="left" vertical="center"/>
    </xf>
    <xf numFmtId="3" fontId="29" fillId="0" borderId="0" xfId="0" applyNumberFormat="1" applyFont="1" applyAlignment="1">
      <alignment horizontal="right"/>
    </xf>
    <xf numFmtId="41" fontId="26" fillId="0" borderId="2" xfId="2" applyFont="1" applyFill="1" applyBorder="1" applyAlignment="1">
      <alignment horizontal="left" vertical="center"/>
    </xf>
    <xf numFmtId="41" fontId="28" fillId="0" borderId="2" xfId="2" applyFont="1" applyFill="1" applyBorder="1" applyAlignment="1">
      <alignment horizontal="left" vertical="center"/>
    </xf>
    <xf numFmtId="41" fontId="29" fillId="18" borderId="2" xfId="2" applyFont="1" applyFill="1" applyBorder="1" applyAlignment="1">
      <alignment horizontal="right" vertical="center"/>
    </xf>
    <xf numFmtId="41" fontId="23" fillId="18" borderId="2" xfId="2" applyFont="1" applyFill="1" applyBorder="1" applyAlignment="1">
      <alignment horizontal="right" vertical="center"/>
    </xf>
    <xf numFmtId="169" fontId="29" fillId="18" borderId="2" xfId="0" applyNumberFormat="1" applyFont="1" applyFill="1" applyBorder="1" applyAlignment="1">
      <alignment horizontal="right"/>
    </xf>
    <xf numFmtId="3" fontId="30" fillId="8" borderId="2" xfId="0" applyNumberFormat="1" applyFont="1" applyFill="1" applyBorder="1" applyAlignment="1">
      <alignment horizontal="right"/>
    </xf>
    <xf numFmtId="3" fontId="30" fillId="8" borderId="2" xfId="2" applyNumberFormat="1" applyFont="1" applyFill="1" applyBorder="1" applyAlignment="1">
      <alignment horizontal="right" vertical="center"/>
    </xf>
    <xf numFmtId="3" fontId="37" fillId="8" borderId="2" xfId="0" applyNumberFormat="1" applyFont="1" applyFill="1" applyBorder="1" applyAlignment="1">
      <alignment horizontal="center" vertical="center"/>
    </xf>
    <xf numFmtId="3" fontId="26" fillId="8" borderId="0" xfId="0" applyNumberFormat="1" applyFont="1" applyFill="1"/>
    <xf numFmtId="3" fontId="26" fillId="19" borderId="0" xfId="0" applyNumberFormat="1" applyFont="1" applyFill="1"/>
    <xf numFmtId="3" fontId="26" fillId="10" borderId="0" xfId="0" applyNumberFormat="1" applyFont="1" applyFill="1"/>
    <xf numFmtId="171" fontId="26" fillId="0" borderId="0" xfId="0" applyNumberFormat="1" applyFont="1"/>
    <xf numFmtId="9" fontId="26" fillId="5" borderId="0" xfId="2" applyNumberFormat="1" applyFont="1" applyFill="1" applyBorder="1" applyAlignment="1">
      <alignment horizontal="center" vertical="center"/>
    </xf>
    <xf numFmtId="41" fontId="26" fillId="5" borderId="0" xfId="2" applyFont="1" applyFill="1" applyBorder="1" applyAlignment="1">
      <alignment horizontal="left" vertical="center"/>
    </xf>
    <xf numFmtId="41" fontId="26" fillId="5" borderId="0" xfId="2" applyFont="1" applyFill="1" applyBorder="1" applyAlignment="1">
      <alignment horizontal="center" vertical="center" wrapText="1"/>
    </xf>
    <xf numFmtId="171" fontId="28" fillId="0" borderId="0" xfId="0" applyNumberFormat="1" applyFont="1"/>
    <xf numFmtId="0" fontId="28" fillId="10" borderId="0" xfId="0" applyFont="1" applyFill="1" applyAlignment="1">
      <alignment horizontal="center"/>
    </xf>
    <xf numFmtId="3" fontId="28" fillId="10" borderId="0" xfId="0" applyNumberFormat="1" applyFont="1" applyFill="1"/>
    <xf numFmtId="4" fontId="28" fillId="10" borderId="0" xfId="0" applyNumberFormat="1" applyFont="1" applyFill="1"/>
    <xf numFmtId="4" fontId="30" fillId="10" borderId="0" xfId="0" applyNumberFormat="1" applyFont="1" applyFill="1"/>
    <xf numFmtId="10" fontId="26" fillId="0" borderId="0" xfId="0" applyNumberFormat="1" applyFont="1"/>
    <xf numFmtId="3" fontId="26" fillId="17" borderId="0" xfId="0" applyNumberFormat="1" applyFont="1" applyFill="1"/>
    <xf numFmtId="177" fontId="26" fillId="0" borderId="0" xfId="0" applyNumberFormat="1" applyFont="1"/>
    <xf numFmtId="0" fontId="22" fillId="0" borderId="2" xfId="0" applyFont="1" applyBorder="1" applyAlignment="1">
      <alignment horizontal="center" vertical="center" wrapText="1"/>
    </xf>
    <xf numFmtId="3" fontId="22" fillId="0" borderId="2" xfId="0" applyNumberFormat="1" applyFont="1" applyBorder="1" applyAlignment="1">
      <alignment horizontal="center" vertical="center" wrapText="1"/>
    </xf>
    <xf numFmtId="3" fontId="22" fillId="0" borderId="2" xfId="0" applyNumberFormat="1" applyFont="1" applyBorder="1" applyAlignment="1">
      <alignment vertical="center" wrapText="1"/>
    </xf>
    <xf numFmtId="0" fontId="23" fillId="0" borderId="2" xfId="0" applyFont="1" applyBorder="1" applyAlignment="1">
      <alignment horizontal="left" vertical="center" wrapText="1"/>
    </xf>
    <xf numFmtId="0" fontId="22" fillId="0" borderId="2" xfId="0" applyFont="1" applyBorder="1" applyAlignment="1">
      <alignment horizontal="left" vertical="center" wrapText="1"/>
    </xf>
    <xf numFmtId="9" fontId="24" fillId="0" borderId="2" xfId="0" applyNumberFormat="1" applyFont="1" applyBorder="1" applyAlignment="1">
      <alignment horizontal="right" vertical="center"/>
    </xf>
    <xf numFmtId="3" fontId="23" fillId="0" borderId="2" xfId="0" applyNumberFormat="1" applyFont="1" applyBorder="1" applyAlignment="1">
      <alignment vertical="center" wrapText="1"/>
    </xf>
    <xf numFmtId="0" fontId="29" fillId="0" borderId="2" xfId="0" applyFont="1" applyBorder="1" applyAlignment="1">
      <alignment horizontal="center" vertical="center" wrapText="1"/>
    </xf>
    <xf numFmtId="0" fontId="29" fillId="0" borderId="2" xfId="0" applyFont="1" applyBorder="1" applyAlignment="1">
      <alignment horizontal="center" vertical="center"/>
    </xf>
    <xf numFmtId="3" fontId="29" fillId="0" borderId="2" xfId="0" applyNumberFormat="1" applyFont="1" applyBorder="1" applyAlignment="1">
      <alignment horizontal="center" vertical="center" wrapText="1"/>
    </xf>
    <xf numFmtId="0" fontId="26" fillId="5" borderId="2" xfId="0" applyFont="1" applyFill="1" applyBorder="1"/>
    <xf numFmtId="3" fontId="26" fillId="10" borderId="2" xfId="0" applyNumberFormat="1" applyFont="1" applyFill="1" applyBorder="1" applyAlignment="1">
      <alignment horizontal="center" vertical="center"/>
    </xf>
    <xf numFmtId="3" fontId="26" fillId="8" borderId="2" xfId="0" applyNumberFormat="1" applyFont="1" applyFill="1" applyBorder="1" applyAlignment="1">
      <alignment horizontal="center" vertical="center"/>
    </xf>
    <xf numFmtId="3" fontId="26" fillId="19" borderId="2" xfId="0" applyNumberFormat="1" applyFont="1" applyFill="1" applyBorder="1" applyAlignment="1">
      <alignment horizontal="center" vertical="center"/>
    </xf>
    <xf numFmtId="3" fontId="28" fillId="0" borderId="2" xfId="0" applyNumberFormat="1" applyFont="1" applyBorder="1" applyAlignment="1">
      <alignment horizontal="center" vertical="center"/>
    </xf>
    <xf numFmtId="3" fontId="29" fillId="0" borderId="2" xfId="0" applyNumberFormat="1" applyFont="1" applyBorder="1" applyAlignment="1">
      <alignment vertical="center" wrapText="1"/>
    </xf>
    <xf numFmtId="173" fontId="38" fillId="8" borderId="2" xfId="8" applyNumberFormat="1" applyFont="1" applyFill="1" applyBorder="1" applyAlignment="1">
      <alignment horizontal="right" vertical="center"/>
    </xf>
    <xf numFmtId="0" fontId="1" fillId="0" borderId="31" xfId="8" applyBorder="1" applyAlignment="1">
      <alignment horizontal="left" wrapText="1"/>
    </xf>
    <xf numFmtId="0" fontId="1" fillId="0" borderId="0" xfId="8" applyAlignment="1">
      <alignment horizontal="left"/>
    </xf>
    <xf numFmtId="3" fontId="33" fillId="10" borderId="0" xfId="8" applyNumberFormat="1" applyFont="1" applyFill="1" applyAlignment="1">
      <alignment horizontal="center"/>
    </xf>
    <xf numFmtId="3" fontId="35" fillId="11" borderId="2" xfId="0" applyNumberFormat="1" applyFont="1" applyFill="1" applyBorder="1" applyAlignment="1">
      <alignment horizontal="center" vertical="center"/>
    </xf>
    <xf numFmtId="41" fontId="26" fillId="0" borderId="2" xfId="2" applyFont="1" applyFill="1" applyBorder="1" applyAlignment="1">
      <alignment horizontal="left" vertical="center" wrapText="1"/>
    </xf>
    <xf numFmtId="0" fontId="25" fillId="10" borderId="2" xfId="0" applyFont="1" applyFill="1" applyBorder="1" applyAlignment="1">
      <alignment horizontal="center" vertical="center"/>
    </xf>
    <xf numFmtId="3" fontId="25" fillId="10" borderId="2" xfId="0" applyNumberFormat="1" applyFont="1" applyFill="1" applyBorder="1" applyAlignment="1">
      <alignment horizontal="center" vertical="center"/>
    </xf>
    <xf numFmtId="3" fontId="39" fillId="10" borderId="2" xfId="7" applyNumberFormat="1" applyFont="1" applyFill="1" applyBorder="1" applyAlignment="1">
      <alignment vertical="center"/>
    </xf>
    <xf numFmtId="3" fontId="25" fillId="10" borderId="2" xfId="0" applyNumberFormat="1" applyFont="1" applyFill="1" applyBorder="1" applyAlignment="1">
      <alignment vertical="center"/>
    </xf>
    <xf numFmtId="3" fontId="40" fillId="10" borderId="2" xfId="7" applyNumberFormat="1" applyFont="1" applyFill="1" applyBorder="1" applyAlignment="1">
      <alignment horizontal="center" wrapText="1"/>
    </xf>
    <xf numFmtId="3" fontId="25" fillId="10" borderId="2" xfId="0" applyNumberFormat="1" applyFont="1" applyFill="1" applyBorder="1" applyAlignment="1">
      <alignment horizontal="center" vertical="center" wrapText="1"/>
    </xf>
    <xf numFmtId="0" fontId="28" fillId="0" borderId="2" xfId="0" applyFont="1" applyBorder="1" applyAlignment="1">
      <alignment horizontal="center" vertical="center" wrapText="1"/>
    </xf>
    <xf numFmtId="3" fontId="23" fillId="0" borderId="2" xfId="0" applyNumberFormat="1" applyFont="1" applyBorder="1"/>
    <xf numFmtId="0" fontId="26" fillId="0" borderId="2" xfId="0" applyFont="1" applyBorder="1"/>
    <xf numFmtId="0" fontId="25" fillId="0" borderId="2" xfId="0" applyFont="1" applyBorder="1" applyAlignment="1">
      <alignment horizontal="center" vertical="center" wrapText="1"/>
    </xf>
    <xf numFmtId="0" fontId="26" fillId="0" borderId="2" xfId="0" applyFont="1" applyBorder="1" applyAlignment="1">
      <alignment horizontal="center" vertical="center" wrapText="1"/>
    </xf>
    <xf numFmtId="0" fontId="28" fillId="0" borderId="2" xfId="0" applyFont="1" applyBorder="1"/>
    <xf numFmtId="41" fontId="26" fillId="0" borderId="2" xfId="0" applyNumberFormat="1" applyFont="1" applyBorder="1"/>
    <xf numFmtId="0" fontId="26" fillId="5" borderId="0" xfId="0" applyFont="1" applyFill="1" applyAlignment="1">
      <alignment horizontal="left"/>
    </xf>
    <xf numFmtId="0" fontId="25" fillId="5" borderId="23" xfId="0" applyFont="1" applyFill="1" applyBorder="1" applyAlignment="1">
      <alignment horizontal="center" vertical="center" wrapText="1"/>
    </xf>
    <xf numFmtId="0" fontId="25" fillId="5" borderId="24" xfId="0" applyFont="1" applyFill="1" applyBorder="1" applyAlignment="1">
      <alignment horizontal="center" vertical="center" wrapText="1"/>
    </xf>
    <xf numFmtId="0" fontId="25" fillId="5" borderId="25" xfId="0" applyFont="1" applyFill="1" applyBorder="1" applyAlignment="1">
      <alignment horizontal="center" vertical="center" wrapText="1"/>
    </xf>
    <xf numFmtId="0" fontId="25" fillId="18" borderId="23" xfId="0" applyFont="1" applyFill="1" applyBorder="1" applyAlignment="1">
      <alignment horizontal="center" vertical="center" wrapText="1"/>
    </xf>
    <xf numFmtId="0" fontId="25" fillId="18" borderId="24" xfId="0" applyFont="1" applyFill="1" applyBorder="1" applyAlignment="1">
      <alignment horizontal="center" vertical="center" wrapText="1"/>
    </xf>
    <xf numFmtId="0" fontId="25" fillId="18" borderId="25" xfId="0" applyFont="1" applyFill="1" applyBorder="1" applyAlignment="1">
      <alignment horizontal="center" vertical="center" wrapText="1"/>
    </xf>
    <xf numFmtId="0" fontId="28" fillId="18" borderId="2" xfId="0" applyFont="1" applyFill="1" applyBorder="1" applyAlignment="1">
      <alignment horizontal="center"/>
    </xf>
    <xf numFmtId="41" fontId="28" fillId="0" borderId="23" xfId="2" applyFont="1" applyFill="1" applyBorder="1" applyAlignment="1">
      <alignment horizontal="left" vertical="center"/>
    </xf>
    <xf numFmtId="41" fontId="28" fillId="0" borderId="24" xfId="2" applyFont="1" applyFill="1" applyBorder="1" applyAlignment="1">
      <alignment horizontal="left" vertical="center"/>
    </xf>
    <xf numFmtId="41" fontId="28" fillId="0" borderId="25" xfId="2" applyFont="1" applyFill="1" applyBorder="1" applyAlignment="1">
      <alignment horizontal="left" vertical="center"/>
    </xf>
    <xf numFmtId="41" fontId="28" fillId="0" borderId="2" xfId="2" applyFont="1" applyFill="1" applyBorder="1" applyAlignment="1">
      <alignment horizontal="left" vertical="center"/>
    </xf>
    <xf numFmtId="0" fontId="24" fillId="0" borderId="23" xfId="0" applyFont="1" applyBorder="1" applyAlignment="1">
      <alignment horizontal="center" vertical="center" wrapText="1"/>
    </xf>
    <xf numFmtId="0" fontId="24" fillId="0" borderId="24" xfId="0" applyFont="1" applyBorder="1" applyAlignment="1">
      <alignment horizontal="center" vertical="center" wrapText="1"/>
    </xf>
    <xf numFmtId="0" fontId="24" fillId="0" borderId="25" xfId="0" applyFont="1" applyBorder="1" applyAlignment="1">
      <alignment horizontal="center" vertical="center" wrapText="1"/>
    </xf>
    <xf numFmtId="41" fontId="28" fillId="0" borderId="23" xfId="2" applyFont="1" applyFill="1" applyBorder="1" applyAlignment="1">
      <alignment horizontal="center" vertical="center"/>
    </xf>
    <xf numFmtId="41" fontId="28" fillId="0" borderId="24" xfId="2" applyFont="1" applyFill="1" applyBorder="1" applyAlignment="1">
      <alignment horizontal="center" vertical="center"/>
    </xf>
    <xf numFmtId="41" fontId="28" fillId="0" borderId="25" xfId="2" applyFont="1" applyFill="1" applyBorder="1" applyAlignment="1">
      <alignment horizontal="center" vertical="center"/>
    </xf>
    <xf numFmtId="3" fontId="26" fillId="0" borderId="0" xfId="0" applyNumberFormat="1" applyFont="1" applyAlignment="1">
      <alignment horizontal="center"/>
    </xf>
    <xf numFmtId="41" fontId="23" fillId="0" borderId="2" xfId="0" applyNumberFormat="1" applyFont="1" applyBorder="1" applyAlignment="1">
      <alignment horizontal="center" vertical="center" wrapText="1"/>
    </xf>
    <xf numFmtId="3" fontId="26" fillId="8" borderId="2" xfId="0" applyNumberFormat="1" applyFont="1" applyFill="1" applyBorder="1" applyAlignment="1">
      <alignment horizontal="center" vertical="center"/>
    </xf>
    <xf numFmtId="3" fontId="26" fillId="19" borderId="2" xfId="0" applyNumberFormat="1" applyFont="1" applyFill="1" applyBorder="1" applyAlignment="1">
      <alignment horizontal="center" vertical="center"/>
    </xf>
    <xf numFmtId="0" fontId="29" fillId="0" borderId="2" xfId="0" applyFont="1" applyBorder="1" applyAlignment="1">
      <alignment horizontal="center" vertical="center" wrapText="1"/>
    </xf>
    <xf numFmtId="3" fontId="29" fillId="0" borderId="2" xfId="0" applyNumberFormat="1" applyFont="1" applyBorder="1" applyAlignment="1">
      <alignment horizontal="center" vertical="center" wrapText="1"/>
    </xf>
    <xf numFmtId="0" fontId="22" fillId="0" borderId="2" xfId="0" applyFont="1" applyBorder="1" applyAlignment="1">
      <alignment horizontal="left" vertical="center" wrapText="1"/>
    </xf>
    <xf numFmtId="0" fontId="7" fillId="9" borderId="2" xfId="0" applyFont="1" applyFill="1" applyBorder="1" applyAlignment="1">
      <alignment horizontal="center" vertical="center"/>
    </xf>
    <xf numFmtId="0" fontId="7" fillId="9" borderId="2" xfId="0" applyFont="1" applyFill="1" applyBorder="1" applyAlignment="1">
      <alignment horizontal="center" vertical="center" wrapText="1"/>
    </xf>
    <xf numFmtId="0" fontId="8" fillId="0" borderId="2" xfId="0" applyFont="1" applyBorder="1" applyAlignment="1">
      <alignment horizontal="left" vertical="center" wrapText="1"/>
    </xf>
    <xf numFmtId="0" fontId="8" fillId="0" borderId="2" xfId="0" applyFont="1" applyBorder="1" applyAlignment="1">
      <alignment vertical="center" wrapText="1"/>
    </xf>
    <xf numFmtId="0" fontId="9" fillId="0" borderId="2" xfId="0" applyFont="1" applyBorder="1" applyAlignment="1">
      <alignment horizontal="center" vertical="center"/>
    </xf>
    <xf numFmtId="0" fontId="11" fillId="0" borderId="2" xfId="0" applyFont="1" applyBorder="1" applyAlignment="1">
      <alignment vertical="center"/>
    </xf>
    <xf numFmtId="0" fontId="7" fillId="9" borderId="2" xfId="0" applyFont="1" applyFill="1" applyBorder="1" applyAlignment="1">
      <alignment vertical="center"/>
    </xf>
    <xf numFmtId="0" fontId="8" fillId="0" borderId="2" xfId="0" applyFont="1" applyBorder="1" applyAlignment="1">
      <alignment horizontal="left" vertical="center"/>
    </xf>
    <xf numFmtId="0" fontId="7" fillId="9" borderId="2" xfId="0" applyFont="1" applyFill="1" applyBorder="1" applyAlignment="1">
      <alignment horizontal="left" vertical="center" wrapText="1"/>
    </xf>
    <xf numFmtId="0" fontId="35" fillId="11" borderId="23" xfId="0" applyFont="1" applyFill="1" applyBorder="1" applyAlignment="1">
      <alignment horizontal="center" vertical="center"/>
    </xf>
    <xf numFmtId="0" fontId="35" fillId="11" borderId="25" xfId="0" applyFont="1" applyFill="1" applyBorder="1" applyAlignment="1">
      <alignment horizontal="center" vertical="center"/>
    </xf>
    <xf numFmtId="6" fontId="31" fillId="0" borderId="31" xfId="0" applyNumberFormat="1" applyFont="1" applyBorder="1" applyAlignment="1">
      <alignment vertical="center"/>
    </xf>
    <xf numFmtId="6" fontId="31" fillId="0" borderId="26" xfId="0" applyNumberFormat="1" applyFont="1" applyBorder="1" applyAlignment="1">
      <alignment vertical="center"/>
    </xf>
    <xf numFmtId="0" fontId="31" fillId="5" borderId="2" xfId="0" applyFont="1" applyFill="1" applyBorder="1" applyAlignment="1">
      <alignment horizontal="center" vertical="center"/>
    </xf>
    <xf numFmtId="0" fontId="31" fillId="0" borderId="31" xfId="0" applyFont="1" applyBorder="1" applyAlignment="1">
      <alignment horizontal="left" vertical="center" wrapText="1"/>
    </xf>
    <xf numFmtId="0" fontId="31" fillId="0" borderId="26" xfId="0" applyFont="1" applyBorder="1" applyAlignment="1">
      <alignment horizontal="left" vertical="center" wrapText="1"/>
    </xf>
    <xf numFmtId="0" fontId="31" fillId="0" borderId="32" xfId="0" applyFont="1" applyBorder="1" applyAlignment="1">
      <alignment horizontal="left" vertical="center" wrapText="1"/>
    </xf>
    <xf numFmtId="9" fontId="31" fillId="0" borderId="31" xfId="0" applyNumberFormat="1" applyFont="1" applyBorder="1" applyAlignment="1">
      <alignment horizontal="center" vertical="center"/>
    </xf>
    <xf numFmtId="9" fontId="31" fillId="0" borderId="26" xfId="0" applyNumberFormat="1" applyFont="1" applyBorder="1" applyAlignment="1">
      <alignment horizontal="center" vertical="center"/>
    </xf>
    <xf numFmtId="0" fontId="31" fillId="0" borderId="31" xfId="0" applyFont="1" applyBorder="1" applyAlignment="1">
      <alignment horizontal="center" vertical="center"/>
    </xf>
    <xf numFmtId="0" fontId="31" fillId="0" borderId="26" xfId="0" applyFont="1" applyBorder="1" applyAlignment="1">
      <alignment horizontal="center" vertical="center"/>
    </xf>
    <xf numFmtId="0" fontId="33" fillId="16" borderId="36" xfId="8" applyFont="1" applyFill="1" applyBorder="1" applyAlignment="1">
      <alignment horizontal="center" vertical="center" wrapText="1"/>
    </xf>
    <xf numFmtId="0" fontId="33" fillId="16" borderId="37" xfId="8" applyFont="1" applyFill="1" applyBorder="1" applyAlignment="1">
      <alignment horizontal="center" vertical="center" wrapText="1"/>
    </xf>
    <xf numFmtId="0" fontId="32" fillId="13" borderId="33" xfId="8" applyFont="1" applyFill="1" applyBorder="1" applyAlignment="1">
      <alignment horizontal="center" vertical="center" wrapText="1"/>
    </xf>
    <xf numFmtId="0" fontId="32" fillId="13" borderId="34" xfId="8" applyFont="1" applyFill="1" applyBorder="1" applyAlignment="1">
      <alignment horizontal="center" vertical="center" wrapText="1"/>
    </xf>
    <xf numFmtId="0" fontId="32" fillId="13" borderId="35" xfId="8" applyFont="1" applyFill="1" applyBorder="1" applyAlignment="1">
      <alignment horizontal="center" vertical="center" wrapText="1"/>
    </xf>
    <xf numFmtId="0" fontId="32" fillId="13" borderId="33" xfId="8" applyFont="1" applyFill="1" applyBorder="1" applyAlignment="1">
      <alignment horizontal="center"/>
    </xf>
    <xf numFmtId="0" fontId="32" fillId="13" borderId="34" xfId="8" applyFont="1" applyFill="1" applyBorder="1" applyAlignment="1">
      <alignment horizontal="center"/>
    </xf>
    <xf numFmtId="0" fontId="32" fillId="13" borderId="35" xfId="8" applyFont="1" applyFill="1" applyBorder="1" applyAlignment="1">
      <alignment horizontal="center"/>
    </xf>
    <xf numFmtId="0" fontId="33" fillId="15" borderId="34" xfId="8" applyFont="1" applyFill="1" applyBorder="1" applyAlignment="1">
      <alignment horizontal="center" vertical="center"/>
    </xf>
    <xf numFmtId="0" fontId="33" fillId="15" borderId="42" xfId="8" applyFont="1" applyFill="1" applyBorder="1" applyAlignment="1">
      <alignment horizontal="center" vertical="center"/>
    </xf>
    <xf numFmtId="0" fontId="33" fillId="0" borderId="45" xfId="8" applyFont="1" applyBorder="1" applyAlignment="1">
      <alignment horizontal="center" vertical="center"/>
    </xf>
    <xf numFmtId="0" fontId="33" fillId="16" borderId="46" xfId="8" applyFont="1" applyFill="1" applyBorder="1" applyAlignment="1">
      <alignment horizontal="center" vertical="center" wrapText="1"/>
    </xf>
    <xf numFmtId="0" fontId="33" fillId="16" borderId="1" xfId="8" applyFont="1" applyFill="1" applyBorder="1" applyAlignment="1">
      <alignment horizontal="center" vertical="center" wrapText="1"/>
    </xf>
    <xf numFmtId="0" fontId="15" fillId="3" borderId="4" xfId="5" applyFont="1" applyFill="1" applyBorder="1" applyAlignment="1">
      <alignment horizontal="left" vertical="center"/>
    </xf>
    <xf numFmtId="0" fontId="15" fillId="3" borderId="7" xfId="5" applyFont="1" applyFill="1" applyBorder="1" applyAlignment="1">
      <alignment horizontal="left" vertical="center"/>
    </xf>
    <xf numFmtId="0" fontId="16" fillId="0" borderId="12" xfId="5" applyFont="1" applyBorder="1" applyAlignment="1" applyProtection="1">
      <alignment horizontal="center" vertical="center" wrapText="1"/>
      <protection locked="0"/>
    </xf>
    <xf numFmtId="0" fontId="16" fillId="0" borderId="0" xfId="5" applyFont="1" applyAlignment="1" applyProtection="1">
      <alignment horizontal="center" vertical="center" wrapText="1"/>
      <protection locked="0"/>
    </xf>
    <xf numFmtId="0" fontId="12" fillId="5" borderId="4" xfId="5" applyFont="1" applyFill="1" applyBorder="1" applyAlignment="1" applyProtection="1">
      <alignment horizontal="center" vertical="center" wrapText="1"/>
      <protection locked="0"/>
    </xf>
    <xf numFmtId="0" fontId="12" fillId="5" borderId="6" xfId="5" applyFont="1" applyFill="1" applyBorder="1" applyAlignment="1" applyProtection="1">
      <alignment horizontal="center" vertical="center"/>
      <protection locked="0"/>
    </xf>
    <xf numFmtId="0" fontId="12" fillId="5" borderId="7" xfId="5" applyFont="1" applyFill="1" applyBorder="1" applyAlignment="1" applyProtection="1">
      <alignment horizontal="center" vertical="center"/>
      <protection locked="0"/>
    </xf>
    <xf numFmtId="0" fontId="15" fillId="3" borderId="4" xfId="5" applyFont="1" applyFill="1" applyBorder="1" applyAlignment="1">
      <alignment horizontal="left" vertical="center" wrapText="1"/>
    </xf>
    <xf numFmtId="0" fontId="15" fillId="3" borderId="6" xfId="5" applyFont="1" applyFill="1" applyBorder="1" applyAlignment="1">
      <alignment horizontal="left" vertical="center" wrapText="1"/>
    </xf>
    <xf numFmtId="0" fontId="17" fillId="3" borderId="4" xfId="5" applyFont="1" applyFill="1" applyBorder="1" applyAlignment="1">
      <alignment horizontal="left" vertical="center" wrapText="1"/>
    </xf>
    <xf numFmtId="0" fontId="17" fillId="3" borderId="7" xfId="5" applyFont="1" applyFill="1" applyBorder="1" applyAlignment="1">
      <alignment horizontal="left" vertical="center"/>
    </xf>
    <xf numFmtId="0" fontId="15" fillId="3" borderId="7" xfId="5" applyFont="1" applyFill="1" applyBorder="1" applyAlignment="1">
      <alignment horizontal="left" vertical="center" wrapText="1"/>
    </xf>
    <xf numFmtId="0" fontId="15" fillId="3" borderId="13" xfId="5" applyFont="1" applyFill="1" applyBorder="1" applyAlignment="1">
      <alignment horizontal="left" vertical="center"/>
    </xf>
    <xf numFmtId="0" fontId="15" fillId="3" borderId="14" xfId="5" applyFont="1" applyFill="1" applyBorder="1" applyAlignment="1">
      <alignment horizontal="left" vertical="center"/>
    </xf>
    <xf numFmtId="0" fontId="12" fillId="4" borderId="4" xfId="5" applyFont="1" applyFill="1" applyBorder="1" applyAlignment="1">
      <alignment horizontal="center" vertical="center" wrapText="1"/>
    </xf>
    <xf numFmtId="0" fontId="12" fillId="4" borderId="7" xfId="5" applyFont="1" applyFill="1" applyBorder="1" applyAlignment="1">
      <alignment horizontal="center" vertical="center" wrapText="1"/>
    </xf>
    <xf numFmtId="0" fontId="12" fillId="0" borderId="2" xfId="5" applyFont="1" applyBorder="1" applyAlignment="1" applyProtection="1">
      <alignment horizontal="left" vertical="center" wrapText="1"/>
      <protection locked="0"/>
    </xf>
    <xf numFmtId="0" fontId="13" fillId="4" borderId="9" xfId="5" applyFont="1" applyFill="1" applyBorder="1" applyAlignment="1">
      <alignment horizontal="left" vertical="center"/>
    </xf>
    <xf numFmtId="0" fontId="13" fillId="4" borderId="11" xfId="5" applyFont="1" applyFill="1" applyBorder="1" applyAlignment="1">
      <alignment horizontal="left" vertical="center"/>
    </xf>
    <xf numFmtId="0" fontId="13" fillId="4" borderId="10" xfId="5" applyFont="1" applyFill="1" applyBorder="1" applyAlignment="1">
      <alignment horizontal="left" vertical="center"/>
    </xf>
    <xf numFmtId="0" fontId="13" fillId="4" borderId="12" xfId="5" applyFont="1" applyFill="1" applyBorder="1" applyAlignment="1">
      <alignment horizontal="left" vertical="center"/>
    </xf>
    <xf numFmtId="0" fontId="13" fillId="4" borderId="0" xfId="5" applyFont="1" applyFill="1" applyAlignment="1">
      <alignment horizontal="left" vertical="center"/>
    </xf>
    <xf numFmtId="0" fontId="13" fillId="4" borderId="27" xfId="5" applyFont="1" applyFill="1" applyBorder="1" applyAlignment="1">
      <alignment horizontal="left" vertical="center"/>
    </xf>
    <xf numFmtId="0" fontId="12" fillId="4" borderId="16" xfId="5" applyFont="1" applyFill="1" applyBorder="1" applyAlignment="1">
      <alignment horizontal="center" vertical="center" wrapText="1"/>
    </xf>
    <xf numFmtId="0" fontId="12" fillId="4" borderId="28" xfId="5" applyFont="1" applyFill="1" applyBorder="1" applyAlignment="1">
      <alignment horizontal="center" vertical="center" wrapText="1"/>
    </xf>
    <xf numFmtId="3" fontId="12" fillId="4" borderId="16" xfId="5" applyNumberFormat="1" applyFont="1" applyFill="1" applyBorder="1" applyAlignment="1">
      <alignment horizontal="center" vertical="center" wrapText="1"/>
    </xf>
    <xf numFmtId="3" fontId="12" fillId="4" borderId="28" xfId="5" applyNumberFormat="1" applyFont="1" applyFill="1" applyBorder="1" applyAlignment="1">
      <alignment horizontal="center" vertical="center" wrapText="1"/>
    </xf>
    <xf numFmtId="0" fontId="12" fillId="2" borderId="23" xfId="5" applyFont="1" applyFill="1" applyBorder="1" applyAlignment="1" applyProtection="1">
      <alignment horizontal="left" vertical="center"/>
      <protection locked="0"/>
    </xf>
    <xf numFmtId="0" fontId="12" fillId="2" borderId="24" xfId="5" applyFont="1" applyFill="1" applyBorder="1" applyAlignment="1" applyProtection="1">
      <alignment horizontal="left" vertical="center"/>
      <protection locked="0"/>
    </xf>
    <xf numFmtId="0" fontId="12" fillId="2" borderId="25" xfId="5" applyFont="1" applyFill="1" applyBorder="1" applyAlignment="1" applyProtection="1">
      <alignment horizontal="left" vertical="center"/>
      <protection locked="0"/>
    </xf>
    <xf numFmtId="0" fontId="16" fillId="0" borderId="2" xfId="5" applyFont="1" applyBorder="1" applyAlignment="1" applyProtection="1">
      <alignment horizontal="left" vertical="center"/>
      <protection locked="0"/>
    </xf>
    <xf numFmtId="0" fontId="16" fillId="4" borderId="13" xfId="5" applyFont="1" applyFill="1" applyBorder="1" applyAlignment="1" applyProtection="1">
      <alignment horizontal="left" vertical="center"/>
      <protection locked="0"/>
    </xf>
    <xf numFmtId="0" fontId="16" fillId="4" borderId="14" xfId="5" applyFont="1" applyFill="1" applyBorder="1" applyAlignment="1" applyProtection="1">
      <alignment horizontal="left" vertical="center"/>
      <protection locked="0"/>
    </xf>
    <xf numFmtId="0" fontId="16" fillId="0" borderId="4" xfId="5" applyFont="1" applyBorder="1" applyAlignment="1" applyProtection="1">
      <alignment horizontal="left" vertical="center" wrapText="1"/>
      <protection locked="0"/>
    </xf>
    <xf numFmtId="0" fontId="16" fillId="0" borderId="6" xfId="5" applyFont="1" applyBorder="1" applyAlignment="1" applyProtection="1">
      <alignment horizontal="left" vertical="center" wrapText="1"/>
      <protection locked="0"/>
    </xf>
    <xf numFmtId="0" fontId="16" fillId="0" borderId="7" xfId="5" applyFont="1" applyBorder="1" applyAlignment="1" applyProtection="1">
      <alignment horizontal="left" vertical="center" wrapText="1"/>
      <protection locked="0"/>
    </xf>
    <xf numFmtId="0" fontId="16" fillId="0" borderId="2" xfId="5" applyFont="1" applyBorder="1" applyAlignment="1" applyProtection="1">
      <alignment horizontal="left" vertical="center" wrapText="1"/>
      <protection locked="0"/>
    </xf>
    <xf numFmtId="0" fontId="16" fillId="0" borderId="9" xfId="5" applyFont="1" applyBorder="1" applyAlignment="1" applyProtection="1">
      <alignment horizontal="left" vertical="center" wrapText="1"/>
      <protection locked="0"/>
    </xf>
    <xf numFmtId="0" fontId="16" fillId="0" borderId="11" xfId="5" applyFont="1" applyBorder="1" applyAlignment="1" applyProtection="1">
      <alignment horizontal="left" vertical="center" wrapText="1"/>
      <protection locked="0"/>
    </xf>
    <xf numFmtId="0" fontId="16" fillId="0" borderId="10" xfId="5" applyFont="1" applyBorder="1" applyAlignment="1" applyProtection="1">
      <alignment horizontal="left" vertical="center" wrapText="1"/>
      <protection locked="0"/>
    </xf>
    <xf numFmtId="0" fontId="12" fillId="2" borderId="2" xfId="5" applyFont="1" applyFill="1" applyBorder="1" applyAlignment="1" applyProtection="1">
      <alignment horizontal="left" vertical="center"/>
      <protection locked="0"/>
    </xf>
    <xf numFmtId="0" fontId="13" fillId="4" borderId="13" xfId="5" applyFont="1" applyFill="1" applyBorder="1" applyAlignment="1">
      <alignment horizontal="left" vertical="center"/>
    </xf>
    <xf numFmtId="0" fontId="13" fillId="4" borderId="14" xfId="5" applyFont="1" applyFill="1" applyBorder="1" applyAlignment="1">
      <alignment horizontal="left" vertical="center"/>
    </xf>
    <xf numFmtId="0" fontId="13" fillId="4" borderId="15" xfId="5" applyFont="1" applyFill="1" applyBorder="1" applyAlignment="1">
      <alignment horizontal="left" vertical="center"/>
    </xf>
    <xf numFmtId="0" fontId="12" fillId="4" borderId="16" xfId="5" applyFont="1" applyFill="1" applyBorder="1" applyAlignment="1">
      <alignment horizontal="center" vertical="center"/>
    </xf>
    <xf numFmtId="0" fontId="12" fillId="4" borderId="5" xfId="5" applyFont="1" applyFill="1" applyBorder="1" applyAlignment="1">
      <alignment horizontal="center" vertical="center"/>
    </xf>
    <xf numFmtId="3" fontId="12" fillId="4" borderId="16" xfId="5" applyNumberFormat="1" applyFont="1" applyFill="1" applyBorder="1" applyAlignment="1">
      <alignment horizontal="center" vertical="center"/>
    </xf>
    <xf numFmtId="3" fontId="12" fillId="4" borderId="5" xfId="5" applyNumberFormat="1" applyFont="1" applyFill="1" applyBorder="1" applyAlignment="1">
      <alignment horizontal="center" vertical="center"/>
    </xf>
    <xf numFmtId="0" fontId="20" fillId="4" borderId="23" xfId="5" applyFont="1" applyFill="1" applyBorder="1" applyAlignment="1">
      <alignment horizontal="left" vertical="center"/>
    </xf>
    <xf numFmtId="0" fontId="20" fillId="4" borderId="24" xfId="5" applyFont="1" applyFill="1" applyBorder="1" applyAlignment="1">
      <alignment horizontal="left" vertical="center"/>
    </xf>
    <xf numFmtId="0" fontId="20" fillId="4" borderId="25" xfId="5" applyFont="1" applyFill="1" applyBorder="1" applyAlignment="1">
      <alignment horizontal="left" vertical="center"/>
    </xf>
    <xf numFmtId="0" fontId="16" fillId="8" borderId="2" xfId="5" applyFont="1" applyFill="1" applyBorder="1" applyAlignment="1" applyProtection="1">
      <alignment horizontal="left" vertical="center" wrapText="1"/>
      <protection locked="0"/>
    </xf>
    <xf numFmtId="0" fontId="12" fillId="2" borderId="29" xfId="5" applyFont="1" applyFill="1" applyBorder="1" applyAlignment="1" applyProtection="1">
      <alignment horizontal="left" vertical="center"/>
      <protection locked="0"/>
    </xf>
    <xf numFmtId="0" fontId="12" fillId="2" borderId="30" xfId="5" applyFont="1" applyFill="1" applyBorder="1" applyAlignment="1" applyProtection="1">
      <alignment horizontal="left" vertical="center"/>
      <protection locked="0"/>
    </xf>
    <xf numFmtId="0" fontId="16" fillId="4" borderId="4" xfId="5" applyFont="1" applyFill="1" applyBorder="1" applyAlignment="1" applyProtection="1">
      <alignment horizontal="left" vertical="center"/>
      <protection locked="0"/>
    </xf>
    <xf numFmtId="0" fontId="16" fillId="4" borderId="6" xfId="5" applyFont="1" applyFill="1" applyBorder="1" applyAlignment="1" applyProtection="1">
      <alignment horizontal="left" vertical="center"/>
      <protection locked="0"/>
    </xf>
    <xf numFmtId="0" fontId="20" fillId="4" borderId="4" xfId="5" applyFont="1" applyFill="1" applyBorder="1" applyAlignment="1">
      <alignment horizontal="left" vertical="center"/>
    </xf>
    <xf numFmtId="0" fontId="20" fillId="4" borderId="6" xfId="5" applyFont="1" applyFill="1" applyBorder="1" applyAlignment="1">
      <alignment horizontal="left" vertical="center"/>
    </xf>
    <xf numFmtId="0" fontId="20" fillId="4" borderId="4" xfId="5" applyFont="1" applyFill="1" applyBorder="1" applyAlignment="1" applyProtection="1">
      <alignment horizontal="left" vertical="center"/>
      <protection locked="0"/>
    </xf>
    <xf numFmtId="0" fontId="20" fillId="4" borderId="6" xfId="5" applyFont="1" applyFill="1" applyBorder="1" applyAlignment="1" applyProtection="1">
      <alignment horizontal="left" vertical="center"/>
      <protection locked="0"/>
    </xf>
    <xf numFmtId="0" fontId="16" fillId="8" borderId="4" xfId="5" applyFont="1" applyFill="1" applyBorder="1" applyAlignment="1" applyProtection="1">
      <alignment horizontal="left" vertical="center" wrapText="1"/>
      <protection locked="0"/>
    </xf>
    <xf numFmtId="0" fontId="16" fillId="8" borderId="6" xfId="5" applyFont="1" applyFill="1" applyBorder="1" applyAlignment="1" applyProtection="1">
      <alignment horizontal="left" vertical="center" wrapText="1"/>
      <protection locked="0"/>
    </xf>
    <xf numFmtId="0" fontId="16" fillId="8" borderId="7" xfId="5" applyFont="1" applyFill="1" applyBorder="1" applyAlignment="1" applyProtection="1">
      <alignment horizontal="left" vertical="center" wrapText="1"/>
      <protection locked="0"/>
    </xf>
    <xf numFmtId="3" fontId="12" fillId="4" borderId="5" xfId="5" applyNumberFormat="1" applyFont="1" applyFill="1" applyBorder="1" applyAlignment="1">
      <alignment horizontal="center" vertical="center" wrapText="1"/>
    </xf>
    <xf numFmtId="0" fontId="16" fillId="0" borderId="22" xfId="5" applyFont="1" applyBorder="1" applyAlignment="1" applyProtection="1">
      <alignment horizontal="left" vertical="center" wrapText="1"/>
      <protection locked="0"/>
    </xf>
    <xf numFmtId="0" fontId="16" fillId="0" borderId="4" xfId="5" applyFont="1" applyBorder="1" applyAlignment="1" applyProtection="1">
      <alignment horizontal="left" vertical="top" wrapText="1"/>
      <protection locked="0"/>
    </xf>
    <xf numFmtId="0" fontId="16" fillId="0" borderId="6" xfId="5" applyFont="1" applyBorder="1" applyAlignment="1" applyProtection="1">
      <alignment horizontal="left" vertical="top" wrapText="1"/>
      <protection locked="0"/>
    </xf>
    <xf numFmtId="0" fontId="16" fillId="0" borderId="7" xfId="5" applyFont="1" applyBorder="1" applyAlignment="1" applyProtection="1">
      <alignment horizontal="left" vertical="top" wrapText="1"/>
      <protection locked="0"/>
    </xf>
    <xf numFmtId="0" fontId="20" fillId="4" borderId="4" xfId="5" applyFont="1" applyFill="1" applyBorder="1" applyAlignment="1">
      <alignment horizontal="left" vertical="center" wrapText="1"/>
    </xf>
    <xf numFmtId="0" fontId="20" fillId="4" borderId="6" xfId="5" applyFont="1" applyFill="1" applyBorder="1" applyAlignment="1">
      <alignment horizontal="left" vertical="center" wrapText="1"/>
    </xf>
    <xf numFmtId="0" fontId="15" fillId="3" borderId="4" xfId="5" applyFont="1" applyFill="1" applyBorder="1" applyAlignment="1">
      <alignment horizontal="left"/>
    </xf>
    <xf numFmtId="0" fontId="15" fillId="3" borderId="6" xfId="5" applyFont="1" applyFill="1" applyBorder="1" applyAlignment="1">
      <alignment horizontal="left"/>
    </xf>
    <xf numFmtId="0" fontId="16" fillId="3" borderId="9" xfId="5" applyFont="1" applyFill="1" applyBorder="1" applyAlignment="1">
      <alignment horizontal="left" vertical="center"/>
    </xf>
    <xf numFmtId="0" fontId="16" fillId="3" borderId="11" xfId="5" applyFont="1" applyFill="1" applyBorder="1" applyAlignment="1">
      <alignment horizontal="left" vertical="center"/>
    </xf>
    <xf numFmtId="0" fontId="16" fillId="3" borderId="10" xfId="5" applyFont="1" applyFill="1" applyBorder="1" applyAlignment="1">
      <alignment horizontal="left" vertical="center"/>
    </xf>
    <xf numFmtId="0" fontId="16" fillId="3" borderId="13" xfId="5" applyFont="1" applyFill="1" applyBorder="1" applyAlignment="1">
      <alignment horizontal="left" vertical="center"/>
    </xf>
    <xf numFmtId="0" fontId="16" fillId="3" borderId="14" xfId="5" applyFont="1" applyFill="1" applyBorder="1" applyAlignment="1">
      <alignment horizontal="left" vertical="center"/>
    </xf>
    <xf numFmtId="0" fontId="16" fillId="3" borderId="15" xfId="5" applyFont="1" applyFill="1" applyBorder="1" applyAlignment="1">
      <alignment horizontal="left" vertical="center"/>
    </xf>
    <xf numFmtId="0" fontId="16" fillId="3" borderId="16" xfId="5" applyFont="1" applyFill="1" applyBorder="1" applyAlignment="1">
      <alignment horizontal="center" vertical="center"/>
    </xf>
    <xf numFmtId="0" fontId="16" fillId="3" borderId="5" xfId="5" applyFont="1" applyFill="1" applyBorder="1" applyAlignment="1">
      <alignment horizontal="center" vertical="center"/>
    </xf>
    <xf numFmtId="3" fontId="16" fillId="3" borderId="16" xfId="5" applyNumberFormat="1" applyFont="1" applyFill="1" applyBorder="1" applyAlignment="1">
      <alignment horizontal="center" vertical="center" wrapText="1"/>
    </xf>
    <xf numFmtId="3" fontId="16" fillId="3" borderId="5" xfId="5" applyNumberFormat="1" applyFont="1" applyFill="1" applyBorder="1" applyAlignment="1">
      <alignment horizontal="center" vertical="center" wrapText="1"/>
    </xf>
    <xf numFmtId="0" fontId="20" fillId="0" borderId="4" xfId="5" applyFont="1" applyBorder="1" applyAlignment="1" applyProtection="1">
      <alignment horizontal="left" vertical="top" wrapText="1"/>
      <protection locked="0"/>
    </xf>
    <xf numFmtId="0" fontId="20" fillId="0" borderId="6" xfId="5" applyFont="1" applyBorder="1" applyAlignment="1" applyProtection="1">
      <alignment horizontal="left" vertical="top" wrapText="1"/>
      <protection locked="0"/>
    </xf>
    <xf numFmtId="0" fontId="20" fillId="0" borderId="4" xfId="5" applyFont="1" applyBorder="1" applyAlignment="1" applyProtection="1">
      <alignment horizontal="center" vertical="top" wrapText="1"/>
      <protection locked="0"/>
    </xf>
    <xf numFmtId="0" fontId="20" fillId="0" borderId="6" xfId="5" applyFont="1" applyBorder="1" applyAlignment="1" applyProtection="1">
      <alignment horizontal="center" vertical="top" wrapText="1"/>
      <protection locked="0"/>
    </xf>
    <xf numFmtId="0" fontId="15" fillId="3" borderId="4" xfId="5" applyFont="1" applyFill="1" applyBorder="1" applyAlignment="1">
      <alignment horizontal="center" vertical="center"/>
    </xf>
    <xf numFmtId="0" fontId="15" fillId="3" borderId="7" xfId="5" applyFont="1" applyFill="1" applyBorder="1" applyAlignment="1">
      <alignment horizontal="center" vertical="center"/>
    </xf>
    <xf numFmtId="0" fontId="15" fillId="3" borderId="9" xfId="5" applyFont="1" applyFill="1" applyBorder="1" applyAlignment="1">
      <alignment horizontal="center" vertical="center"/>
    </xf>
    <xf numFmtId="0" fontId="15" fillId="3" borderId="13" xfId="5" applyFont="1" applyFill="1" applyBorder="1" applyAlignment="1">
      <alignment horizontal="center" vertical="center"/>
    </xf>
    <xf numFmtId="0" fontId="15" fillId="3" borderId="11" xfId="5" applyFont="1" applyFill="1" applyBorder="1" applyAlignment="1">
      <alignment horizontal="center" vertical="center"/>
    </xf>
    <xf numFmtId="0" fontId="15" fillId="3" borderId="10" xfId="5" applyFont="1" applyFill="1" applyBorder="1" applyAlignment="1">
      <alignment horizontal="center" vertical="center"/>
    </xf>
    <xf numFmtId="0" fontId="15" fillId="3" borderId="14" xfId="5" applyFont="1" applyFill="1" applyBorder="1" applyAlignment="1">
      <alignment horizontal="center" vertical="center"/>
    </xf>
    <xf numFmtId="0" fontId="15" fillId="3" borderId="15" xfId="5" applyFont="1" applyFill="1" applyBorder="1" applyAlignment="1">
      <alignment horizontal="center" vertical="center"/>
    </xf>
    <xf numFmtId="0" fontId="12" fillId="0" borderId="6" xfId="5" applyFont="1" applyBorder="1" applyAlignment="1" applyProtection="1">
      <alignment horizontal="center" vertical="center" wrapText="1"/>
      <protection locked="0"/>
    </xf>
    <xf numFmtId="0" fontId="12" fillId="0" borderId="7" xfId="5" applyFont="1" applyBorder="1" applyAlignment="1" applyProtection="1">
      <alignment horizontal="center" vertical="center" wrapText="1"/>
      <protection locked="0"/>
    </xf>
    <xf numFmtId="0" fontId="12" fillId="5" borderId="7" xfId="5" applyFont="1" applyFill="1" applyBorder="1" applyAlignment="1" applyProtection="1">
      <alignment horizontal="center" vertical="center" wrapText="1"/>
      <protection locked="0"/>
    </xf>
    <xf numFmtId="0" fontId="12" fillId="5" borderId="9" xfId="5" applyFont="1" applyFill="1" applyBorder="1" applyAlignment="1" applyProtection="1">
      <alignment horizontal="center" vertical="center" wrapText="1"/>
      <protection locked="0"/>
    </xf>
    <xf numFmtId="0" fontId="12" fillId="5" borderId="10" xfId="5" applyFont="1" applyFill="1" applyBorder="1" applyAlignment="1" applyProtection="1">
      <alignment horizontal="center" vertical="center" wrapText="1"/>
      <protection locked="0"/>
    </xf>
    <xf numFmtId="0" fontId="12" fillId="7" borderId="2" xfId="5" applyFont="1" applyFill="1" applyBorder="1" applyAlignment="1" applyProtection="1">
      <alignment horizontal="center"/>
      <protection locked="0"/>
    </xf>
    <xf numFmtId="44" fontId="12" fillId="5" borderId="4" xfId="4" applyFont="1" applyFill="1" applyBorder="1" applyAlignment="1" applyProtection="1">
      <alignment horizontal="center" vertical="center" wrapText="1"/>
    </xf>
    <xf numFmtId="44" fontId="12" fillId="5" borderId="7" xfId="4" applyFont="1" applyFill="1" applyBorder="1" applyAlignment="1" applyProtection="1">
      <alignment horizontal="center" vertical="center" wrapText="1"/>
    </xf>
    <xf numFmtId="0" fontId="12" fillId="5" borderId="14" xfId="5" applyFont="1" applyFill="1" applyBorder="1" applyAlignment="1">
      <alignment horizontal="left"/>
    </xf>
    <xf numFmtId="0" fontId="12" fillId="5" borderId="15" xfId="5" applyFont="1" applyFill="1" applyBorder="1" applyAlignment="1">
      <alignment horizontal="left"/>
    </xf>
    <xf numFmtId="44" fontId="12" fillId="5" borderId="17" xfId="4" applyFont="1" applyFill="1" applyBorder="1" applyAlignment="1" applyProtection="1">
      <alignment horizontal="center" vertical="center" wrapText="1"/>
    </xf>
    <xf numFmtId="44" fontId="12" fillId="5" borderId="19" xfId="4" applyFont="1" applyFill="1" applyBorder="1" applyAlignment="1" applyProtection="1">
      <alignment horizontal="center" vertical="center" wrapText="1"/>
    </xf>
    <xf numFmtId="0" fontId="12" fillId="0" borderId="4" xfId="5" applyFont="1" applyBorder="1" applyAlignment="1">
      <alignment horizontal="left" vertical="center" wrapText="1"/>
    </xf>
    <xf numFmtId="0" fontId="12" fillId="0" borderId="6" xfId="5" applyFont="1" applyBorder="1" applyAlignment="1">
      <alignment horizontal="left" vertical="center" wrapText="1"/>
    </xf>
    <xf numFmtId="0" fontId="12" fillId="0" borderId="7" xfId="5" applyFont="1" applyBorder="1" applyAlignment="1">
      <alignment horizontal="left" vertical="center" wrapText="1"/>
    </xf>
    <xf numFmtId="0" fontId="12" fillId="5" borderId="4" xfId="5" applyFont="1" applyFill="1" applyBorder="1" applyAlignment="1">
      <alignment horizontal="center" vertical="center" wrapText="1"/>
    </xf>
    <xf numFmtId="0" fontId="12" fillId="5" borderId="7" xfId="5" applyFont="1" applyFill="1" applyBorder="1" applyAlignment="1">
      <alignment horizontal="center" vertical="center" wrapText="1"/>
    </xf>
    <xf numFmtId="0" fontId="12" fillId="0" borderId="20" xfId="5" applyFont="1" applyBorder="1" applyAlignment="1">
      <alignment horizontal="left" vertical="center" wrapText="1"/>
    </xf>
    <xf numFmtId="0" fontId="12" fillId="0" borderId="3" xfId="5" applyFont="1" applyBorder="1" applyAlignment="1">
      <alignment horizontal="left" vertical="center" wrapText="1"/>
    </xf>
    <xf numFmtId="0" fontId="12" fillId="0" borderId="21" xfId="5" applyFont="1" applyBorder="1" applyAlignment="1">
      <alignment horizontal="left" vertical="center" wrapText="1"/>
    </xf>
    <xf numFmtId="43" fontId="12" fillId="5" borderId="20" xfId="1" applyFont="1" applyFill="1" applyBorder="1" applyAlignment="1" applyProtection="1">
      <alignment horizontal="center" vertical="center" wrapText="1"/>
    </xf>
    <xf numFmtId="43" fontId="12" fillId="5" borderId="21" xfId="1" applyFont="1" applyFill="1" applyBorder="1" applyAlignment="1" applyProtection="1">
      <alignment horizontal="center" vertical="center" wrapText="1"/>
    </xf>
    <xf numFmtId="44" fontId="12" fillId="5" borderId="20" xfId="4" applyFont="1" applyFill="1" applyBorder="1" applyAlignment="1" applyProtection="1">
      <alignment horizontal="center" vertical="center" wrapText="1"/>
    </xf>
    <xf numFmtId="44" fontId="12" fillId="5" borderId="21" xfId="4" applyFont="1" applyFill="1" applyBorder="1" applyAlignment="1" applyProtection="1">
      <alignment horizontal="center" vertical="center" wrapText="1"/>
    </xf>
    <xf numFmtId="0" fontId="12" fillId="0" borderId="17" xfId="5" applyFont="1" applyBorder="1" applyAlignment="1">
      <alignment horizontal="left" vertical="center" wrapText="1"/>
    </xf>
    <xf numFmtId="0" fontId="12" fillId="0" borderId="18" xfId="5" applyFont="1" applyBorder="1" applyAlignment="1">
      <alignment horizontal="left" vertical="center" wrapText="1"/>
    </xf>
    <xf numFmtId="0" fontId="12" fillId="0" borderId="19" xfId="5" applyFont="1" applyBorder="1" applyAlignment="1">
      <alignment horizontal="left" vertical="center" wrapText="1"/>
    </xf>
    <xf numFmtId="43" fontId="12" fillId="5" borderId="17" xfId="5" applyNumberFormat="1" applyFont="1" applyFill="1" applyBorder="1" applyAlignment="1">
      <alignment horizontal="center" vertical="center" wrapText="1"/>
    </xf>
    <xf numFmtId="43" fontId="12" fillId="5" borderId="19" xfId="5" applyNumberFormat="1" applyFont="1" applyFill="1" applyBorder="1" applyAlignment="1">
      <alignment horizontal="center" vertical="center" wrapText="1"/>
    </xf>
    <xf numFmtId="43" fontId="13" fillId="5" borderId="4" xfId="1" applyFont="1" applyFill="1" applyBorder="1" applyAlignment="1" applyProtection="1">
      <alignment horizontal="center" vertical="center" wrapText="1"/>
    </xf>
    <xf numFmtId="43" fontId="13" fillId="5" borderId="7" xfId="1" applyFont="1" applyFill="1" applyBorder="1" applyAlignment="1" applyProtection="1">
      <alignment horizontal="center" vertical="center" wrapText="1"/>
    </xf>
    <xf numFmtId="44" fontId="13" fillId="5" borderId="4" xfId="4" applyFont="1" applyFill="1" applyBorder="1" applyAlignment="1" applyProtection="1">
      <alignment horizontal="center" vertical="center" wrapText="1"/>
    </xf>
    <xf numFmtId="44" fontId="13" fillId="5" borderId="7" xfId="4" applyFont="1" applyFill="1" applyBorder="1" applyAlignment="1" applyProtection="1">
      <alignment horizontal="center" vertical="center" wrapText="1"/>
    </xf>
    <xf numFmtId="0" fontId="12" fillId="0" borderId="11" xfId="5" applyFont="1" applyBorder="1" applyAlignment="1">
      <alignment horizontal="left" vertical="center" wrapText="1"/>
    </xf>
    <xf numFmtId="165" fontId="21" fillId="6" borderId="11" xfId="5" applyNumberFormat="1" applyFont="1" applyFill="1" applyBorder="1" applyAlignment="1">
      <alignment horizontal="center" vertical="center" wrapText="1"/>
    </xf>
    <xf numFmtId="43" fontId="12" fillId="2" borderId="4" xfId="5" applyNumberFormat="1" applyFont="1" applyFill="1" applyBorder="1" applyAlignment="1">
      <alignment horizontal="center" vertical="center" wrapText="1"/>
    </xf>
    <xf numFmtId="43" fontId="12" fillId="2" borderId="7" xfId="5" applyNumberFormat="1" applyFont="1" applyFill="1" applyBorder="1" applyAlignment="1">
      <alignment horizontal="center" vertical="center" wrapText="1"/>
    </xf>
    <xf numFmtId="10" fontId="21" fillId="6" borderId="4" xfId="5" applyNumberFormat="1" applyFont="1" applyFill="1" applyBorder="1" applyAlignment="1">
      <alignment horizontal="center" vertical="center" wrapText="1"/>
    </xf>
    <xf numFmtId="10" fontId="21" fillId="6" borderId="7" xfId="5" applyNumberFormat="1" applyFont="1" applyFill="1" applyBorder="1" applyAlignment="1">
      <alignment horizontal="center" vertical="center" wrapText="1"/>
    </xf>
    <xf numFmtId="3" fontId="21" fillId="6" borderId="11" xfId="5" applyNumberFormat="1" applyFont="1" applyFill="1" applyBorder="1" applyAlignment="1">
      <alignment horizontal="center" vertical="center" wrapText="1"/>
    </xf>
    <xf numFmtId="4" fontId="21" fillId="6" borderId="11" xfId="5" applyNumberFormat="1" applyFont="1" applyFill="1" applyBorder="1" applyAlignment="1">
      <alignment horizontal="center" vertical="center" wrapText="1"/>
    </xf>
    <xf numFmtId="43" fontId="12" fillId="0" borderId="4" xfId="5" applyNumberFormat="1" applyFont="1" applyBorder="1" applyAlignment="1">
      <alignment horizontal="center" vertical="center" wrapText="1"/>
    </xf>
    <xf numFmtId="43" fontId="12" fillId="0" borderId="7" xfId="5" applyNumberFormat="1" applyFont="1" applyBorder="1" applyAlignment="1">
      <alignment horizontal="center" vertical="center" wrapText="1"/>
    </xf>
  </cellXfs>
  <cellStyles count="10">
    <cellStyle name="Hipervínculo" xfId="7" builtinId="8"/>
    <cellStyle name="Millares" xfId="1" builtinId="3"/>
    <cellStyle name="Millares [0]" xfId="2" builtinId="6"/>
    <cellStyle name="Millares 2" xfId="3" xr:uid="{00000000-0005-0000-0000-000003000000}"/>
    <cellStyle name="Moneda" xfId="4" builtinId="4"/>
    <cellStyle name="Moneda [0] 2" xfId="9" xr:uid="{00000000-0005-0000-0000-000005000000}"/>
    <cellStyle name="Moneda 2" xfId="6" xr:uid="{00000000-0005-0000-0000-000006000000}"/>
    <cellStyle name="Normal" xfId="0" builtinId="0"/>
    <cellStyle name="Normal 2 2" xfId="5" xr:uid="{00000000-0005-0000-0000-000008000000}"/>
    <cellStyle name="Normal 3" xfId="8" xr:uid="{00000000-0005-0000-0000-00000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externalLink" Target="externalLinks/externalLink8.xml"/><Relationship Id="rId2" Type="http://schemas.openxmlformats.org/officeDocument/2006/relationships/worksheet" Target="worksheets/sheet2.xml"/><Relationship Id="rId16" Type="http://schemas.openxmlformats.org/officeDocument/2006/relationships/externalLink" Target="externalLinks/externalLink7.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externalLink" Target="externalLinks/externalLink6.xml"/><Relationship Id="rId23" Type="http://schemas.openxmlformats.org/officeDocument/2006/relationships/customXml" Target="../customXml/item2.xml"/><Relationship Id="rId10" Type="http://schemas.openxmlformats.org/officeDocument/2006/relationships/externalLink" Target="externalLinks/externalLink1.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 Id="rId22"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KAREN%20GALVIS\Downloads\plan%20de%20trabajo%201006%202023%20(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ART%20-%20SDE\Proyecto%20ARN%20Anor&#237;\Comparativo%20cotizaciones%20(2da%20versi&#243;n).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ART%20-%20SDE\Proyecto%20ap&#237;cola%20Anor&#237;%20FCP%202025\1.Presupuesto%20y%20Memorias%20cantidades%20Anori%20%20(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ART%20-%20SDE\Proyecto%20ap&#237;cola%20Anor&#237;%20FCP%202025\Presupuesto%20(obras)%20%20y%20Memorias%20Anori%20(2025).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afmon\AppData\Local\Temp\d47aca6f-b491-45b4-94df-50a4c7e684ed_Radicaci&#243;n%201%20agosto%20Silvopastoril%20Anor&#237;.zip.4ed\19.%202.%20Presupuesto%20y%20Costos%20de%20Implementaci&#243;n%20radicado.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Usuario\Downloads\PRESUPUESTO%20EDIFICACI&#211;N%20VICHE.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ART%20-%20SDE\Proyecto%20ARN%20Anor&#237;\Comparativo%20cotizaciones.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ART%20-%20SDE\Proyecto%20ARN%20Anor&#237;\Comparativo%20cotizaciones%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trabajo"/>
      <sheetName val="costos proyectos"/>
      <sheetName val="Análisis costos proceso "/>
      <sheetName val="Tiempos "/>
      <sheetName val="Línea Proy Vs Convenio"/>
    </sheetNames>
    <sheetDataSet>
      <sheetData sheetId="0">
        <row r="3">
          <cell r="E3">
            <v>45247</v>
          </cell>
        </row>
        <row r="4">
          <cell r="E4">
            <v>1</v>
          </cell>
        </row>
      </sheetData>
      <sheetData sheetId="1"/>
      <sheetData sheetId="2"/>
      <sheetData sheetId="3"/>
      <sheetData sheetId="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cotizaciones"/>
    </sheetNames>
    <sheetDataSet>
      <sheetData sheetId="0">
        <row r="12">
          <cell r="A12" t="str">
            <v>AHUMADOR</v>
          </cell>
          <cell r="B12" t="str">
            <v>Ahumador en coll rolled, pintado con pintura electrostatica, salida en boca de pato</v>
          </cell>
        </row>
        <row r="19">
          <cell r="B19" t="str">
            <v>Varilla corrugada de 12mm x 6m, cortada en 4 partes de 1,5m</v>
          </cell>
        </row>
        <row r="20">
          <cell r="B20" t="str">
            <v>Embudo en plástico pequeño</v>
          </cell>
        </row>
        <row r="22">
          <cell r="B22" t="str">
            <v>Tenedor desoperculador con mango en plástico y 18 dientes en acero inoxidable</v>
          </cell>
        </row>
        <row r="34">
          <cell r="A34" t="str">
            <v>CUÑETES PLASTICOS</v>
          </cell>
          <cell r="B34" t="str">
            <v>Para alimentos, envase pástico blanco para alimentos, material polietileno de alta densidad con precintos de seguridad, tapa ancha y manija con capacidad de 5 galones</v>
          </cell>
        </row>
        <row r="35">
          <cell r="I35">
            <v>4833333</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BRA"/>
      <sheetName val="INSUMOS"/>
      <sheetName val="MANO DE OBRA"/>
      <sheetName val="BASICOS"/>
      <sheetName val="APU 1"/>
      <sheetName val="APU 2"/>
      <sheetName val="APU 3"/>
      <sheetName val="APU 4 "/>
      <sheetName val="APU 5"/>
      <sheetName val="APU 9"/>
      <sheetName val="APU 12"/>
      <sheetName val="Cantidad de obra 1 "/>
      <sheetName val="Cantidad de obra 2"/>
      <sheetName val="Cantidad de obra 9"/>
      <sheetName val="Cantidad de obra 10"/>
      <sheetName val="Cantidad de obra 11"/>
      <sheetName val="Cantidad de obra 12"/>
      <sheetName val="AIU"/>
      <sheetName val="CRONOGRAMA."/>
    </sheetNames>
    <sheetDataSet>
      <sheetData sheetId="0">
        <row r="18">
          <cell r="E18">
            <v>44698895</v>
          </cell>
        </row>
        <row r="58">
          <cell r="H58">
            <v>36535747</v>
          </cell>
          <cell r="I58">
            <v>191333212</v>
          </cell>
          <cell r="J58">
            <v>79913678</v>
          </cell>
        </row>
      </sheetData>
      <sheetData sheetId="1">
        <row r="10">
          <cell r="H10">
            <v>44698895</v>
          </cell>
        </row>
        <row r="27">
          <cell r="H27">
            <v>6917756.0949999997</v>
          </cell>
        </row>
        <row r="29">
          <cell r="H29">
            <v>98663.692999999999</v>
          </cell>
        </row>
        <row r="30">
          <cell r="H30">
            <v>271930.08600000001</v>
          </cell>
        </row>
        <row r="31">
          <cell r="H31">
            <v>10355.628999999999</v>
          </cell>
        </row>
        <row r="32">
          <cell r="H32">
            <v>1680644.7829999998</v>
          </cell>
        </row>
        <row r="33">
          <cell r="H33">
            <v>946.9</v>
          </cell>
        </row>
        <row r="35">
          <cell r="H35">
            <v>9348.1819999999989</v>
          </cell>
        </row>
        <row r="36">
          <cell r="H36">
            <v>24209.282999999999</v>
          </cell>
        </row>
      </sheetData>
      <sheetData sheetId="2"/>
      <sheetData sheetId="3"/>
      <sheetData sheetId="4">
        <row r="24">
          <cell r="N24">
            <v>7546</v>
          </cell>
        </row>
        <row r="46">
          <cell r="N46">
            <v>8148</v>
          </cell>
        </row>
        <row r="68">
          <cell r="N68">
            <v>7382</v>
          </cell>
        </row>
      </sheetData>
      <sheetData sheetId="5">
        <row r="22">
          <cell r="N22">
            <v>33939</v>
          </cell>
        </row>
        <row r="46">
          <cell r="N46">
            <v>155311</v>
          </cell>
        </row>
        <row r="69">
          <cell r="N69">
            <v>7629.3594277499997</v>
          </cell>
        </row>
      </sheetData>
      <sheetData sheetId="6"/>
      <sheetData sheetId="7">
        <row r="27">
          <cell r="N27">
            <v>47708</v>
          </cell>
        </row>
        <row r="53">
          <cell r="N53">
            <v>9729405</v>
          </cell>
        </row>
        <row r="83">
          <cell r="M83">
            <v>761852.85652500018</v>
          </cell>
        </row>
        <row r="109">
          <cell r="M109">
            <v>96958.706212500008</v>
          </cell>
        </row>
      </sheetData>
      <sheetData sheetId="8"/>
      <sheetData sheetId="9">
        <row r="24">
          <cell r="N24">
            <v>7546</v>
          </cell>
        </row>
        <row r="46">
          <cell r="N46">
            <v>8148</v>
          </cell>
        </row>
        <row r="68">
          <cell r="N68">
            <v>7382</v>
          </cell>
        </row>
      </sheetData>
      <sheetData sheetId="10">
        <row r="31">
          <cell r="N31">
            <v>129312</v>
          </cell>
        </row>
        <row r="53">
          <cell r="N53">
            <v>7382</v>
          </cell>
        </row>
      </sheetData>
      <sheetData sheetId="11">
        <row r="18">
          <cell r="J18">
            <v>142.64600000000002</v>
          </cell>
        </row>
        <row r="31">
          <cell r="J31">
            <v>142.64600000000002</v>
          </cell>
        </row>
        <row r="45">
          <cell r="J45">
            <v>28.529200000000003</v>
          </cell>
        </row>
        <row r="58">
          <cell r="J58">
            <v>28.529200000000003</v>
          </cell>
        </row>
      </sheetData>
      <sheetData sheetId="12">
        <row r="18">
          <cell r="J18">
            <v>142.64600000000002</v>
          </cell>
        </row>
        <row r="31">
          <cell r="J31">
            <v>142.64600000000002</v>
          </cell>
        </row>
        <row r="45">
          <cell r="J45">
            <v>128.38140000000001</v>
          </cell>
        </row>
      </sheetData>
      <sheetData sheetId="13">
        <row r="18">
          <cell r="J18">
            <v>252.37470000000002</v>
          </cell>
        </row>
        <row r="37">
          <cell r="J37">
            <v>252.37470000000002</v>
          </cell>
        </row>
        <row r="54">
          <cell r="J54">
            <v>1.08</v>
          </cell>
        </row>
      </sheetData>
      <sheetData sheetId="14">
        <row r="18">
          <cell r="J18">
            <v>40</v>
          </cell>
        </row>
        <row r="75">
          <cell r="J75">
            <v>98</v>
          </cell>
        </row>
        <row r="94">
          <cell r="J94">
            <v>252.37470000000002</v>
          </cell>
        </row>
      </sheetData>
      <sheetData sheetId="15">
        <row r="18">
          <cell r="J18">
            <v>98</v>
          </cell>
        </row>
        <row r="37">
          <cell r="J37">
            <v>490</v>
          </cell>
        </row>
      </sheetData>
      <sheetData sheetId="16">
        <row r="18">
          <cell r="J18">
            <v>445</v>
          </cell>
        </row>
        <row r="37">
          <cell r="J37">
            <v>66.75</v>
          </cell>
        </row>
      </sheetData>
      <sheetData sheetId="17">
        <row r="34">
          <cell r="I34">
            <v>0.19280720981916943</v>
          </cell>
        </row>
      </sheetData>
      <sheetData sheetId="18"/>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BRA"/>
      <sheetName val="INSUMOS"/>
      <sheetName val="MANO DE OBRA"/>
      <sheetName val="BASICOS"/>
      <sheetName val="APU 1"/>
      <sheetName val="APU 2"/>
      <sheetName val="APU 3"/>
      <sheetName val="APU 4 "/>
      <sheetName val="APU 5"/>
      <sheetName val="APU 9"/>
      <sheetName val="APU 12"/>
      <sheetName val="Cantidad de obra 1 "/>
      <sheetName val="Cantidad de obra 2"/>
      <sheetName val="Cantidad de obra 9"/>
      <sheetName val="Cantidad de obra 10"/>
      <sheetName val="Cantidad de obra 11"/>
      <sheetName val="Cantidad de obra 12"/>
      <sheetName val="AIU"/>
      <sheetName val="CRONOGRAMA."/>
    </sheetNames>
    <sheetDataSet>
      <sheetData sheetId="0">
        <row r="19">
          <cell r="E19">
            <v>6319016.5999999996</v>
          </cell>
        </row>
        <row r="22">
          <cell r="E22">
            <v>9042850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VF"/>
      <sheetName val="Flujo de caja - Contrapartida"/>
      <sheetName val="Flujo de caja ART"/>
      <sheetName val="Análisis costos proceso  (2)"/>
      <sheetName val="Desembolsos"/>
      <sheetName val="Desembolso contrapartida"/>
    </sheetNames>
    <sheetDataSet>
      <sheetData sheetId="0" refreshError="1"/>
      <sheetData sheetId="1" refreshError="1"/>
      <sheetData sheetId="2" refreshError="1"/>
      <sheetData sheetId="3" refreshError="1">
        <row r="11">
          <cell r="H11">
            <v>5396009</v>
          </cell>
        </row>
        <row r="12">
          <cell r="H12">
            <v>2000000</v>
          </cell>
        </row>
        <row r="13">
          <cell r="H13">
            <v>2000000</v>
          </cell>
        </row>
      </sheetData>
      <sheetData sheetId="4" refreshError="1"/>
      <sheetData sheetId="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amp;D"/>
      <sheetName val="FM"/>
      <sheetName val="MANO DE OBRA"/>
      <sheetName val="BÁSICOS"/>
      <sheetName val="APU 1"/>
      <sheetName val="APU 2"/>
      <sheetName val="APU 3"/>
      <sheetName val="APU 4"/>
      <sheetName val="APU 5"/>
      <sheetName val="APU 6"/>
      <sheetName val="APU 7"/>
      <sheetName val="APU 8"/>
      <sheetName val="APU 9"/>
      <sheetName val="APU 10"/>
      <sheetName val="INSUMOS"/>
      <sheetName val="PRESUPUESTO OBRA"/>
      <sheetName val="CANT. 1 y 2"/>
      <sheetName val="PLAN HSEQ"/>
      <sheetName val="CANT. 3"/>
      <sheetName val="CANT. 4"/>
      <sheetName val="CANT. 5"/>
      <sheetName val="CANT. 6"/>
      <sheetName val="CANT. 9"/>
      <sheetName val="CRONOGRAMA"/>
      <sheetName val="PERSONAL"/>
      <sheetName val="AIU"/>
    </sheetNames>
    <sheetDataSet>
      <sheetData sheetId="0"/>
      <sheetData sheetId="1"/>
      <sheetData sheetId="2">
        <row r="15">
          <cell r="E15">
            <v>84175.000000000015</v>
          </cell>
        </row>
      </sheetData>
      <sheetData sheetId="3"/>
      <sheetData sheetId="4">
        <row r="90">
          <cell r="M90">
            <v>1882</v>
          </cell>
        </row>
      </sheetData>
      <sheetData sheetId="5"/>
      <sheetData sheetId="6"/>
      <sheetData sheetId="7"/>
      <sheetData sheetId="8"/>
      <sheetData sheetId="9"/>
      <sheetData sheetId="10"/>
      <sheetData sheetId="11">
        <row r="17">
          <cell r="J17">
            <v>6161</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ow r="3">
          <cell r="A3" t="str">
            <v>MEDIA ALZA</v>
          </cell>
        </row>
        <row r="4">
          <cell r="A4" t="str">
            <v>PIQUERA</v>
          </cell>
        </row>
        <row r="5">
          <cell r="A5" t="str">
            <v>ALZA PROFUNDA</v>
          </cell>
        </row>
        <row r="6">
          <cell r="A6" t="str">
            <v>TECHO</v>
          </cell>
        </row>
        <row r="7">
          <cell r="A7" t="str">
            <v>EXCLUIDOR</v>
          </cell>
        </row>
        <row r="8">
          <cell r="A8" t="str">
            <v xml:space="preserve">LÁMINA DE CERA </v>
          </cell>
        </row>
        <row r="9">
          <cell r="A9" t="str">
            <v>MARCO ALAMBRADO</v>
          </cell>
        </row>
        <row r="10">
          <cell r="A10" t="str">
            <v>ENTRETAPA</v>
          </cell>
        </row>
        <row r="11">
          <cell r="A11" t="str">
            <v>MATERIAL BIOLÓGICO</v>
          </cell>
        </row>
        <row r="13">
          <cell r="A13" t="str">
            <v>TRAJE APÍCOLA</v>
          </cell>
        </row>
        <row r="14">
          <cell r="A14" t="str">
            <v>GANCHO PALANCA</v>
          </cell>
        </row>
        <row r="15">
          <cell r="A15" t="str">
            <v xml:space="preserve">CENTRIFUGA </v>
          </cell>
        </row>
        <row r="16">
          <cell r="A16" t="str">
            <v>TOLDILLO</v>
          </cell>
        </row>
        <row r="19">
          <cell r="A19" t="str">
            <v>VARILLA</v>
          </cell>
        </row>
        <row r="20">
          <cell r="A20" t="str">
            <v>EMBUDO</v>
          </cell>
        </row>
        <row r="21">
          <cell r="A21" t="str">
            <v>CUCHILLO DESOPERCULADOR</v>
          </cell>
        </row>
        <row r="22">
          <cell r="A22" t="str">
            <v>TENEDOR DESOPERCULADOR</v>
          </cell>
        </row>
        <row r="23">
          <cell r="A23" t="str">
            <v>FILTRO DOBLE</v>
          </cell>
        </row>
        <row r="24">
          <cell r="A24" t="str">
            <v xml:space="preserve">BANDEJA </v>
          </cell>
        </row>
        <row r="25">
          <cell r="A25" t="str">
            <v>TANQUE DECANTADOR</v>
          </cell>
        </row>
        <row r="26">
          <cell r="A26" t="str">
            <v>MARCO DE SEGUETA</v>
          </cell>
        </row>
        <row r="27">
          <cell r="A27" t="str">
            <v>CABLE</v>
          </cell>
        </row>
        <row r="28">
          <cell r="A28" t="str">
            <v>CALENTADOR DE AGUA</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cotizaciones"/>
    </sheetNames>
    <sheetDataSet>
      <sheetData sheetId="0">
        <row r="3">
          <cell r="I3">
            <v>46666.666666666664</v>
          </cell>
        </row>
        <row r="29">
          <cell r="A29" t="str">
            <v>CINTA</v>
          </cell>
        </row>
        <row r="30">
          <cell r="A30" t="str">
            <v>SEGUETA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hyperlink" Target="file:///C:\Users\william.mon\Downloads\Cotizaciones%20Homecenter.docx" TargetMode="External"/><Relationship Id="rId7" Type="http://schemas.openxmlformats.org/officeDocument/2006/relationships/vmlDrawing" Target="../drawings/vmlDrawing1.vml"/><Relationship Id="rId2" Type="http://schemas.openxmlformats.org/officeDocument/2006/relationships/hyperlink" Target="file:///C:\Users\william.mon\Downloads\Cotizaciones%20p&#225;gina%20WEB.docx" TargetMode="External"/><Relationship Id="rId1" Type="http://schemas.openxmlformats.org/officeDocument/2006/relationships/hyperlink" Target="file:///C:\Users\william.mon\Downloads\12.%20Cotizaci&#243;n%20Equipo%20Aceites%20esenciales%202%20(1)%20(1).pdf" TargetMode="External"/><Relationship Id="rId6" Type="http://schemas.openxmlformats.org/officeDocument/2006/relationships/printerSettings" Target="../printerSettings/printerSettings2.bin"/><Relationship Id="rId5" Type="http://schemas.openxmlformats.org/officeDocument/2006/relationships/hyperlink" Target="1.%20Cotizaci&#243;n%20Apicultura%20SAS%202025.pdf" TargetMode="External"/><Relationship Id="rId4" Type="http://schemas.openxmlformats.org/officeDocument/2006/relationships/hyperlink" Target="3.%20Cotizaci&#243;n%20Fibrarte%202025.pdf"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sheetPr>
  <dimension ref="A1:L97"/>
  <sheetViews>
    <sheetView topLeftCell="A73" zoomScale="120" zoomScaleNormal="120" workbookViewId="0">
      <selection activeCell="E66" sqref="E66"/>
    </sheetView>
  </sheetViews>
  <sheetFormatPr baseColWidth="10" defaultColWidth="13.7109375" defaultRowHeight="11.25" x14ac:dyDescent="0.2"/>
  <cols>
    <col min="1" max="1" width="13.42578125" style="224" customWidth="1"/>
    <col min="2" max="2" width="35.7109375" style="224" customWidth="1"/>
    <col min="3" max="3" width="10.28515625" style="224" hidden="1" customWidth="1"/>
    <col min="4" max="4" width="7.42578125" style="225" customWidth="1"/>
    <col min="5" max="5" width="11" style="226" bestFit="1" customWidth="1"/>
    <col min="6" max="6" width="11" style="226" customWidth="1"/>
    <col min="7" max="7" width="8.7109375" style="227" customWidth="1"/>
    <col min="8" max="8" width="10.85546875" style="233" bestFit="1" customWidth="1"/>
    <col min="9" max="9" width="15.28515625" style="212" bestFit="1" customWidth="1"/>
    <col min="10" max="10" width="13.7109375" style="212" bestFit="1" customWidth="1"/>
    <col min="11" max="250" width="13" style="212" customWidth="1"/>
    <col min="251" max="251" width="26.5703125" style="212" bestFit="1" customWidth="1"/>
    <col min="252" max="253" width="13" style="212" customWidth="1"/>
    <col min="254" max="254" width="14.7109375" style="212" customWidth="1"/>
    <col min="255" max="16384" width="13.7109375" style="212"/>
  </cols>
  <sheetData>
    <row r="1" spans="1:12" x14ac:dyDescent="0.2">
      <c r="D1" s="225">
        <v>13</v>
      </c>
      <c r="K1" s="212">
        <v>57</v>
      </c>
    </row>
    <row r="2" spans="1:12" ht="22.5" x14ac:dyDescent="0.2">
      <c r="A2" s="353" t="s">
        <v>117</v>
      </c>
      <c r="B2" s="353" t="s">
        <v>152</v>
      </c>
      <c r="C2" s="354" t="s">
        <v>118</v>
      </c>
      <c r="D2" s="355" t="s">
        <v>119</v>
      </c>
      <c r="E2" s="353" t="s">
        <v>23</v>
      </c>
      <c r="F2" s="353" t="s">
        <v>260</v>
      </c>
      <c r="G2" s="353" t="s">
        <v>297</v>
      </c>
      <c r="H2" s="356" t="s">
        <v>38</v>
      </c>
      <c r="I2" s="357" t="s">
        <v>263</v>
      </c>
      <c r="J2" s="357" t="s">
        <v>264</v>
      </c>
    </row>
    <row r="3" spans="1:12" ht="39.950000000000003" customHeight="1" x14ac:dyDescent="0.2">
      <c r="A3" s="358" t="str">
        <f>+'MTF_APICULTURA (10+45)'!B39</f>
        <v>MATERIAL BIOLÓGICO</v>
      </c>
      <c r="B3" s="217" t="s">
        <v>138</v>
      </c>
      <c r="C3" s="219" t="s">
        <v>49</v>
      </c>
      <c r="D3" s="220">
        <f>+$D$1</f>
        <v>13</v>
      </c>
      <c r="E3" s="213">
        <f>+'MTF_APICULTURA (10+45)'!G39</f>
        <v>270000</v>
      </c>
      <c r="F3" s="213">
        <f>+E3*D3</f>
        <v>3510000</v>
      </c>
      <c r="G3" s="221">
        <f>+$K$1</f>
        <v>57</v>
      </c>
      <c r="H3" s="359">
        <f>+G3*E3*D3</f>
        <v>200070000</v>
      </c>
      <c r="I3" s="360">
        <f>+H3-J3</f>
        <v>156620000</v>
      </c>
      <c r="J3" s="360">
        <v>43450000</v>
      </c>
      <c r="L3" s="229"/>
    </row>
    <row r="4" spans="1:12" ht="15" customHeight="1" x14ac:dyDescent="0.2">
      <c r="A4" s="212"/>
      <c r="B4" s="484" t="s">
        <v>121</v>
      </c>
      <c r="C4" s="485"/>
      <c r="D4" s="485"/>
      <c r="E4" s="485"/>
      <c r="F4" s="485"/>
      <c r="G4" s="486"/>
      <c r="H4" s="338">
        <f>SUM(H3:H3)</f>
        <v>200070000</v>
      </c>
      <c r="I4" s="420">
        <f t="shared" ref="I4:J4" si="0">SUM(I3:I3)</f>
        <v>156620000</v>
      </c>
      <c r="J4" s="420">
        <f t="shared" si="0"/>
        <v>43450000</v>
      </c>
    </row>
    <row r="5" spans="1:12" x14ac:dyDescent="0.2">
      <c r="A5" s="212"/>
      <c r="B5" s="212"/>
      <c r="C5" s="212"/>
      <c r="D5" s="362"/>
      <c r="E5" s="235"/>
      <c r="F5" s="235"/>
      <c r="G5" s="363"/>
      <c r="H5" s="364"/>
    </row>
    <row r="6" spans="1:12" ht="22.5" x14ac:dyDescent="0.2">
      <c r="A6" s="353" t="s">
        <v>122</v>
      </c>
      <c r="B6" s="353" t="s">
        <v>152</v>
      </c>
      <c r="C6" s="354" t="s">
        <v>118</v>
      </c>
      <c r="D6" s="365" t="s">
        <v>119</v>
      </c>
      <c r="E6" s="354" t="s">
        <v>23</v>
      </c>
      <c r="F6" s="353" t="s">
        <v>260</v>
      </c>
      <c r="G6" s="354" t="s">
        <v>120</v>
      </c>
      <c r="H6" s="366" t="s">
        <v>38</v>
      </c>
      <c r="I6" s="357" t="s">
        <v>38</v>
      </c>
      <c r="J6" s="357" t="s">
        <v>38</v>
      </c>
    </row>
    <row r="7" spans="1:12" ht="22.5" x14ac:dyDescent="0.2">
      <c r="A7" s="358" t="str">
        <f>+'MTF_APICULTURA (10+45)'!B31</f>
        <v>MEDIA ALZA</v>
      </c>
      <c r="B7" s="217" t="s">
        <v>139</v>
      </c>
      <c r="C7" s="219" t="s">
        <v>49</v>
      </c>
      <c r="D7" s="220">
        <f t="shared" ref="D7:D11" si="1">+$D$1</f>
        <v>13</v>
      </c>
      <c r="E7" s="213">
        <f>+'MTF_APICULTURA (10+45)'!G31</f>
        <v>35000</v>
      </c>
      <c r="F7" s="213">
        <f>+E7*D7</f>
        <v>455000</v>
      </c>
      <c r="G7" s="221">
        <f>+$K$1</f>
        <v>57</v>
      </c>
      <c r="H7" s="359">
        <f>+D7*E7*G7</f>
        <v>25935000</v>
      </c>
      <c r="I7" s="367">
        <f>+H7</f>
        <v>25935000</v>
      </c>
      <c r="J7" s="368"/>
    </row>
    <row r="8" spans="1:12" ht="33.75" x14ac:dyDescent="0.2">
      <c r="A8" s="358" t="str">
        <f>+'MTF_APICULTURA (10+45)'!B32</f>
        <v>PIQUERA</v>
      </c>
      <c r="B8" s="217" t="s">
        <v>140</v>
      </c>
      <c r="C8" s="219" t="s">
        <v>49</v>
      </c>
      <c r="D8" s="220">
        <f t="shared" si="1"/>
        <v>13</v>
      </c>
      <c r="E8" s="213">
        <f>+'MTF_APICULTURA (10+45)'!G32</f>
        <v>30000</v>
      </c>
      <c r="F8" s="213">
        <f t="shared" ref="F8:F14" si="2">+E8*D8</f>
        <v>390000</v>
      </c>
      <c r="G8" s="221">
        <f t="shared" ref="G8:G14" si="3">+$K$1</f>
        <v>57</v>
      </c>
      <c r="H8" s="359">
        <f t="shared" ref="H8:H14" si="4">+D8*E8*G8</f>
        <v>22230000</v>
      </c>
      <c r="I8" s="367">
        <f t="shared" ref="I8:I14" si="5">+H8</f>
        <v>22230000</v>
      </c>
      <c r="J8" s="368"/>
    </row>
    <row r="9" spans="1:12" ht="22.5" x14ac:dyDescent="0.2">
      <c r="A9" s="358" t="str">
        <f>+'MTF_APICULTURA (10+45)'!B33</f>
        <v>ALZA PROFUNDA</v>
      </c>
      <c r="B9" s="217" t="s">
        <v>141</v>
      </c>
      <c r="C9" s="219" t="s">
        <v>49</v>
      </c>
      <c r="D9" s="220">
        <f t="shared" si="1"/>
        <v>13</v>
      </c>
      <c r="E9" s="213">
        <f>+'MTF_APICULTURA (10+45)'!G33</f>
        <v>47000</v>
      </c>
      <c r="F9" s="213">
        <f t="shared" si="2"/>
        <v>611000</v>
      </c>
      <c r="G9" s="221">
        <f t="shared" si="3"/>
        <v>57</v>
      </c>
      <c r="H9" s="359">
        <f t="shared" si="4"/>
        <v>34827000</v>
      </c>
      <c r="I9" s="367">
        <f t="shared" si="5"/>
        <v>34827000</v>
      </c>
      <c r="J9" s="368"/>
    </row>
    <row r="10" spans="1:12" ht="22.5" x14ac:dyDescent="0.2">
      <c r="A10" s="358" t="str">
        <f>+'MTF_APICULTURA (10+45)'!B34</f>
        <v>TECHO</v>
      </c>
      <c r="B10" s="217" t="s">
        <v>142</v>
      </c>
      <c r="C10" s="219" t="s">
        <v>49</v>
      </c>
      <c r="D10" s="220">
        <f t="shared" si="1"/>
        <v>13</v>
      </c>
      <c r="E10" s="213">
        <f>+'MTF_APICULTURA (10+45)'!G34</f>
        <v>36000</v>
      </c>
      <c r="F10" s="213">
        <f t="shared" si="2"/>
        <v>468000</v>
      </c>
      <c r="G10" s="221">
        <f t="shared" si="3"/>
        <v>57</v>
      </c>
      <c r="H10" s="359">
        <f t="shared" si="4"/>
        <v>26676000</v>
      </c>
      <c r="I10" s="367">
        <f t="shared" si="5"/>
        <v>26676000</v>
      </c>
      <c r="J10" s="368"/>
    </row>
    <row r="11" spans="1:12" ht="33.75" x14ac:dyDescent="0.2">
      <c r="A11" s="358" t="str">
        <f>+'MTF_APICULTURA (10+45)'!B35</f>
        <v>EXCLUIDOR</v>
      </c>
      <c r="B11" s="217" t="s">
        <v>143</v>
      </c>
      <c r="C11" s="219" t="s">
        <v>49</v>
      </c>
      <c r="D11" s="220">
        <f t="shared" si="1"/>
        <v>13</v>
      </c>
      <c r="E11" s="213">
        <f>+'MTF_APICULTURA (10+45)'!G35</f>
        <v>22000</v>
      </c>
      <c r="F11" s="213">
        <f t="shared" si="2"/>
        <v>286000</v>
      </c>
      <c r="G11" s="221">
        <f t="shared" si="3"/>
        <v>57</v>
      </c>
      <c r="H11" s="359">
        <f t="shared" si="4"/>
        <v>16302000</v>
      </c>
      <c r="I11" s="367">
        <f t="shared" si="5"/>
        <v>16302000</v>
      </c>
      <c r="J11" s="368"/>
    </row>
    <row r="12" spans="1:12" ht="33.75" x14ac:dyDescent="0.2">
      <c r="A12" s="358" t="str">
        <f>+'MTF_APICULTURA (10+45)'!B36</f>
        <v xml:space="preserve">LÁMINA DE CERA </v>
      </c>
      <c r="B12" s="217" t="s">
        <v>144</v>
      </c>
      <c r="C12" s="219" t="s">
        <v>49</v>
      </c>
      <c r="D12" s="220">
        <f>$D$1*15</f>
        <v>195</v>
      </c>
      <c r="E12" s="213">
        <f>+'MTF_APICULTURA (10+45)'!G36</f>
        <v>3750</v>
      </c>
      <c r="F12" s="213">
        <f t="shared" si="2"/>
        <v>731250</v>
      </c>
      <c r="G12" s="221">
        <f t="shared" si="3"/>
        <v>57</v>
      </c>
      <c r="H12" s="359">
        <f t="shared" si="4"/>
        <v>41681250</v>
      </c>
      <c r="I12" s="367">
        <f t="shared" si="5"/>
        <v>41681250</v>
      </c>
      <c r="J12" s="368"/>
    </row>
    <row r="13" spans="1:12" ht="22.5" x14ac:dyDescent="0.2">
      <c r="A13" s="358" t="str">
        <f>+'MTF_APICULTURA (10+45)'!B37</f>
        <v>MARCO ALAMBRADO</v>
      </c>
      <c r="B13" s="217" t="s">
        <v>145</v>
      </c>
      <c r="C13" s="219" t="s">
        <v>49</v>
      </c>
      <c r="D13" s="220">
        <f>$D$1*15</f>
        <v>195</v>
      </c>
      <c r="E13" s="213">
        <f>+'MTF_APICULTURA (10+45)'!G37</f>
        <v>4300</v>
      </c>
      <c r="F13" s="213">
        <f t="shared" si="2"/>
        <v>838500</v>
      </c>
      <c r="G13" s="221">
        <f t="shared" si="3"/>
        <v>57</v>
      </c>
      <c r="H13" s="359">
        <f t="shared" si="4"/>
        <v>47794500</v>
      </c>
      <c r="I13" s="367">
        <f t="shared" si="5"/>
        <v>47794500</v>
      </c>
      <c r="J13" s="368"/>
    </row>
    <row r="14" spans="1:12" ht="22.5" x14ac:dyDescent="0.2">
      <c r="A14" s="358" t="str">
        <f>+'MTF_APICULTURA (10+45)'!B38</f>
        <v>ENTRETAPA</v>
      </c>
      <c r="B14" s="217" t="s">
        <v>146</v>
      </c>
      <c r="C14" s="219" t="s">
        <v>49</v>
      </c>
      <c r="D14" s="220">
        <f>+$D$1</f>
        <v>13</v>
      </c>
      <c r="E14" s="213">
        <f>+'MTF_APICULTURA (10+45)'!G38</f>
        <v>23000</v>
      </c>
      <c r="F14" s="213">
        <f t="shared" si="2"/>
        <v>299000</v>
      </c>
      <c r="G14" s="221">
        <f t="shared" si="3"/>
        <v>57</v>
      </c>
      <c r="H14" s="359">
        <f t="shared" si="4"/>
        <v>17043000</v>
      </c>
      <c r="I14" s="367">
        <f t="shared" si="5"/>
        <v>17043000</v>
      </c>
      <c r="J14" s="368"/>
    </row>
    <row r="15" spans="1:12" x14ac:dyDescent="0.2">
      <c r="A15" s="353" t="s">
        <v>123</v>
      </c>
      <c r="B15" s="484" t="s">
        <v>152</v>
      </c>
      <c r="C15" s="485"/>
      <c r="D15" s="485"/>
      <c r="E15" s="485"/>
      <c r="F15" s="485"/>
      <c r="G15" s="485"/>
      <c r="H15" s="486"/>
      <c r="I15" s="368"/>
      <c r="J15" s="368"/>
    </row>
    <row r="16" spans="1:12" ht="22.5" x14ac:dyDescent="0.2">
      <c r="A16" s="358" t="str">
        <f>+'MTF_APICULTURA (10+45)'!B91</f>
        <v>TOLDILLO</v>
      </c>
      <c r="B16" s="217" t="s">
        <v>389</v>
      </c>
      <c r="C16" s="219" t="s">
        <v>22</v>
      </c>
      <c r="D16" s="220">
        <v>5</v>
      </c>
      <c r="E16" s="213">
        <f>+'MTF_APICULTURA (10+45)'!G91</f>
        <v>325000</v>
      </c>
      <c r="F16" s="213"/>
      <c r="G16" s="221"/>
      <c r="H16" s="359">
        <f>+E16*D16</f>
        <v>1625000</v>
      </c>
      <c r="I16" s="367">
        <f t="shared" ref="I16:I20" si="6">+H16</f>
        <v>1625000</v>
      </c>
      <c r="J16" s="368"/>
    </row>
    <row r="17" spans="1:10" ht="33.75" x14ac:dyDescent="0.2">
      <c r="A17" s="358" t="str">
        <f>+'MTF_APICULTURA (10+45)'!B90</f>
        <v xml:space="preserve">CENTRIFUGA </v>
      </c>
      <c r="B17" s="217" t="s">
        <v>390</v>
      </c>
      <c r="C17" s="219" t="s">
        <v>22</v>
      </c>
      <c r="D17" s="220">
        <v>5</v>
      </c>
      <c r="E17" s="213">
        <f>+'MTF_APICULTURA (10+45)'!G90</f>
        <v>1875000</v>
      </c>
      <c r="F17" s="213"/>
      <c r="G17" s="221"/>
      <c r="H17" s="359">
        <f>+E17*D17</f>
        <v>9375000</v>
      </c>
      <c r="I17" s="367">
        <f t="shared" si="6"/>
        <v>9375000</v>
      </c>
      <c r="J17" s="368"/>
    </row>
    <row r="18" spans="1:10" ht="30" customHeight="1" x14ac:dyDescent="0.2">
      <c r="A18" s="358" t="str">
        <f>+'MTF_APICULTURA (10+45)'!B94</f>
        <v xml:space="preserve">BANDEJA </v>
      </c>
      <c r="B18" s="217" t="s">
        <v>151</v>
      </c>
      <c r="C18" s="219" t="s">
        <v>22</v>
      </c>
      <c r="D18" s="220">
        <v>10</v>
      </c>
      <c r="E18" s="213">
        <f>+'MTF_APICULTURA (10+45)'!G94</f>
        <v>685000</v>
      </c>
      <c r="F18" s="213"/>
      <c r="G18" s="221"/>
      <c r="H18" s="359">
        <f>+E18*D18</f>
        <v>6850000</v>
      </c>
      <c r="I18" s="367">
        <f t="shared" si="6"/>
        <v>6850000</v>
      </c>
      <c r="J18" s="368"/>
    </row>
    <row r="19" spans="1:10" ht="45" customHeight="1" x14ac:dyDescent="0.2">
      <c r="A19" s="358" t="str">
        <f>+'MTF_APICULTURA (10+45)'!B93</f>
        <v>FILTRO DOBLE</v>
      </c>
      <c r="B19" s="217" t="s">
        <v>150</v>
      </c>
      <c r="C19" s="219" t="s">
        <v>22</v>
      </c>
      <c r="D19" s="220">
        <v>5</v>
      </c>
      <c r="E19" s="213">
        <f>+'MTF_APICULTURA (10+45)'!G93</f>
        <v>150000</v>
      </c>
      <c r="F19" s="213"/>
      <c r="G19" s="221"/>
      <c r="H19" s="359">
        <f>+E19*D19</f>
        <v>750000</v>
      </c>
      <c r="I19" s="367">
        <f t="shared" si="6"/>
        <v>750000</v>
      </c>
      <c r="J19" s="368"/>
    </row>
    <row r="20" spans="1:10" ht="22.5" x14ac:dyDescent="0.2">
      <c r="A20" s="358" t="str">
        <f>+'MTF_APICULTURA (10+45)'!B92</f>
        <v>CUCHILLO DESOPERCULADOR</v>
      </c>
      <c r="B20" s="217" t="s">
        <v>149</v>
      </c>
      <c r="C20" s="219" t="s">
        <v>22</v>
      </c>
      <c r="D20" s="220">
        <v>5</v>
      </c>
      <c r="E20" s="213">
        <f>+'MTF_APICULTURA (10+45)'!G92</f>
        <v>57500</v>
      </c>
      <c r="F20" s="213"/>
      <c r="G20" s="221"/>
      <c r="H20" s="359">
        <f>+E20*D20</f>
        <v>287500</v>
      </c>
      <c r="I20" s="367">
        <f t="shared" si="6"/>
        <v>287500</v>
      </c>
      <c r="J20" s="368"/>
    </row>
    <row r="21" spans="1:10" x14ac:dyDescent="0.2">
      <c r="A21" s="212"/>
      <c r="B21" s="484" t="s">
        <v>124</v>
      </c>
      <c r="C21" s="485"/>
      <c r="D21" s="485"/>
      <c r="E21" s="485"/>
      <c r="F21" s="485"/>
      <c r="G21" s="486"/>
      <c r="H21" s="338">
        <f>SUM(H7:H20)</f>
        <v>251376250</v>
      </c>
      <c r="I21" s="420">
        <f t="shared" ref="I21:J21" si="7">SUM(I7:I20)</f>
        <v>251376250</v>
      </c>
      <c r="J21" s="420">
        <f t="shared" si="7"/>
        <v>0</v>
      </c>
    </row>
    <row r="22" spans="1:10" x14ac:dyDescent="0.2">
      <c r="A22" s="212"/>
      <c r="B22" s="369"/>
      <c r="C22" s="370"/>
      <c r="D22" s="371"/>
      <c r="E22" s="372"/>
      <c r="F22" s="372"/>
      <c r="G22" s="373"/>
      <c r="H22" s="361"/>
    </row>
    <row r="23" spans="1:10" ht="22.5" x14ac:dyDescent="0.2">
      <c r="A23" s="353" t="s">
        <v>153</v>
      </c>
      <c r="B23" s="374" t="s">
        <v>152</v>
      </c>
      <c r="C23" s="353" t="s">
        <v>118</v>
      </c>
      <c r="D23" s="355" t="s">
        <v>119</v>
      </c>
      <c r="E23" s="375" t="s">
        <v>23</v>
      </c>
      <c r="F23" s="375"/>
      <c r="G23" s="353"/>
      <c r="H23" s="356" t="s">
        <v>38</v>
      </c>
      <c r="I23" s="376" t="s">
        <v>38</v>
      </c>
      <c r="J23" s="376" t="s">
        <v>38</v>
      </c>
    </row>
    <row r="24" spans="1:10" ht="54.95" customHeight="1" x14ac:dyDescent="0.2">
      <c r="A24" s="358" t="str">
        <f>+'MTF_APICULTURA (10+45)'!B102</f>
        <v>TANQUE DECANTADOR</v>
      </c>
      <c r="B24" s="217" t="s">
        <v>387</v>
      </c>
      <c r="C24" s="217" t="s">
        <v>22</v>
      </c>
      <c r="D24" s="220">
        <v>1</v>
      </c>
      <c r="E24" s="213">
        <f>+'MTF_APICULTURA (10+45)'!G102</f>
        <v>1975000</v>
      </c>
      <c r="F24" s="213"/>
      <c r="G24" s="221"/>
      <c r="H24" s="359">
        <f>+E24*D24</f>
        <v>1975000</v>
      </c>
      <c r="I24" s="377">
        <f t="shared" ref="I24:I31" si="8">+H24</f>
        <v>1975000</v>
      </c>
      <c r="J24" s="378"/>
    </row>
    <row r="25" spans="1:10" ht="24.95" customHeight="1" x14ac:dyDescent="0.2">
      <c r="A25" s="358" t="str">
        <f>+'MTF_APICULTURA (10+45)'!B103</f>
        <v>MARCO DE SEGUETA</v>
      </c>
      <c r="B25" s="217" t="s">
        <v>155</v>
      </c>
      <c r="C25" s="217" t="s">
        <v>22</v>
      </c>
      <c r="D25" s="220">
        <v>1</v>
      </c>
      <c r="E25" s="213">
        <f>+'MTF_APICULTURA (10+45)'!G103</f>
        <v>29000</v>
      </c>
      <c r="F25" s="213"/>
      <c r="G25" s="221"/>
      <c r="H25" s="359">
        <f t="shared" ref="H25:H31" si="9">+E25*D25</f>
        <v>29000</v>
      </c>
      <c r="I25" s="377">
        <f t="shared" si="8"/>
        <v>29000</v>
      </c>
      <c r="J25" s="379"/>
    </row>
    <row r="26" spans="1:10" x14ac:dyDescent="0.2">
      <c r="A26" s="358" t="str">
        <f>+'MTF_APICULTURA (10+45)'!B106</f>
        <v>CABLE</v>
      </c>
      <c r="B26" s="217" t="s">
        <v>156</v>
      </c>
      <c r="C26" s="217" t="s">
        <v>22</v>
      </c>
      <c r="D26" s="220">
        <v>1</v>
      </c>
      <c r="E26" s="213">
        <f>+'MTF_APICULTURA (10+45)'!G106</f>
        <v>7500</v>
      </c>
      <c r="F26" s="213"/>
      <c r="G26" s="221"/>
      <c r="H26" s="359">
        <f t="shared" si="9"/>
        <v>7500</v>
      </c>
      <c r="I26" s="377">
        <f t="shared" si="8"/>
        <v>7500</v>
      </c>
      <c r="J26" s="379"/>
    </row>
    <row r="27" spans="1:10" ht="22.5" x14ac:dyDescent="0.2">
      <c r="A27" s="358" t="str">
        <f>+'MTF_APICULTURA (10+45)'!B107</f>
        <v>CALENTADOR DE AGUA</v>
      </c>
      <c r="B27" s="217" t="s">
        <v>157</v>
      </c>
      <c r="C27" s="217" t="s">
        <v>22</v>
      </c>
      <c r="D27" s="220">
        <v>1</v>
      </c>
      <c r="E27" s="213">
        <f>+'MTF_APICULTURA (10+45)'!G107</f>
        <v>10400</v>
      </c>
      <c r="F27" s="213"/>
      <c r="G27" s="221"/>
      <c r="H27" s="359">
        <f t="shared" si="9"/>
        <v>10400</v>
      </c>
      <c r="I27" s="377">
        <f t="shared" si="8"/>
        <v>10400</v>
      </c>
      <c r="J27" s="379"/>
    </row>
    <row r="28" spans="1:10" x14ac:dyDescent="0.2">
      <c r="A28" s="358" t="str">
        <f>+'MTF_APICULTURA (10+45)'!B104</f>
        <v>CINTA</v>
      </c>
      <c r="B28" s="217"/>
      <c r="C28" s="217" t="s">
        <v>22</v>
      </c>
      <c r="D28" s="220">
        <v>1</v>
      </c>
      <c r="E28" s="213">
        <f>+'MTF_APICULTURA (10+45)'!G104</f>
        <v>5500</v>
      </c>
      <c r="F28" s="213"/>
      <c r="G28" s="221"/>
      <c r="H28" s="359">
        <f t="shared" si="9"/>
        <v>5500</v>
      </c>
      <c r="I28" s="377">
        <f t="shared" si="8"/>
        <v>5500</v>
      </c>
      <c r="J28" s="379"/>
    </row>
    <row r="29" spans="1:10" x14ac:dyDescent="0.2">
      <c r="A29" s="358" t="str">
        <f>+'MTF_APICULTURA (10+45)'!B105</f>
        <v>SEGUETA</v>
      </c>
      <c r="B29" s="217"/>
      <c r="C29" s="217" t="s">
        <v>22</v>
      </c>
      <c r="D29" s="220">
        <v>1</v>
      </c>
      <c r="E29" s="213">
        <f>+'MTF_APICULTURA (10+45)'!G105</f>
        <v>5500</v>
      </c>
      <c r="F29" s="213"/>
      <c r="G29" s="221"/>
      <c r="H29" s="359">
        <f t="shared" si="9"/>
        <v>5500</v>
      </c>
      <c r="I29" s="377">
        <f t="shared" si="8"/>
        <v>5500</v>
      </c>
      <c r="J29" s="379"/>
    </row>
    <row r="30" spans="1:10" ht="111" customHeight="1" x14ac:dyDescent="0.2">
      <c r="A30" s="358" t="s">
        <v>168</v>
      </c>
      <c r="B30" s="380" t="s">
        <v>162</v>
      </c>
      <c r="C30" s="217" t="s">
        <v>22</v>
      </c>
      <c r="D30" s="220">
        <v>1</v>
      </c>
      <c r="E30" s="213">
        <f>+'MTF_APICULTURA (10+45)'!G108</f>
        <v>12624000</v>
      </c>
      <c r="F30" s="213"/>
      <c r="G30" s="221"/>
      <c r="H30" s="359">
        <f t="shared" si="9"/>
        <v>12624000</v>
      </c>
      <c r="I30" s="377">
        <f t="shared" si="8"/>
        <v>12624000</v>
      </c>
      <c r="J30" s="379"/>
    </row>
    <row r="31" spans="1:10" ht="67.5" x14ac:dyDescent="0.2">
      <c r="A31" s="358" t="s">
        <v>163</v>
      </c>
      <c r="B31" s="217" t="s">
        <v>391</v>
      </c>
      <c r="C31" s="217" t="s">
        <v>22</v>
      </c>
      <c r="D31" s="220">
        <v>1</v>
      </c>
      <c r="E31" s="213">
        <f>+'MTF_APICULTURA (10+45)'!G109</f>
        <v>11400000</v>
      </c>
      <c r="F31" s="213"/>
      <c r="G31" s="221"/>
      <c r="H31" s="359">
        <f t="shared" si="9"/>
        <v>11400000</v>
      </c>
      <c r="I31" s="377">
        <f t="shared" si="8"/>
        <v>11400000</v>
      </c>
      <c r="J31" s="379"/>
    </row>
    <row r="32" spans="1:10" x14ac:dyDescent="0.2">
      <c r="A32" s="381"/>
      <c r="B32" s="382"/>
      <c r="C32" s="382"/>
      <c r="D32" s="383"/>
      <c r="E32" s="384"/>
      <c r="F32" s="384"/>
      <c r="G32" s="385"/>
      <c r="H32" s="338">
        <f>SUM(H24:H31)</f>
        <v>26056900</v>
      </c>
      <c r="I32" s="421">
        <f t="shared" ref="I32:J32" si="10">SUM(I24:I31)</f>
        <v>26056900</v>
      </c>
      <c r="J32" s="421">
        <f t="shared" si="10"/>
        <v>0</v>
      </c>
    </row>
    <row r="33" spans="1:12" x14ac:dyDescent="0.2">
      <c r="A33" s="488" t="s">
        <v>373</v>
      </c>
      <c r="B33" s="489"/>
      <c r="C33" s="489"/>
      <c r="D33" s="489"/>
      <c r="E33" s="489"/>
      <c r="F33" s="489"/>
      <c r="G33" s="489"/>
      <c r="H33" s="490"/>
    </row>
    <row r="34" spans="1:12" x14ac:dyDescent="0.2">
      <c r="A34" s="386" t="s">
        <v>173</v>
      </c>
      <c r="B34" s="387"/>
      <c r="C34" s="386" t="s">
        <v>22</v>
      </c>
      <c r="D34" s="387">
        <v>2</v>
      </c>
      <c r="E34" s="388">
        <f>+'MTF_APICULTURA (10+45)'!G110</f>
        <v>95666606</v>
      </c>
      <c r="F34" s="388"/>
      <c r="G34" s="387"/>
      <c r="H34" s="389">
        <f>+E34*D34</f>
        <v>191333212</v>
      </c>
      <c r="I34" s="390">
        <f t="shared" ref="I34:I36" si="11">+H34</f>
        <v>191333212</v>
      </c>
      <c r="J34" s="363"/>
    </row>
    <row r="35" spans="1:12" x14ac:dyDescent="0.2">
      <c r="A35" s="386" t="s">
        <v>174</v>
      </c>
      <c r="B35" s="387"/>
      <c r="C35" s="386" t="s">
        <v>22</v>
      </c>
      <c r="D35" s="387">
        <v>1</v>
      </c>
      <c r="E35" s="388">
        <f>+'MTF_APICULTURA (10+45)'!G112</f>
        <v>79913678</v>
      </c>
      <c r="F35" s="388"/>
      <c r="G35" s="387"/>
      <c r="H35" s="389">
        <f>+E35*D35</f>
        <v>79913678</v>
      </c>
      <c r="I35" s="390">
        <f t="shared" si="11"/>
        <v>79913678</v>
      </c>
      <c r="J35" s="363"/>
    </row>
    <row r="36" spans="1:12" x14ac:dyDescent="0.2">
      <c r="A36" s="358" t="s">
        <v>164</v>
      </c>
      <c r="B36" s="217"/>
      <c r="C36" s="217" t="s">
        <v>22</v>
      </c>
      <c r="D36" s="220">
        <v>1</v>
      </c>
      <c r="E36" s="388">
        <f>+'MTF_APICULTURA (10+45)'!G111</f>
        <v>36535747</v>
      </c>
      <c r="F36" s="388"/>
      <c r="G36" s="221"/>
      <c r="H36" s="389">
        <f>+E36*D36</f>
        <v>36535747</v>
      </c>
      <c r="I36" s="390">
        <f t="shared" si="11"/>
        <v>36535747</v>
      </c>
      <c r="J36" s="363"/>
    </row>
    <row r="37" spans="1:12" x14ac:dyDescent="0.2">
      <c r="A37" s="391"/>
      <c r="B37" s="392"/>
      <c r="C37" s="392"/>
      <c r="D37" s="393"/>
      <c r="E37" s="394"/>
      <c r="F37" s="394"/>
      <c r="G37" s="395"/>
      <c r="H37" s="338">
        <f>SUM(H34:H36)</f>
        <v>307782637</v>
      </c>
      <c r="I37" s="396">
        <f t="shared" ref="I37:J37" si="12">SUM(I34:I36)</f>
        <v>307782637</v>
      </c>
      <c r="J37" s="396">
        <f t="shared" si="12"/>
        <v>0</v>
      </c>
    </row>
    <row r="38" spans="1:12" x14ac:dyDescent="0.2">
      <c r="A38" s="391"/>
      <c r="B38" s="392"/>
      <c r="C38" s="392"/>
      <c r="D38" s="393"/>
      <c r="E38" s="394"/>
      <c r="F38" s="394"/>
      <c r="G38" s="395"/>
      <c r="H38" s="397"/>
    </row>
    <row r="39" spans="1:12" x14ac:dyDescent="0.2">
      <c r="A39" s="212"/>
      <c r="B39" s="212"/>
      <c r="C39" s="212"/>
      <c r="D39" s="362"/>
      <c r="E39" s="235"/>
      <c r="F39" s="235"/>
      <c r="G39" s="363"/>
      <c r="H39" s="364"/>
    </row>
    <row r="40" spans="1:12" ht="22.5" x14ac:dyDescent="0.2">
      <c r="A40" s="353" t="s">
        <v>158</v>
      </c>
      <c r="B40" s="374" t="s">
        <v>152</v>
      </c>
      <c r="C40" s="353" t="s">
        <v>118</v>
      </c>
      <c r="D40" s="355" t="s">
        <v>119</v>
      </c>
      <c r="E40" s="353" t="s">
        <v>23</v>
      </c>
      <c r="F40" s="375"/>
      <c r="G40" s="353" t="s">
        <v>120</v>
      </c>
      <c r="H40" s="356" t="s">
        <v>38</v>
      </c>
      <c r="I40" s="376" t="s">
        <v>38</v>
      </c>
      <c r="J40" s="376" t="s">
        <v>38</v>
      </c>
    </row>
    <row r="41" spans="1:12" x14ac:dyDescent="0.2">
      <c r="A41" s="358" t="s">
        <v>165</v>
      </c>
      <c r="B41" s="217" t="str">
        <f>+'MTF_APICULTURA (10+45)'!B66</f>
        <v>Panela x 1 kg  (3 kg/colmena)</v>
      </c>
      <c r="C41" s="217" t="s">
        <v>60</v>
      </c>
      <c r="D41" s="220">
        <f>+D1*3</f>
        <v>39</v>
      </c>
      <c r="E41" s="213">
        <f>+'MTF_APICULTURA (10+45)'!G66</f>
        <v>8300</v>
      </c>
      <c r="F41" s="213"/>
      <c r="G41" s="221">
        <f t="shared" ref="G41:G49" si="13">+$K$1</f>
        <v>57</v>
      </c>
      <c r="H41" s="359">
        <f t="shared" ref="H41:H49" si="14">+ROUND(D41*E41*G41,0)</f>
        <v>18450900</v>
      </c>
      <c r="I41" s="367">
        <f t="shared" ref="I41:I49" si="15">+H41</f>
        <v>18450900</v>
      </c>
      <c r="J41" s="368"/>
    </row>
    <row r="42" spans="1:12" ht="35.1" customHeight="1" x14ac:dyDescent="0.2">
      <c r="A42" s="358" t="s">
        <v>166</v>
      </c>
      <c r="B42" s="217" t="str">
        <f>+'MTF_APICULTURA (10+45)'!B67</f>
        <v>Promocalier (suplemento vitaminas y aminoacidos): 2 cc/colmena.</v>
      </c>
      <c r="C42" s="217" t="str">
        <f>+'MTF_APICULTURA (10+45)'!F67</f>
        <v>Mililitro</v>
      </c>
      <c r="D42" s="220">
        <v>200</v>
      </c>
      <c r="E42" s="213">
        <f>+'MTF_APICULTURA (10+45)'!G67</f>
        <v>105</v>
      </c>
      <c r="F42" s="213"/>
      <c r="G42" s="221">
        <f t="shared" si="13"/>
        <v>57</v>
      </c>
      <c r="H42" s="359">
        <f t="shared" si="14"/>
        <v>1197000</v>
      </c>
      <c r="I42" s="367">
        <f t="shared" si="15"/>
        <v>1197000</v>
      </c>
      <c r="J42" s="368"/>
      <c r="L42" s="212">
        <f>5*57*15</f>
        <v>4275</v>
      </c>
    </row>
    <row r="43" spans="1:12" ht="45" customHeight="1" x14ac:dyDescent="0.2">
      <c r="A43" s="358" t="str">
        <f>+'[2]Análisis cotizaciones'!$A$12</f>
        <v>AHUMADOR</v>
      </c>
      <c r="B43" s="217" t="str">
        <f>+'[2]Análisis cotizaciones'!$B$12</f>
        <v>Ahumador en coll rolled, pintado con pintura electrostatica, salida en boca de pato</v>
      </c>
      <c r="C43" s="217" t="s">
        <v>22</v>
      </c>
      <c r="D43" s="220">
        <v>1</v>
      </c>
      <c r="E43" s="213">
        <f>+'MTF_APICULTURA (10+45)'!G68</f>
        <v>165000</v>
      </c>
      <c r="F43" s="213"/>
      <c r="G43" s="221">
        <f t="shared" si="13"/>
        <v>57</v>
      </c>
      <c r="H43" s="359">
        <f t="shared" si="14"/>
        <v>9405000</v>
      </c>
      <c r="I43" s="367">
        <f t="shared" si="15"/>
        <v>9405000</v>
      </c>
      <c r="J43" s="368"/>
      <c r="L43" s="212">
        <f>+L42*5000</f>
        <v>21375000</v>
      </c>
    </row>
    <row r="44" spans="1:12" x14ac:dyDescent="0.2">
      <c r="A44" s="358" t="str">
        <f>+'MTF_APICULTURA (10+45)'!B69</f>
        <v>TRAJE APÍCOLA</v>
      </c>
      <c r="B44" s="217"/>
      <c r="C44" s="217" t="s">
        <v>22</v>
      </c>
      <c r="D44" s="220">
        <v>2</v>
      </c>
      <c r="E44" s="213">
        <f>+'MTF_APICULTURA (10+45)'!G69</f>
        <v>190000</v>
      </c>
      <c r="F44" s="213"/>
      <c r="G44" s="221">
        <f t="shared" si="13"/>
        <v>57</v>
      </c>
      <c r="H44" s="359">
        <f t="shared" si="14"/>
        <v>21660000</v>
      </c>
      <c r="I44" s="367">
        <f t="shared" si="15"/>
        <v>21660000</v>
      </c>
      <c r="J44" s="368"/>
    </row>
    <row r="45" spans="1:12" x14ac:dyDescent="0.2">
      <c r="A45" s="358" t="str">
        <f>+'MTF_APICULTURA (10+45)'!B70</f>
        <v>GANCHO PALANCA</v>
      </c>
      <c r="B45" s="217"/>
      <c r="C45" s="217" t="s">
        <v>22</v>
      </c>
      <c r="D45" s="220">
        <v>1</v>
      </c>
      <c r="E45" s="213">
        <f>+'MTF_APICULTURA (10+45)'!G70</f>
        <v>37000</v>
      </c>
      <c r="F45" s="213"/>
      <c r="G45" s="221">
        <f t="shared" si="13"/>
        <v>57</v>
      </c>
      <c r="H45" s="359">
        <f t="shared" si="14"/>
        <v>2109000</v>
      </c>
      <c r="I45" s="367">
        <f t="shared" si="15"/>
        <v>2109000</v>
      </c>
      <c r="J45" s="368"/>
    </row>
    <row r="46" spans="1:12" ht="54.95" customHeight="1" x14ac:dyDescent="0.2">
      <c r="A46" s="358" t="str">
        <f>+'[2]Análisis cotizaciones'!$A$34</f>
        <v>CUÑETES PLASTICOS</v>
      </c>
      <c r="B46" s="217" t="str">
        <f>+'[2]Análisis cotizaciones'!$B$34</f>
        <v>Para alimentos, envase pástico blanco para alimentos, material polietileno de alta densidad con precintos de seguridad, tapa ancha y manija con capacidad de 5 galones</v>
      </c>
      <c r="C46" s="217" t="s">
        <v>22</v>
      </c>
      <c r="D46" s="398">
        <v>4</v>
      </c>
      <c r="E46" s="213">
        <f>+'MTF_APICULTURA (10+45)'!G71</f>
        <v>32500</v>
      </c>
      <c r="F46" s="213"/>
      <c r="G46" s="221">
        <f t="shared" si="13"/>
        <v>57</v>
      </c>
      <c r="H46" s="359">
        <f>+ROUND(D46*E46*G46,0)</f>
        <v>7410000</v>
      </c>
      <c r="I46" s="367">
        <f t="shared" si="15"/>
        <v>7410000</v>
      </c>
      <c r="J46" s="368"/>
    </row>
    <row r="47" spans="1:12" ht="32.1" customHeight="1" x14ac:dyDescent="0.2">
      <c r="A47" s="358" t="str">
        <f>+'MTF_APICULTURA (10+45)'!B72</f>
        <v>TENEDOR DESOPERCULADOR</v>
      </c>
      <c r="B47" s="217" t="str">
        <f>+'[2]Análisis cotizaciones'!$B$22</f>
        <v>Tenedor desoperculador con mango en plástico y 18 dientes en acero inoxidable</v>
      </c>
      <c r="C47" s="217" t="s">
        <v>22</v>
      </c>
      <c r="D47" s="220">
        <v>1</v>
      </c>
      <c r="E47" s="213">
        <f>+'MTF_APICULTURA (10+45)'!G72</f>
        <v>30500</v>
      </c>
      <c r="F47" s="213"/>
      <c r="G47" s="221">
        <f t="shared" si="13"/>
        <v>57</v>
      </c>
      <c r="H47" s="359">
        <f t="shared" si="14"/>
        <v>1738500</v>
      </c>
      <c r="I47" s="367">
        <f t="shared" si="15"/>
        <v>1738500</v>
      </c>
      <c r="J47" s="368"/>
    </row>
    <row r="48" spans="1:12" ht="39.950000000000003" customHeight="1" x14ac:dyDescent="0.2">
      <c r="A48" s="358" t="str">
        <f>+'MTF_APICULTURA (10+45)'!B73</f>
        <v>VARILLA</v>
      </c>
      <c r="B48" s="217" t="str">
        <f>+'[2]Análisis cotizaciones'!$B$19</f>
        <v>Varilla corrugada de 12mm x 6m, cortada en 4 partes de 1,5m</v>
      </c>
      <c r="C48" s="217" t="s">
        <v>22</v>
      </c>
      <c r="D48" s="220">
        <v>1</v>
      </c>
      <c r="E48" s="213">
        <f>+'MTF_APICULTURA (10+45)'!G73</f>
        <v>46500</v>
      </c>
      <c r="F48" s="213"/>
      <c r="G48" s="221">
        <f t="shared" si="13"/>
        <v>57</v>
      </c>
      <c r="H48" s="359">
        <f t="shared" si="14"/>
        <v>2650500</v>
      </c>
      <c r="I48" s="367">
        <f t="shared" si="15"/>
        <v>2650500</v>
      </c>
      <c r="J48" s="368"/>
    </row>
    <row r="49" spans="1:10" ht="15" customHeight="1" x14ac:dyDescent="0.2">
      <c r="A49" s="358" t="str">
        <f>+'MTF_APICULTURA (10+45)'!B74</f>
        <v>EMBUDO</v>
      </c>
      <c r="B49" s="217" t="str">
        <f>+'[2]Análisis cotizaciones'!$B$20</f>
        <v>Embudo en plástico pequeño</v>
      </c>
      <c r="C49" s="217" t="s">
        <v>22</v>
      </c>
      <c r="D49" s="220">
        <v>1</v>
      </c>
      <c r="E49" s="213">
        <f>+'MTF_APICULTURA (10+45)'!G74</f>
        <v>15000</v>
      </c>
      <c r="F49" s="213"/>
      <c r="G49" s="221">
        <f t="shared" si="13"/>
        <v>57</v>
      </c>
      <c r="H49" s="359">
        <f t="shared" si="14"/>
        <v>855000</v>
      </c>
      <c r="I49" s="367">
        <f t="shared" si="15"/>
        <v>855000</v>
      </c>
      <c r="J49" s="368"/>
    </row>
    <row r="50" spans="1:10" x14ac:dyDescent="0.2">
      <c r="A50" s="358"/>
      <c r="B50" s="217"/>
      <c r="C50" s="217"/>
      <c r="D50" s="399"/>
      <c r="E50" s="213"/>
      <c r="F50" s="213"/>
      <c r="G50" s="221"/>
      <c r="H50" s="359"/>
    </row>
    <row r="51" spans="1:10" x14ac:dyDescent="0.2">
      <c r="A51" s="212"/>
      <c r="B51" s="484" t="s">
        <v>125</v>
      </c>
      <c r="C51" s="485"/>
      <c r="D51" s="485"/>
      <c r="E51" s="485"/>
      <c r="F51" s="485"/>
      <c r="G51" s="486"/>
      <c r="H51" s="338">
        <f>SUM(H41:H50)</f>
        <v>65475900</v>
      </c>
      <c r="I51" s="421">
        <f t="shared" ref="I51:J51" si="16">SUM(I41:I50)</f>
        <v>65475900</v>
      </c>
      <c r="J51" s="421">
        <f t="shared" si="16"/>
        <v>0</v>
      </c>
    </row>
    <row r="52" spans="1:10" x14ac:dyDescent="0.2">
      <c r="A52" s="212"/>
      <c r="B52" s="212"/>
      <c r="C52" s="212"/>
      <c r="D52" s="362"/>
      <c r="E52" s="235"/>
      <c r="F52" s="235"/>
      <c r="G52" s="363"/>
      <c r="H52" s="364"/>
    </row>
    <row r="53" spans="1:10" ht="22.5" x14ac:dyDescent="0.2">
      <c r="A53" s="400"/>
      <c r="B53" s="374" t="s">
        <v>126</v>
      </c>
      <c r="C53" s="353" t="s">
        <v>118</v>
      </c>
      <c r="D53" s="355" t="s">
        <v>119</v>
      </c>
      <c r="E53" s="353" t="s">
        <v>23</v>
      </c>
      <c r="F53" s="375"/>
      <c r="G53" s="353" t="s">
        <v>120</v>
      </c>
      <c r="H53" s="356" t="s">
        <v>38</v>
      </c>
      <c r="I53" s="376" t="s">
        <v>38</v>
      </c>
      <c r="J53" s="376" t="s">
        <v>38</v>
      </c>
    </row>
    <row r="54" spans="1:10" ht="22.5" x14ac:dyDescent="0.2">
      <c r="A54" s="392"/>
      <c r="B54" s="217" t="s">
        <v>127</v>
      </c>
      <c r="C54" s="219" t="s">
        <v>128</v>
      </c>
      <c r="D54" s="220">
        <v>1</v>
      </c>
      <c r="E54" s="213">
        <f>+'MTF_APICULTURA (10+45)'!G21</f>
        <v>4833333</v>
      </c>
      <c r="F54" s="213"/>
      <c r="G54" s="221"/>
      <c r="H54" s="359">
        <f>+ROUND((E54*D54),-3)</f>
        <v>4833000</v>
      </c>
      <c r="I54" s="377">
        <f>+H54</f>
        <v>4833000</v>
      </c>
      <c r="J54" s="379"/>
    </row>
    <row r="55" spans="1:10" x14ac:dyDescent="0.2">
      <c r="A55" s="212"/>
      <c r="B55" s="487" t="s">
        <v>129</v>
      </c>
      <c r="C55" s="487"/>
      <c r="D55" s="487"/>
      <c r="E55" s="487"/>
      <c r="F55" s="487"/>
      <c r="G55" s="487"/>
      <c r="H55" s="338">
        <f>SUM(H54:H54)</f>
        <v>4833000</v>
      </c>
      <c r="I55" s="421">
        <f t="shared" ref="I55:J55" si="17">SUM(I54:I54)</f>
        <v>4833000</v>
      </c>
      <c r="J55" s="421">
        <f t="shared" si="17"/>
        <v>0</v>
      </c>
    </row>
    <row r="56" spans="1:10" x14ac:dyDescent="0.2">
      <c r="A56" s="212"/>
      <c r="B56" s="212"/>
      <c r="C56" s="212"/>
      <c r="D56" s="362"/>
      <c r="E56" s="235"/>
      <c r="F56" s="235"/>
      <c r="G56" s="363"/>
      <c r="H56" s="364"/>
    </row>
    <row r="57" spans="1:10" ht="22.5" x14ac:dyDescent="0.2">
      <c r="A57" s="401"/>
      <c r="B57" s="353" t="s">
        <v>130</v>
      </c>
      <c r="C57" s="374" t="s">
        <v>118</v>
      </c>
      <c r="D57" s="402" t="s">
        <v>131</v>
      </c>
      <c r="E57" s="374" t="s">
        <v>23</v>
      </c>
      <c r="F57" s="403"/>
      <c r="G57" s="374" t="s">
        <v>132</v>
      </c>
      <c r="H57" s="404" t="s">
        <v>38</v>
      </c>
      <c r="I57" s="405" t="s">
        <v>38</v>
      </c>
      <c r="J57" s="405" t="s">
        <v>38</v>
      </c>
    </row>
    <row r="58" spans="1:10" ht="30" customHeight="1" x14ac:dyDescent="0.2">
      <c r="A58" s="401"/>
      <c r="B58" s="217"/>
      <c r="C58" s="219">
        <f>+'MTF_APICULTURA (10+45)'!F138</f>
        <v>0</v>
      </c>
      <c r="D58" s="220"/>
      <c r="E58" s="213"/>
      <c r="F58" s="213"/>
      <c r="G58" s="221"/>
      <c r="H58" s="359"/>
      <c r="I58" s="377"/>
      <c r="J58" s="379"/>
    </row>
    <row r="59" spans="1:10" x14ac:dyDescent="0.2">
      <c r="A59" s="218"/>
      <c r="B59" s="219" t="str">
        <f>+'MTF_APICULTURA (10+45)'!B139:E139</f>
        <v>Técnico agropecuarío/comunitario</v>
      </c>
      <c r="C59" s="219" t="str">
        <f>+'MTF_APICULTURA (10+45)'!F139</f>
        <v>Técnico</v>
      </c>
      <c r="D59" s="220">
        <v>1</v>
      </c>
      <c r="E59" s="213">
        <v>3500000</v>
      </c>
      <c r="F59" s="213"/>
      <c r="G59" s="221">
        <v>8</v>
      </c>
      <c r="H59" s="359">
        <f>(E59*G59*D59)</f>
        <v>28000000</v>
      </c>
      <c r="I59" s="377">
        <f t="shared" ref="I59:I61" si="18">+H59</f>
        <v>28000000</v>
      </c>
      <c r="J59" s="379"/>
    </row>
    <row r="60" spans="1:10" x14ac:dyDescent="0.2">
      <c r="A60" s="218"/>
      <c r="B60" s="219" t="str">
        <f>+'MTF_APICULTURA (10+45)'!B140:E140</f>
        <v>Profesional socioempresarial y comercial</v>
      </c>
      <c r="C60" s="219" t="str">
        <f>+'MTF_APICULTURA (10+45)'!F140</f>
        <v xml:space="preserve">Profesional </v>
      </c>
      <c r="D60" s="220">
        <v>1</v>
      </c>
      <c r="E60" s="213">
        <f>+'Costos de implementación'!F5</f>
        <v>4358939.2</v>
      </c>
      <c r="F60" s="213"/>
      <c r="G60" s="221">
        <v>8</v>
      </c>
      <c r="H60" s="359">
        <f>ROUND(((E60*G60*D60)),0)</f>
        <v>34871514</v>
      </c>
      <c r="I60" s="377">
        <f t="shared" si="18"/>
        <v>34871514</v>
      </c>
      <c r="J60" s="379"/>
    </row>
    <row r="61" spans="1:10" ht="30" customHeight="1" x14ac:dyDescent="0.2">
      <c r="A61" s="392"/>
      <c r="B61" s="219" t="str">
        <f>+'MTF_APICULTURA (10+45)'!B141:E141</f>
        <v>Asistente Psicosocial</v>
      </c>
      <c r="C61" s="217" t="str">
        <f>+'MTF_APICULTURA (10+45)'!F141</f>
        <v xml:space="preserve">Profesional </v>
      </c>
      <c r="D61" s="220">
        <v>1</v>
      </c>
      <c r="E61" s="360">
        <f>+'Costos de implementación'!F6</f>
        <v>4358939.2</v>
      </c>
      <c r="F61" s="406"/>
      <c r="G61" s="221">
        <v>8</v>
      </c>
      <c r="H61" s="359">
        <f>ROUND(((E61*G61*D61)),0)</f>
        <v>34871514</v>
      </c>
      <c r="I61" s="377">
        <f t="shared" si="18"/>
        <v>34871514</v>
      </c>
      <c r="J61" s="379"/>
    </row>
    <row r="62" spans="1:10" x14ac:dyDescent="0.2">
      <c r="A62" s="218"/>
      <c r="B62" s="219"/>
      <c r="C62" s="219"/>
      <c r="D62" s="220"/>
      <c r="E62" s="213"/>
      <c r="F62" s="213"/>
      <c r="G62" s="221"/>
      <c r="H62" s="359"/>
    </row>
    <row r="63" spans="1:10" x14ac:dyDescent="0.2">
      <c r="A63" s="212"/>
      <c r="B63" s="487" t="s">
        <v>133</v>
      </c>
      <c r="C63" s="487"/>
      <c r="D63" s="487"/>
      <c r="E63" s="487"/>
      <c r="F63" s="487"/>
      <c r="G63" s="487"/>
      <c r="H63" s="338">
        <f>SUM(H58:H62)</f>
        <v>97743028</v>
      </c>
      <c r="I63" s="420">
        <f t="shared" ref="I63:J63" si="19">SUM(I58:I62)</f>
        <v>97743028</v>
      </c>
      <c r="J63" s="420">
        <f t="shared" si="19"/>
        <v>0</v>
      </c>
    </row>
    <row r="64" spans="1:10" x14ac:dyDescent="0.2">
      <c r="A64" s="212"/>
      <c r="B64" s="212"/>
      <c r="C64" s="212"/>
      <c r="D64" s="362"/>
      <c r="E64" s="235"/>
      <c r="F64" s="235"/>
      <c r="G64" s="363"/>
      <c r="H64" s="364"/>
    </row>
    <row r="65" spans="1:10" x14ac:dyDescent="0.2">
      <c r="A65" s="401"/>
      <c r="B65" s="353" t="s">
        <v>134</v>
      </c>
      <c r="C65" s="353" t="s">
        <v>118</v>
      </c>
      <c r="D65" s="355" t="s">
        <v>131</v>
      </c>
      <c r="E65" s="353" t="s">
        <v>23</v>
      </c>
      <c r="F65" s="375"/>
      <c r="G65" s="353"/>
      <c r="H65" s="356" t="s">
        <v>38</v>
      </c>
      <c r="I65" s="376" t="s">
        <v>38</v>
      </c>
      <c r="J65" s="376" t="s">
        <v>38</v>
      </c>
    </row>
    <row r="66" spans="1:10" x14ac:dyDescent="0.2">
      <c r="A66" s="391"/>
      <c r="B66" s="217" t="str">
        <f>+'MTF_APICULTURA (10+45)'!B142:E142</f>
        <v>Estrategia de comercialización</v>
      </c>
      <c r="C66" s="407" t="s">
        <v>135</v>
      </c>
      <c r="D66" s="220">
        <v>1</v>
      </c>
      <c r="E66" s="408">
        <f>+'MTF_APICULTURA (10+45)'!G142</f>
        <v>14041666</v>
      </c>
      <c r="F66" s="408"/>
      <c r="G66" s="409"/>
      <c r="H66" s="359">
        <f>+E66*D66</f>
        <v>14041666</v>
      </c>
      <c r="I66" s="377">
        <f t="shared" ref="I66:I72" si="20">+H66</f>
        <v>14041666</v>
      </c>
      <c r="J66" s="410"/>
    </row>
    <row r="67" spans="1:10" ht="22.5" x14ac:dyDescent="0.2">
      <c r="A67" s="391"/>
      <c r="B67" s="217" t="s">
        <v>136</v>
      </c>
      <c r="C67" s="407" t="s">
        <v>135</v>
      </c>
      <c r="D67" s="220">
        <v>3</v>
      </c>
      <c r="E67" s="408">
        <f>+'MTF_APICULTURA (10+45)'!G143</f>
        <v>1550000</v>
      </c>
      <c r="F67" s="408"/>
      <c r="G67" s="409"/>
      <c r="H67" s="359">
        <f t="shared" ref="H67:H72" si="21">+E67*D67</f>
        <v>4650000</v>
      </c>
      <c r="I67" s="377">
        <f t="shared" si="20"/>
        <v>4650000</v>
      </c>
      <c r="J67" s="379"/>
    </row>
    <row r="68" spans="1:10" ht="22.5" x14ac:dyDescent="0.2">
      <c r="A68" s="391"/>
      <c r="B68" s="217" t="str">
        <f>+'MTF_APICULTURA (10+45)'!B144:E144</f>
        <v>Taller empoderamiento económico de la mujer rural,</v>
      </c>
      <c r="C68" s="407" t="s">
        <v>135</v>
      </c>
      <c r="D68" s="220">
        <v>1</v>
      </c>
      <c r="E68" s="408">
        <f>+'MTF_APICULTURA (10+45)'!G144</f>
        <v>1950000</v>
      </c>
      <c r="F68" s="408"/>
      <c r="G68" s="409"/>
      <c r="H68" s="359">
        <f t="shared" si="21"/>
        <v>1950000</v>
      </c>
      <c r="I68" s="377">
        <f t="shared" si="20"/>
        <v>1950000</v>
      </c>
      <c r="J68" s="379"/>
    </row>
    <row r="69" spans="1:10" ht="45" x14ac:dyDescent="0.2">
      <c r="A69" s="391"/>
      <c r="B69" s="217" t="str">
        <f>+'MTF_APICULTURA (10+45)'!B146:E146</f>
        <v>Talleres de reparación (construcción de confianza y dignificación de la población víctima y firmantes de paz) realizados a lo largo del proyecto con la población vinculada y otros actores territoriales.</v>
      </c>
      <c r="C69" s="407" t="s">
        <v>135</v>
      </c>
      <c r="D69" s="220">
        <v>4</v>
      </c>
      <c r="E69" s="408">
        <f>+'MTF_APICULTURA (10+45)'!G146</f>
        <v>1950000</v>
      </c>
      <c r="F69" s="408"/>
      <c r="G69" s="411"/>
      <c r="H69" s="359">
        <f t="shared" si="21"/>
        <v>7800000</v>
      </c>
      <c r="I69" s="377">
        <f t="shared" si="20"/>
        <v>7800000</v>
      </c>
      <c r="J69" s="379"/>
    </row>
    <row r="70" spans="1:10" x14ac:dyDescent="0.2">
      <c r="A70" s="391"/>
      <c r="B70" s="217" t="s">
        <v>160</v>
      </c>
      <c r="C70" s="407" t="s">
        <v>135</v>
      </c>
      <c r="D70" s="220">
        <v>2</v>
      </c>
      <c r="E70" s="408">
        <f>+'MTF_APICULTURA (10+45)'!G145</f>
        <v>1950000</v>
      </c>
      <c r="F70" s="408"/>
      <c r="G70" s="409"/>
      <c r="H70" s="359">
        <f t="shared" si="21"/>
        <v>3900000</v>
      </c>
      <c r="I70" s="377">
        <f t="shared" si="20"/>
        <v>3900000</v>
      </c>
      <c r="J70" s="379"/>
    </row>
    <row r="71" spans="1:10" x14ac:dyDescent="0.2">
      <c r="A71" s="391"/>
      <c r="B71" s="217" t="str">
        <f>+'MTF_APICULTURA (10+45)'!B147:E147</f>
        <v>Talleres ECAS</v>
      </c>
      <c r="C71" s="407" t="s">
        <v>135</v>
      </c>
      <c r="D71" s="220">
        <v>6</v>
      </c>
      <c r="E71" s="408">
        <f>+'MTF_APICULTURA (10+45)'!G147</f>
        <v>1550000</v>
      </c>
      <c r="F71" s="408"/>
      <c r="G71" s="409"/>
      <c r="H71" s="359">
        <f t="shared" si="21"/>
        <v>9300000</v>
      </c>
      <c r="I71" s="377">
        <f t="shared" si="20"/>
        <v>9300000</v>
      </c>
      <c r="J71" s="379"/>
    </row>
    <row r="72" spans="1:10" x14ac:dyDescent="0.2">
      <c r="A72" s="391"/>
      <c r="B72" s="217" t="str">
        <f>+'MTF_APICULTURA (10+45)'!B148:E148</f>
        <v>Acompañamiento ambiental</v>
      </c>
      <c r="C72" s="407" t="s">
        <v>135</v>
      </c>
      <c r="D72" s="220">
        <v>1</v>
      </c>
      <c r="E72" s="408">
        <f>+'MTF_APICULTURA (10+45)'!G148</f>
        <v>4000000</v>
      </c>
      <c r="F72" s="408"/>
      <c r="G72" s="409"/>
      <c r="H72" s="359">
        <f t="shared" si="21"/>
        <v>4000000</v>
      </c>
      <c r="I72" s="377">
        <f t="shared" si="20"/>
        <v>4000000</v>
      </c>
      <c r="J72" s="379"/>
    </row>
    <row r="73" spans="1:10" x14ac:dyDescent="0.2">
      <c r="A73" s="391"/>
      <c r="B73" s="217"/>
      <c r="C73" s="407"/>
      <c r="D73" s="412"/>
      <c r="E73" s="408"/>
      <c r="F73" s="408"/>
      <c r="G73" s="409"/>
      <c r="H73" s="413"/>
      <c r="I73" s="414"/>
      <c r="J73" s="414"/>
    </row>
    <row r="74" spans="1:10" x14ac:dyDescent="0.2">
      <c r="A74" s="212"/>
      <c r="B74" s="487" t="s">
        <v>137</v>
      </c>
      <c r="C74" s="487"/>
      <c r="D74" s="487"/>
      <c r="E74" s="487"/>
      <c r="F74" s="487"/>
      <c r="G74" s="487"/>
      <c r="H74" s="339">
        <f>SUM(H66:H73)</f>
        <v>45641666</v>
      </c>
      <c r="I74" s="422">
        <f t="shared" ref="I74:J74" si="22">SUM(I66:I73)</f>
        <v>45641666</v>
      </c>
      <c r="J74" s="422">
        <f t="shared" si="22"/>
        <v>0</v>
      </c>
    </row>
    <row r="75" spans="1:10" x14ac:dyDescent="0.2">
      <c r="A75" s="212"/>
      <c r="B75" s="416"/>
      <c r="C75" s="416"/>
      <c r="D75" s="416"/>
      <c r="E75" s="416"/>
      <c r="F75" s="416"/>
      <c r="G75" s="416"/>
      <c r="H75" s="417"/>
    </row>
    <row r="76" spans="1:10" x14ac:dyDescent="0.2">
      <c r="A76" s="212"/>
      <c r="B76" s="353" t="s">
        <v>258</v>
      </c>
      <c r="C76" s="353" t="s">
        <v>118</v>
      </c>
      <c r="D76" s="355" t="s">
        <v>131</v>
      </c>
      <c r="E76" s="353" t="s">
        <v>23</v>
      </c>
      <c r="F76" s="375"/>
      <c r="G76" s="353"/>
      <c r="H76" s="356" t="s">
        <v>38</v>
      </c>
      <c r="I76" s="376" t="s">
        <v>38</v>
      </c>
      <c r="J76" s="376" t="s">
        <v>38</v>
      </c>
    </row>
    <row r="77" spans="1:10" ht="30" customHeight="1" x14ac:dyDescent="0.2">
      <c r="A77" s="212"/>
      <c r="B77" s="462" t="str">
        <f>+'MTF_APICULTURA (10+45)'!B124</f>
        <v>Escritorio en L oficina (mdetal-madera) Altura 73cm, Largo 154 cm, Ancho 106cm, Profundidad 48cm</v>
      </c>
      <c r="C77" s="418" t="str">
        <f>+'MTF_APICULTURA (10+45)'!F124</f>
        <v>Unidad</v>
      </c>
      <c r="D77" s="418">
        <f>+'MTF_APICULTURA (10+45)'!H124</f>
        <v>2</v>
      </c>
      <c r="E77" s="418">
        <f>+'MTF_APICULTURA (10+45)'!G124</f>
        <v>393395.4</v>
      </c>
      <c r="F77" s="418"/>
      <c r="G77" s="419"/>
      <c r="H77" s="415">
        <f>+E77*D77</f>
        <v>786790.8</v>
      </c>
      <c r="I77" s="377">
        <f t="shared" ref="I77:I81" si="23">+H77</f>
        <v>786790.8</v>
      </c>
      <c r="J77" s="379"/>
    </row>
    <row r="78" spans="1:10" x14ac:dyDescent="0.2">
      <c r="A78" s="212"/>
      <c r="B78" s="418" t="str">
        <f>+'MTF_APICULTURA (10+45)'!B125</f>
        <v>Silla Oficina Lyn  110X64X64 Negro</v>
      </c>
      <c r="C78" s="418" t="str">
        <f>+'MTF_APICULTURA (10+45)'!F125</f>
        <v>Unidad</v>
      </c>
      <c r="D78" s="418">
        <f>+'MTF_APICULTURA (10+45)'!H125</f>
        <v>2</v>
      </c>
      <c r="E78" s="418">
        <f>+'MTF_APICULTURA (10+45)'!G125</f>
        <v>336534.8</v>
      </c>
      <c r="F78" s="418"/>
      <c r="G78" s="419"/>
      <c r="H78" s="415">
        <f t="shared" ref="H78:H81" si="24">+E78*D78</f>
        <v>673069.6</v>
      </c>
      <c r="I78" s="377">
        <f t="shared" si="23"/>
        <v>673069.6</v>
      </c>
      <c r="J78" s="379"/>
    </row>
    <row r="79" spans="1:10" x14ac:dyDescent="0.2">
      <c r="A79" s="212"/>
      <c r="B79" s="418" t="str">
        <f>+'MTF_APICULTURA (10+45)'!B126</f>
        <v>Archivador metalico ref. 2x1 38x48x70 negro</v>
      </c>
      <c r="C79" s="418" t="str">
        <f>+'MTF_APICULTURA (10+45)'!F126</f>
        <v>Unidad</v>
      </c>
      <c r="D79" s="418">
        <f>+'MTF_APICULTURA (10+45)'!H126</f>
        <v>1</v>
      </c>
      <c r="E79" s="418">
        <f>+'MTF_APICULTURA (10+45)'!G126</f>
        <v>531680.80000000005</v>
      </c>
      <c r="F79" s="418"/>
      <c r="G79" s="419"/>
      <c r="H79" s="415">
        <f t="shared" si="24"/>
        <v>531680.80000000005</v>
      </c>
      <c r="I79" s="377">
        <f t="shared" si="23"/>
        <v>531680.80000000005</v>
      </c>
      <c r="J79" s="379"/>
    </row>
    <row r="80" spans="1:10" x14ac:dyDescent="0.2">
      <c r="A80" s="212"/>
      <c r="B80" s="418" t="str">
        <f>+'MTF_APICULTURA (10+45)'!B127</f>
        <v>Computador All In One HP Pavilion 32-b1001la I7 16GB RAM 512GB SSD</v>
      </c>
      <c r="C80" s="418" t="str">
        <f>+'MTF_APICULTURA (10+45)'!F127</f>
        <v>Unidad</v>
      </c>
      <c r="D80" s="418">
        <v>1</v>
      </c>
      <c r="E80" s="418">
        <f>+'MTF_APICULTURA (10+45)'!G127</f>
        <v>2787268.74</v>
      </c>
      <c r="F80" s="418"/>
      <c r="G80" s="419"/>
      <c r="H80" s="415">
        <f t="shared" si="24"/>
        <v>2787268.74</v>
      </c>
      <c r="I80" s="377">
        <f t="shared" si="23"/>
        <v>2787268.74</v>
      </c>
      <c r="J80" s="379"/>
    </row>
    <row r="81" spans="1:12" x14ac:dyDescent="0.2">
      <c r="A81" s="212"/>
      <c r="B81" s="418" t="str">
        <f>+'MTF_APICULTURA (10+45)'!B128</f>
        <v>Impresora Multifuncional EPSON Ecotank L5590 WiFi Hg-Of - Negro</v>
      </c>
      <c r="C81" s="418" t="str">
        <f>+'MTF_APICULTURA (10+45)'!F128</f>
        <v>Unidad</v>
      </c>
      <c r="D81" s="418">
        <f>+'MTF_APICULTURA (10+45)'!H128</f>
        <v>1</v>
      </c>
      <c r="E81" s="418">
        <f>+'MTF_APICULTURA (10+45)'!G128</f>
        <v>1466961.4</v>
      </c>
      <c r="F81" s="418"/>
      <c r="G81" s="419"/>
      <c r="H81" s="415">
        <f t="shared" si="24"/>
        <v>1466961.4</v>
      </c>
      <c r="I81" s="377">
        <f t="shared" si="23"/>
        <v>1466961.4</v>
      </c>
      <c r="J81" s="379"/>
    </row>
    <row r="82" spans="1:12" x14ac:dyDescent="0.2">
      <c r="A82" s="212"/>
      <c r="B82" s="491" t="s">
        <v>259</v>
      </c>
      <c r="C82" s="492"/>
      <c r="D82" s="492"/>
      <c r="E82" s="492"/>
      <c r="F82" s="492"/>
      <c r="G82" s="493"/>
      <c r="H82" s="339">
        <f>SUM(H77:H81)</f>
        <v>6245771.3399999999</v>
      </c>
      <c r="I82" s="422">
        <f t="shared" ref="I82:J82" si="25">SUM(I77:I81)</f>
        <v>6245771.3399999999</v>
      </c>
      <c r="J82" s="422">
        <f t="shared" si="25"/>
        <v>0</v>
      </c>
    </row>
    <row r="83" spans="1:12" x14ac:dyDescent="0.2">
      <c r="A83" s="212"/>
      <c r="B83" s="216"/>
      <c r="C83" s="216"/>
      <c r="D83" s="216"/>
      <c r="E83" s="216"/>
      <c r="F83" s="216"/>
      <c r="G83" s="216"/>
      <c r="H83" s="232"/>
    </row>
    <row r="84" spans="1:12" x14ac:dyDescent="0.2">
      <c r="A84" s="212"/>
      <c r="B84" s="222"/>
      <c r="C84" s="222"/>
      <c r="D84" s="222"/>
      <c r="E84" s="222"/>
      <c r="F84" s="222"/>
      <c r="G84" s="222"/>
      <c r="H84" s="232"/>
    </row>
    <row r="85" spans="1:12" x14ac:dyDescent="0.2">
      <c r="B85" s="483" t="s">
        <v>302</v>
      </c>
      <c r="C85" s="483"/>
      <c r="D85" s="483"/>
      <c r="E85" s="483"/>
      <c r="F85" s="483"/>
      <c r="G85" s="483"/>
      <c r="H85" s="345" t="s">
        <v>288</v>
      </c>
      <c r="I85" s="346" t="s">
        <v>300</v>
      </c>
      <c r="J85" s="346" t="s">
        <v>301</v>
      </c>
    </row>
    <row r="86" spans="1:12" x14ac:dyDescent="0.2">
      <c r="A86" s="212"/>
      <c r="B86" s="477" t="s">
        <v>115</v>
      </c>
      <c r="C86" s="478"/>
      <c r="D86" s="478"/>
      <c r="E86" s="478"/>
      <c r="F86" s="478"/>
      <c r="G86" s="479"/>
      <c r="H86" s="231">
        <f>H4+H21+H51+H55+H63+H74+H37+H32+H82</f>
        <v>1005225152.34</v>
      </c>
      <c r="I86" s="223">
        <f>I4+I21+I51+I55+I63+I74+I37+I32+I82</f>
        <v>961775152.34000003</v>
      </c>
      <c r="J86" s="223">
        <f>J4+J21+J51+J55+J63+J74+J37+J32+J82</f>
        <v>43450000</v>
      </c>
      <c r="L86" s="229"/>
    </row>
    <row r="87" spans="1:12" x14ac:dyDescent="0.2">
      <c r="B87" s="477" t="s">
        <v>298</v>
      </c>
      <c r="C87" s="478"/>
      <c r="D87" s="478"/>
      <c r="E87" s="478"/>
      <c r="F87" s="478"/>
      <c r="G87" s="479"/>
      <c r="H87" s="231">
        <f>+'Costos de implementación'!H21</f>
        <v>259136155.04173604</v>
      </c>
      <c r="I87" s="234">
        <f>+H87</f>
        <v>259136155.04173604</v>
      </c>
      <c r="J87" s="234">
        <f>+'Costos de implementación'!J21</f>
        <v>0</v>
      </c>
    </row>
    <row r="88" spans="1:12" x14ac:dyDescent="0.2">
      <c r="B88" s="480" t="s">
        <v>299</v>
      </c>
      <c r="C88" s="481"/>
      <c r="D88" s="481"/>
      <c r="E88" s="481"/>
      <c r="F88" s="481"/>
      <c r="G88" s="482"/>
      <c r="H88" s="339">
        <f>+H87+H86</f>
        <v>1264361307.381736</v>
      </c>
      <c r="I88" s="339">
        <f>SUM(I86:I87)</f>
        <v>1220911307.381736</v>
      </c>
      <c r="J88" s="339">
        <f>SUM(J86:J87)</f>
        <v>43450000</v>
      </c>
      <c r="L88" s="230">
        <f>+H86-H82-H30</f>
        <v>986355381</v>
      </c>
    </row>
    <row r="89" spans="1:12" x14ac:dyDescent="0.2">
      <c r="I89" s="228"/>
    </row>
    <row r="90" spans="1:12" x14ac:dyDescent="0.2">
      <c r="F90" s="476" t="s">
        <v>384</v>
      </c>
      <c r="G90" s="476"/>
      <c r="H90" s="233">
        <v>1220911307</v>
      </c>
      <c r="J90" s="229"/>
    </row>
    <row r="91" spans="1:12" x14ac:dyDescent="0.2">
      <c r="F91" s="347" t="s">
        <v>385</v>
      </c>
      <c r="H91" s="233">
        <f>+H88-H90</f>
        <v>43450000.38173604</v>
      </c>
    </row>
    <row r="92" spans="1:12" x14ac:dyDescent="0.2">
      <c r="H92" s="348">
        <f>+H91-J88</f>
        <v>0.38173604011535645</v>
      </c>
      <c r="J92" s="229"/>
    </row>
    <row r="95" spans="1:12" x14ac:dyDescent="0.2">
      <c r="J95" s="230"/>
    </row>
    <row r="97" spans="10:10" x14ac:dyDescent="0.2">
      <c r="J97" s="228"/>
    </row>
  </sheetData>
  <mergeCells count="14">
    <mergeCell ref="F90:G90"/>
    <mergeCell ref="B87:G87"/>
    <mergeCell ref="B88:G88"/>
    <mergeCell ref="B85:G85"/>
    <mergeCell ref="B4:G4"/>
    <mergeCell ref="B74:G74"/>
    <mergeCell ref="B86:G86"/>
    <mergeCell ref="B15:H15"/>
    <mergeCell ref="B21:G21"/>
    <mergeCell ref="B51:G51"/>
    <mergeCell ref="B55:G55"/>
    <mergeCell ref="B63:G63"/>
    <mergeCell ref="A33:H33"/>
    <mergeCell ref="B82:G82"/>
  </mergeCells>
  <dataValidations disablePrompts="1" count="1">
    <dataValidation type="decimal" operator="greaterThanOrEqual" allowBlank="1" showInputMessage="1" showErrorMessage="1" errorTitle="Dato Incorrecto" error="Este campo solo permite datos numéricos no negativos.  Verifique que el número a ingresar no posea caracteres alfabéticos y/o distintos." sqref="IS41:IT50 D65558:F65565 IS65558:IT65565 D41:F50 IS24:IT38 D24:F32 D36:D38 E37:F38" xr:uid="{00000000-0002-0000-0000-000000000000}">
      <formula1>0</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F0"/>
  </sheetPr>
  <dimension ref="A2:O44"/>
  <sheetViews>
    <sheetView zoomScaleNormal="100" workbookViewId="0">
      <pane ySplit="2" topLeftCell="A11" activePane="bottomLeft" state="frozen"/>
      <selection pane="bottomLeft" activeCell="A44" sqref="A2:O44"/>
    </sheetView>
  </sheetViews>
  <sheetFormatPr baseColWidth="10" defaultColWidth="11.42578125" defaultRowHeight="11.25" x14ac:dyDescent="0.2"/>
  <cols>
    <col min="1" max="1" width="24.42578125" style="212" customWidth="1"/>
    <col min="2" max="2" width="41.85546875" style="212" customWidth="1"/>
    <col min="3" max="3" width="9" style="230" customWidth="1"/>
    <col min="4" max="4" width="9" style="230" bestFit="1" customWidth="1"/>
    <col min="5" max="5" width="10.140625" style="230" hidden="1" customWidth="1"/>
    <col min="6" max="6" width="9" style="230" bestFit="1" customWidth="1"/>
    <col min="7" max="7" width="8.7109375" style="230" bestFit="1" customWidth="1"/>
    <col min="8" max="8" width="9.42578125" style="230" bestFit="1" customWidth="1"/>
    <col min="9" max="9" width="8.7109375" style="230" bestFit="1" customWidth="1"/>
    <col min="10" max="10" width="10.5703125" style="230" hidden="1" customWidth="1"/>
    <col min="11" max="11" width="8.7109375" style="230" bestFit="1" customWidth="1"/>
    <col min="12" max="12" width="8.42578125" style="230" bestFit="1" customWidth="1"/>
    <col min="13" max="14" width="8.7109375" style="230" bestFit="1" customWidth="1"/>
    <col min="15" max="15" width="5.85546875" style="212" bestFit="1" customWidth="1"/>
    <col min="16" max="16384" width="11.42578125" style="212"/>
  </cols>
  <sheetData>
    <row r="2" spans="1:15" ht="30" customHeight="1" x14ac:dyDescent="0.2">
      <c r="A2" s="463" t="s">
        <v>175</v>
      </c>
      <c r="B2" s="463" t="s">
        <v>176</v>
      </c>
      <c r="C2" s="464" t="s">
        <v>116</v>
      </c>
      <c r="D2" s="465" t="s">
        <v>177</v>
      </c>
      <c r="E2" s="466" t="s">
        <v>178</v>
      </c>
      <c r="F2" s="465" t="s">
        <v>179</v>
      </c>
      <c r="G2" s="465" t="s">
        <v>303</v>
      </c>
      <c r="H2" s="465" t="s">
        <v>248</v>
      </c>
      <c r="I2" s="465" t="s">
        <v>247</v>
      </c>
      <c r="J2" s="467" t="s">
        <v>377</v>
      </c>
      <c r="K2" s="464" t="s">
        <v>304</v>
      </c>
      <c r="L2" s="464" t="s">
        <v>305</v>
      </c>
      <c r="M2" s="464" t="s">
        <v>306</v>
      </c>
      <c r="N2" s="464" t="s">
        <v>307</v>
      </c>
      <c r="O2" s="468" t="s">
        <v>378</v>
      </c>
    </row>
    <row r="3" spans="1:15" ht="33.75" x14ac:dyDescent="0.2">
      <c r="A3" s="469" t="s">
        <v>180</v>
      </c>
      <c r="B3" s="387" t="s">
        <v>181</v>
      </c>
      <c r="C3" s="333">
        <v>1</v>
      </c>
      <c r="D3" s="470">
        <v>35000</v>
      </c>
      <c r="E3" s="470"/>
      <c r="F3" s="470">
        <v>35000</v>
      </c>
      <c r="G3" s="333"/>
      <c r="H3" s="333"/>
      <c r="I3" s="333"/>
      <c r="J3" s="333"/>
      <c r="K3" s="333">
        <f t="shared" ref="K3:K16" si="0">ROUND((AVERAGE(D3:F3)),0)</f>
        <v>35000</v>
      </c>
      <c r="L3" s="333">
        <f t="shared" ref="L3:L40" si="1">ROUND((STDEVA(D3:I3)),0)</f>
        <v>0</v>
      </c>
      <c r="M3" s="333">
        <f>+K3-L3</f>
        <v>35000</v>
      </c>
      <c r="N3" s="333">
        <f>+K3+L3</f>
        <v>35000</v>
      </c>
      <c r="O3" s="471" t="str">
        <f>IF(AND(K3&gt;=M3, K3&lt;=N3), "OK ", "fuera del rango")</f>
        <v xml:space="preserve">OK </v>
      </c>
    </row>
    <row r="4" spans="1:15" ht="45" x14ac:dyDescent="0.2">
      <c r="A4" s="472" t="s">
        <v>182</v>
      </c>
      <c r="B4" s="387" t="s">
        <v>183</v>
      </c>
      <c r="C4" s="333">
        <v>1</v>
      </c>
      <c r="D4" s="470">
        <v>26000</v>
      </c>
      <c r="E4" s="470"/>
      <c r="F4" s="470">
        <v>34000</v>
      </c>
      <c r="G4" s="333"/>
      <c r="H4" s="333"/>
      <c r="I4" s="333"/>
      <c r="J4" s="333"/>
      <c r="K4" s="333">
        <f t="shared" si="0"/>
        <v>30000</v>
      </c>
      <c r="L4" s="333">
        <f t="shared" si="1"/>
        <v>5657</v>
      </c>
      <c r="M4" s="333">
        <f t="shared" ref="M4:M43" si="2">+K4-L4</f>
        <v>24343</v>
      </c>
      <c r="N4" s="333">
        <f t="shared" ref="N4:N43" si="3">+K4+L4</f>
        <v>35657</v>
      </c>
      <c r="O4" s="471" t="str">
        <f t="shared" ref="O4:O43" si="4">IF(AND(K4&gt;=M4, K4&lt;=N4), "OK ", "fuera del rango")</f>
        <v xml:space="preserve">OK </v>
      </c>
    </row>
    <row r="5" spans="1:15" ht="33.75" x14ac:dyDescent="0.2">
      <c r="A5" s="472" t="s">
        <v>184</v>
      </c>
      <c r="B5" s="387" t="s">
        <v>185</v>
      </c>
      <c r="C5" s="333">
        <v>1</v>
      </c>
      <c r="D5" s="470">
        <v>45000</v>
      </c>
      <c r="E5" s="470"/>
      <c r="F5" s="470">
        <v>49000</v>
      </c>
      <c r="G5" s="333"/>
      <c r="H5" s="333"/>
      <c r="I5" s="333"/>
      <c r="J5" s="333"/>
      <c r="K5" s="333">
        <f t="shared" si="0"/>
        <v>47000</v>
      </c>
      <c r="L5" s="333">
        <f t="shared" si="1"/>
        <v>2828</v>
      </c>
      <c r="M5" s="333">
        <f t="shared" si="2"/>
        <v>44172</v>
      </c>
      <c r="N5" s="333">
        <f t="shared" si="3"/>
        <v>49828</v>
      </c>
      <c r="O5" s="471" t="str">
        <f t="shared" si="4"/>
        <v xml:space="preserve">OK </v>
      </c>
    </row>
    <row r="6" spans="1:15" x14ac:dyDescent="0.2">
      <c r="A6" s="472" t="s">
        <v>186</v>
      </c>
      <c r="B6" s="387" t="s">
        <v>142</v>
      </c>
      <c r="C6" s="333">
        <v>1</v>
      </c>
      <c r="D6" s="470">
        <v>27000</v>
      </c>
      <c r="E6" s="470"/>
      <c r="F6" s="470">
        <v>45000</v>
      </c>
      <c r="G6" s="333"/>
      <c r="H6" s="333"/>
      <c r="I6" s="333"/>
      <c r="J6" s="333"/>
      <c r="K6" s="333">
        <f t="shared" si="0"/>
        <v>36000</v>
      </c>
      <c r="L6" s="333">
        <f t="shared" si="1"/>
        <v>12728</v>
      </c>
      <c r="M6" s="333">
        <f t="shared" si="2"/>
        <v>23272</v>
      </c>
      <c r="N6" s="333">
        <f t="shared" si="3"/>
        <v>48728</v>
      </c>
      <c r="O6" s="471" t="str">
        <f t="shared" si="4"/>
        <v xml:space="preserve">OK </v>
      </c>
    </row>
    <row r="7" spans="1:15" ht="22.5" x14ac:dyDescent="0.2">
      <c r="A7" s="472" t="s">
        <v>187</v>
      </c>
      <c r="B7" s="387" t="s">
        <v>143</v>
      </c>
      <c r="C7" s="333">
        <v>1</v>
      </c>
      <c r="D7" s="470">
        <v>22000</v>
      </c>
      <c r="E7" s="470"/>
      <c r="F7" s="470">
        <v>22000</v>
      </c>
      <c r="G7" s="333"/>
      <c r="H7" s="333"/>
      <c r="I7" s="333"/>
      <c r="J7" s="333"/>
      <c r="K7" s="333">
        <f t="shared" si="0"/>
        <v>22000</v>
      </c>
      <c r="L7" s="333">
        <f t="shared" si="1"/>
        <v>0</v>
      </c>
      <c r="M7" s="333">
        <f t="shared" si="2"/>
        <v>22000</v>
      </c>
      <c r="N7" s="333">
        <f t="shared" si="3"/>
        <v>22000</v>
      </c>
      <c r="O7" s="471" t="str">
        <f t="shared" si="4"/>
        <v xml:space="preserve">OK </v>
      </c>
    </row>
    <row r="8" spans="1:15" ht="22.5" x14ac:dyDescent="0.2">
      <c r="A8" s="472" t="s">
        <v>188</v>
      </c>
      <c r="B8" s="387" t="s">
        <v>144</v>
      </c>
      <c r="C8" s="333">
        <v>1</v>
      </c>
      <c r="D8" s="470">
        <v>3700</v>
      </c>
      <c r="E8" s="470"/>
      <c r="F8" s="470">
        <v>3800</v>
      </c>
      <c r="G8" s="333"/>
      <c r="H8" s="333"/>
      <c r="I8" s="333"/>
      <c r="J8" s="333"/>
      <c r="K8" s="333">
        <f t="shared" si="0"/>
        <v>3750</v>
      </c>
      <c r="L8" s="333">
        <f t="shared" si="1"/>
        <v>71</v>
      </c>
      <c r="M8" s="333">
        <f t="shared" si="2"/>
        <v>3679</v>
      </c>
      <c r="N8" s="333">
        <f t="shared" si="3"/>
        <v>3821</v>
      </c>
      <c r="O8" s="471" t="str">
        <f t="shared" si="4"/>
        <v xml:space="preserve">OK </v>
      </c>
    </row>
    <row r="9" spans="1:15" x14ac:dyDescent="0.2">
      <c r="A9" s="472" t="s">
        <v>189</v>
      </c>
      <c r="B9" s="387" t="s">
        <v>145</v>
      </c>
      <c r="C9" s="333">
        <v>1</v>
      </c>
      <c r="D9" s="470">
        <v>3800</v>
      </c>
      <c r="E9" s="470"/>
      <c r="F9" s="470">
        <v>4800</v>
      </c>
      <c r="G9" s="333"/>
      <c r="H9" s="333"/>
      <c r="I9" s="333"/>
      <c r="J9" s="333"/>
      <c r="K9" s="333">
        <f t="shared" si="0"/>
        <v>4300</v>
      </c>
      <c r="L9" s="333">
        <f t="shared" si="1"/>
        <v>707</v>
      </c>
      <c r="M9" s="333">
        <f t="shared" si="2"/>
        <v>3593</v>
      </c>
      <c r="N9" s="333">
        <f t="shared" si="3"/>
        <v>5007</v>
      </c>
      <c r="O9" s="471" t="str">
        <f t="shared" si="4"/>
        <v xml:space="preserve">OK </v>
      </c>
    </row>
    <row r="10" spans="1:15" ht="33.75" x14ac:dyDescent="0.2">
      <c r="A10" s="472" t="s">
        <v>190</v>
      </c>
      <c r="B10" s="387" t="s">
        <v>191</v>
      </c>
      <c r="C10" s="333">
        <v>1</v>
      </c>
      <c r="D10" s="470">
        <v>22000</v>
      </c>
      <c r="E10" s="470"/>
      <c r="F10" s="470">
        <v>24000</v>
      </c>
      <c r="G10" s="333"/>
      <c r="H10" s="333"/>
      <c r="I10" s="333"/>
      <c r="J10" s="333"/>
      <c r="K10" s="333">
        <f t="shared" si="0"/>
        <v>23000</v>
      </c>
      <c r="L10" s="333">
        <f t="shared" si="1"/>
        <v>1414</v>
      </c>
      <c r="M10" s="333">
        <f t="shared" si="2"/>
        <v>21586</v>
      </c>
      <c r="N10" s="333">
        <f t="shared" si="3"/>
        <v>24414</v>
      </c>
      <c r="O10" s="471" t="str">
        <f t="shared" si="4"/>
        <v xml:space="preserve">OK </v>
      </c>
    </row>
    <row r="11" spans="1:15" ht="33.75" x14ac:dyDescent="0.2">
      <c r="A11" s="472" t="s">
        <v>192</v>
      </c>
      <c r="B11" s="473" t="s">
        <v>138</v>
      </c>
      <c r="C11" s="333">
        <v>1</v>
      </c>
      <c r="D11" s="470">
        <v>270000</v>
      </c>
      <c r="E11" s="470"/>
      <c r="F11" s="470">
        <v>270000</v>
      </c>
      <c r="G11" s="333"/>
      <c r="H11" s="333"/>
      <c r="I11" s="333"/>
      <c r="J11" s="333"/>
      <c r="K11" s="333">
        <f t="shared" si="0"/>
        <v>270000</v>
      </c>
      <c r="L11" s="333">
        <f t="shared" si="1"/>
        <v>0</v>
      </c>
      <c r="M11" s="333">
        <f t="shared" si="2"/>
        <v>270000</v>
      </c>
      <c r="N11" s="333">
        <f t="shared" si="3"/>
        <v>270000</v>
      </c>
      <c r="O11" s="471" t="str">
        <f t="shared" si="4"/>
        <v xml:space="preserve">OK </v>
      </c>
    </row>
    <row r="12" spans="1:15" ht="22.5" x14ac:dyDescent="0.2">
      <c r="A12" s="472" t="s">
        <v>193</v>
      </c>
      <c r="B12" s="387" t="s">
        <v>194</v>
      </c>
      <c r="C12" s="333">
        <v>1</v>
      </c>
      <c r="D12" s="470">
        <v>140000</v>
      </c>
      <c r="E12" s="470"/>
      <c r="F12" s="470">
        <v>190000</v>
      </c>
      <c r="G12" s="333"/>
      <c r="H12" s="333"/>
      <c r="I12" s="333"/>
      <c r="J12" s="333"/>
      <c r="K12" s="333">
        <f t="shared" si="0"/>
        <v>165000</v>
      </c>
      <c r="L12" s="333">
        <f t="shared" si="1"/>
        <v>35355</v>
      </c>
      <c r="M12" s="333">
        <f t="shared" si="2"/>
        <v>129645</v>
      </c>
      <c r="N12" s="333">
        <f t="shared" si="3"/>
        <v>200355</v>
      </c>
      <c r="O12" s="471" t="str">
        <f t="shared" si="4"/>
        <v xml:space="preserve">OK </v>
      </c>
    </row>
    <row r="13" spans="1:15" ht="45" x14ac:dyDescent="0.2">
      <c r="A13" s="472" t="s">
        <v>195</v>
      </c>
      <c r="B13" s="387" t="s">
        <v>196</v>
      </c>
      <c r="C13" s="333">
        <v>1</v>
      </c>
      <c r="D13" s="470">
        <v>190000</v>
      </c>
      <c r="E13" s="470"/>
      <c r="F13" s="470">
        <v>190000</v>
      </c>
      <c r="G13" s="333"/>
      <c r="H13" s="333"/>
      <c r="I13" s="333"/>
      <c r="J13" s="333"/>
      <c r="K13" s="333">
        <f t="shared" si="0"/>
        <v>190000</v>
      </c>
      <c r="L13" s="333">
        <f t="shared" si="1"/>
        <v>0</v>
      </c>
      <c r="M13" s="333">
        <f t="shared" si="2"/>
        <v>190000</v>
      </c>
      <c r="N13" s="333">
        <f t="shared" si="3"/>
        <v>190000</v>
      </c>
      <c r="O13" s="471" t="str">
        <f t="shared" si="4"/>
        <v xml:space="preserve">OK </v>
      </c>
    </row>
    <row r="14" spans="1:15" x14ac:dyDescent="0.2">
      <c r="A14" s="472" t="s">
        <v>197</v>
      </c>
      <c r="B14" s="387" t="s">
        <v>198</v>
      </c>
      <c r="C14" s="333">
        <v>1</v>
      </c>
      <c r="D14" s="470">
        <v>37000</v>
      </c>
      <c r="E14" s="470"/>
      <c r="F14" s="470">
        <v>37000</v>
      </c>
      <c r="G14" s="333"/>
      <c r="H14" s="333"/>
      <c r="I14" s="333"/>
      <c r="J14" s="333"/>
      <c r="K14" s="333">
        <f t="shared" si="0"/>
        <v>37000</v>
      </c>
      <c r="L14" s="333">
        <f t="shared" si="1"/>
        <v>0</v>
      </c>
      <c r="M14" s="333">
        <f t="shared" si="2"/>
        <v>37000</v>
      </c>
      <c r="N14" s="333">
        <f t="shared" si="3"/>
        <v>37000</v>
      </c>
      <c r="O14" s="471" t="str">
        <f t="shared" si="4"/>
        <v xml:space="preserve">OK </v>
      </c>
    </row>
    <row r="15" spans="1:15" ht="33.75" x14ac:dyDescent="0.2">
      <c r="A15" s="472" t="s">
        <v>199</v>
      </c>
      <c r="B15" s="387" t="s">
        <v>147</v>
      </c>
      <c r="C15" s="333">
        <v>1</v>
      </c>
      <c r="D15" s="470">
        <v>1850000</v>
      </c>
      <c r="E15" s="470"/>
      <c r="F15" s="470">
        <v>1900000</v>
      </c>
      <c r="G15" s="333"/>
      <c r="H15" s="333"/>
      <c r="I15" s="333"/>
      <c r="J15" s="333"/>
      <c r="K15" s="333">
        <f t="shared" si="0"/>
        <v>1875000</v>
      </c>
      <c r="L15" s="333">
        <f t="shared" si="1"/>
        <v>35355</v>
      </c>
      <c r="M15" s="333">
        <f t="shared" si="2"/>
        <v>1839645</v>
      </c>
      <c r="N15" s="333">
        <f t="shared" si="3"/>
        <v>1910355</v>
      </c>
      <c r="O15" s="471" t="str">
        <f t="shared" si="4"/>
        <v xml:space="preserve">OK </v>
      </c>
    </row>
    <row r="16" spans="1:15" ht="22.5" x14ac:dyDescent="0.2">
      <c r="A16" s="472" t="s">
        <v>200</v>
      </c>
      <c r="B16" s="387" t="s">
        <v>148</v>
      </c>
      <c r="C16" s="333">
        <v>1</v>
      </c>
      <c r="D16" s="470">
        <v>300000</v>
      </c>
      <c r="E16" s="470"/>
      <c r="F16" s="470">
        <v>350000</v>
      </c>
      <c r="G16" s="333"/>
      <c r="H16" s="333"/>
      <c r="I16" s="333"/>
      <c r="J16" s="333"/>
      <c r="K16" s="333">
        <f t="shared" si="0"/>
        <v>325000</v>
      </c>
      <c r="L16" s="333">
        <f t="shared" si="1"/>
        <v>35355</v>
      </c>
      <c r="M16" s="333">
        <f t="shared" si="2"/>
        <v>289645</v>
      </c>
      <c r="N16" s="333">
        <f t="shared" si="3"/>
        <v>360355</v>
      </c>
      <c r="O16" s="471" t="str">
        <f t="shared" si="4"/>
        <v xml:space="preserve">OK </v>
      </c>
    </row>
    <row r="17" spans="1:15" x14ac:dyDescent="0.2">
      <c r="A17" s="472" t="s">
        <v>201</v>
      </c>
      <c r="B17" s="387" t="s">
        <v>202</v>
      </c>
      <c r="C17" s="333">
        <v>1</v>
      </c>
      <c r="D17" s="470">
        <v>3300</v>
      </c>
      <c r="E17" s="470"/>
      <c r="F17" s="470">
        <v>3300</v>
      </c>
      <c r="G17" s="333"/>
      <c r="H17" s="333"/>
      <c r="I17" s="333"/>
      <c r="J17" s="333"/>
      <c r="K17" s="333">
        <f>AVERAGE(D17:F17)</f>
        <v>3300</v>
      </c>
      <c r="L17" s="333">
        <f t="shared" si="1"/>
        <v>0</v>
      </c>
      <c r="M17" s="333">
        <f t="shared" si="2"/>
        <v>3300</v>
      </c>
      <c r="N17" s="333">
        <f t="shared" si="3"/>
        <v>3300</v>
      </c>
      <c r="O17" s="471" t="str">
        <f t="shared" si="4"/>
        <v xml:space="preserve">OK </v>
      </c>
    </row>
    <row r="18" spans="1:15" ht="22.5" x14ac:dyDescent="0.2">
      <c r="A18" s="472" t="s">
        <v>203</v>
      </c>
      <c r="B18" s="387" t="s">
        <v>204</v>
      </c>
      <c r="C18" s="333">
        <v>1</v>
      </c>
      <c r="D18" s="470">
        <v>2000</v>
      </c>
      <c r="E18" s="470"/>
      <c r="F18" s="470">
        <v>2000</v>
      </c>
      <c r="G18" s="333"/>
      <c r="H18" s="333"/>
      <c r="I18" s="333"/>
      <c r="J18" s="333"/>
      <c r="K18" s="333">
        <f>AVERAGE(D18:F18)</f>
        <v>2000</v>
      </c>
      <c r="L18" s="333">
        <f t="shared" si="1"/>
        <v>0</v>
      </c>
      <c r="M18" s="333">
        <f t="shared" si="2"/>
        <v>2000</v>
      </c>
      <c r="N18" s="333">
        <f t="shared" si="3"/>
        <v>2000</v>
      </c>
      <c r="O18" s="471" t="str">
        <f t="shared" si="4"/>
        <v xml:space="preserve">OK </v>
      </c>
    </row>
    <row r="19" spans="1:15" ht="22.5" x14ac:dyDescent="0.2">
      <c r="A19" s="472" t="s">
        <v>205</v>
      </c>
      <c r="B19" s="387" t="s">
        <v>206</v>
      </c>
      <c r="C19" s="333">
        <v>1</v>
      </c>
      <c r="D19" s="470">
        <v>33000</v>
      </c>
      <c r="E19" s="470"/>
      <c r="F19" s="470">
        <v>60000</v>
      </c>
      <c r="G19" s="333"/>
      <c r="H19" s="333"/>
      <c r="I19" s="333"/>
      <c r="J19" s="333"/>
      <c r="K19" s="333">
        <f t="shared" ref="K19:K34" si="5">ROUND((AVERAGE(D19:F19)),0)</f>
        <v>46500</v>
      </c>
      <c r="L19" s="333">
        <f t="shared" si="1"/>
        <v>19092</v>
      </c>
      <c r="M19" s="333">
        <f t="shared" si="2"/>
        <v>27408</v>
      </c>
      <c r="N19" s="333">
        <f t="shared" si="3"/>
        <v>65592</v>
      </c>
      <c r="O19" s="471" t="str">
        <f t="shared" si="4"/>
        <v xml:space="preserve">OK </v>
      </c>
    </row>
    <row r="20" spans="1:15" x14ac:dyDescent="0.2">
      <c r="A20" s="472" t="s">
        <v>207</v>
      </c>
      <c r="B20" s="387" t="s">
        <v>208</v>
      </c>
      <c r="C20" s="333">
        <v>1</v>
      </c>
      <c r="D20" s="470">
        <v>8000</v>
      </c>
      <c r="E20" s="470"/>
      <c r="F20" s="470">
        <v>22000</v>
      </c>
      <c r="G20" s="333"/>
      <c r="H20" s="333"/>
      <c r="I20" s="333"/>
      <c r="J20" s="333"/>
      <c r="K20" s="333">
        <f t="shared" si="5"/>
        <v>15000</v>
      </c>
      <c r="L20" s="333">
        <f t="shared" si="1"/>
        <v>9899</v>
      </c>
      <c r="M20" s="333">
        <f t="shared" si="2"/>
        <v>5101</v>
      </c>
      <c r="N20" s="333">
        <f t="shared" si="3"/>
        <v>24899</v>
      </c>
      <c r="O20" s="471" t="str">
        <f t="shared" si="4"/>
        <v xml:space="preserve">OK </v>
      </c>
    </row>
    <row r="21" spans="1:15" x14ac:dyDescent="0.2">
      <c r="A21" s="472" t="s">
        <v>209</v>
      </c>
      <c r="B21" s="387" t="s">
        <v>149</v>
      </c>
      <c r="C21" s="333">
        <v>1</v>
      </c>
      <c r="D21" s="470">
        <v>35000</v>
      </c>
      <c r="E21" s="470"/>
      <c r="F21" s="470">
        <v>80000</v>
      </c>
      <c r="G21" s="333"/>
      <c r="H21" s="333"/>
      <c r="I21" s="333"/>
      <c r="J21" s="333"/>
      <c r="K21" s="333">
        <f t="shared" si="5"/>
        <v>57500</v>
      </c>
      <c r="L21" s="333">
        <f t="shared" si="1"/>
        <v>31820</v>
      </c>
      <c r="M21" s="333">
        <f t="shared" si="2"/>
        <v>25680</v>
      </c>
      <c r="N21" s="333">
        <f t="shared" si="3"/>
        <v>89320</v>
      </c>
      <c r="O21" s="471" t="str">
        <f t="shared" si="4"/>
        <v xml:space="preserve">OK </v>
      </c>
    </row>
    <row r="22" spans="1:15" ht="22.5" x14ac:dyDescent="0.2">
      <c r="A22" s="472" t="s">
        <v>210</v>
      </c>
      <c r="B22" s="387" t="s">
        <v>211</v>
      </c>
      <c r="C22" s="333">
        <v>1</v>
      </c>
      <c r="D22" s="470">
        <v>19000</v>
      </c>
      <c r="E22" s="470"/>
      <c r="F22" s="470">
        <v>42000</v>
      </c>
      <c r="G22" s="333"/>
      <c r="H22" s="333"/>
      <c r="I22" s="333"/>
      <c r="J22" s="333"/>
      <c r="K22" s="333">
        <f t="shared" si="5"/>
        <v>30500</v>
      </c>
      <c r="L22" s="333">
        <f t="shared" si="1"/>
        <v>16263</v>
      </c>
      <c r="M22" s="333">
        <f t="shared" si="2"/>
        <v>14237</v>
      </c>
      <c r="N22" s="333">
        <f t="shared" si="3"/>
        <v>46763</v>
      </c>
      <c r="O22" s="471" t="str">
        <f t="shared" si="4"/>
        <v xml:space="preserve">OK </v>
      </c>
    </row>
    <row r="23" spans="1:15" ht="22.5" x14ac:dyDescent="0.2">
      <c r="A23" s="472" t="s">
        <v>212</v>
      </c>
      <c r="B23" s="387" t="s">
        <v>150</v>
      </c>
      <c r="C23" s="333">
        <v>1</v>
      </c>
      <c r="D23" s="470">
        <v>120000</v>
      </c>
      <c r="E23" s="470"/>
      <c r="F23" s="470">
        <v>180000</v>
      </c>
      <c r="G23" s="333"/>
      <c r="H23" s="333"/>
      <c r="I23" s="333"/>
      <c r="J23" s="333"/>
      <c r="K23" s="333">
        <f t="shared" si="5"/>
        <v>150000</v>
      </c>
      <c r="L23" s="333">
        <f t="shared" si="1"/>
        <v>42426</v>
      </c>
      <c r="M23" s="333">
        <f t="shared" si="2"/>
        <v>107574</v>
      </c>
      <c r="N23" s="333">
        <f t="shared" si="3"/>
        <v>192426</v>
      </c>
      <c r="O23" s="471" t="str">
        <f t="shared" si="4"/>
        <v xml:space="preserve">OK </v>
      </c>
    </row>
    <row r="24" spans="1:15" ht="22.5" x14ac:dyDescent="0.2">
      <c r="A24" s="472" t="s">
        <v>213</v>
      </c>
      <c r="B24" s="387" t="s">
        <v>151</v>
      </c>
      <c r="C24" s="333">
        <v>1</v>
      </c>
      <c r="D24" s="470">
        <v>270000</v>
      </c>
      <c r="E24" s="470"/>
      <c r="F24" s="470">
        <v>1100000</v>
      </c>
      <c r="G24" s="333"/>
      <c r="H24" s="333"/>
      <c r="I24" s="333"/>
      <c r="J24" s="333"/>
      <c r="K24" s="333">
        <f t="shared" si="5"/>
        <v>685000</v>
      </c>
      <c r="L24" s="333">
        <f t="shared" si="1"/>
        <v>586899</v>
      </c>
      <c r="M24" s="333">
        <f t="shared" si="2"/>
        <v>98101</v>
      </c>
      <c r="N24" s="333">
        <f t="shared" si="3"/>
        <v>1271899</v>
      </c>
      <c r="O24" s="471" t="str">
        <f t="shared" si="4"/>
        <v xml:space="preserve">OK </v>
      </c>
    </row>
    <row r="25" spans="1:15" ht="33.75" x14ac:dyDescent="0.2">
      <c r="A25" s="472" t="s">
        <v>214</v>
      </c>
      <c r="B25" s="387" t="s">
        <v>154</v>
      </c>
      <c r="C25" s="333">
        <v>1</v>
      </c>
      <c r="D25" s="470">
        <v>1750000</v>
      </c>
      <c r="E25" s="470"/>
      <c r="F25" s="470">
        <v>2200000</v>
      </c>
      <c r="G25" s="333"/>
      <c r="H25" s="333"/>
      <c r="I25" s="333"/>
      <c r="J25" s="333"/>
      <c r="K25" s="333">
        <f t="shared" si="5"/>
        <v>1975000</v>
      </c>
      <c r="L25" s="333">
        <f t="shared" si="1"/>
        <v>318198</v>
      </c>
      <c r="M25" s="333">
        <f t="shared" si="2"/>
        <v>1656802</v>
      </c>
      <c r="N25" s="333">
        <f t="shared" si="3"/>
        <v>2293198</v>
      </c>
      <c r="O25" s="471" t="str">
        <f t="shared" si="4"/>
        <v xml:space="preserve">OK </v>
      </c>
    </row>
    <row r="26" spans="1:15" x14ac:dyDescent="0.2">
      <c r="A26" s="472" t="s">
        <v>215</v>
      </c>
      <c r="B26" s="387" t="s">
        <v>155</v>
      </c>
      <c r="C26" s="333">
        <v>1</v>
      </c>
      <c r="D26" s="470">
        <v>30000</v>
      </c>
      <c r="E26" s="470"/>
      <c r="F26" s="470">
        <v>28000</v>
      </c>
      <c r="G26" s="333"/>
      <c r="H26" s="333"/>
      <c r="I26" s="333"/>
      <c r="J26" s="333"/>
      <c r="K26" s="333">
        <f t="shared" si="5"/>
        <v>29000</v>
      </c>
      <c r="L26" s="333">
        <f t="shared" si="1"/>
        <v>1414</v>
      </c>
      <c r="M26" s="333">
        <f t="shared" si="2"/>
        <v>27586</v>
      </c>
      <c r="N26" s="333">
        <f t="shared" si="3"/>
        <v>30414</v>
      </c>
      <c r="O26" s="471" t="str">
        <f t="shared" si="4"/>
        <v xml:space="preserve">OK </v>
      </c>
    </row>
    <row r="27" spans="1:15" x14ac:dyDescent="0.2">
      <c r="A27" s="472" t="s">
        <v>216</v>
      </c>
      <c r="B27" s="387" t="s">
        <v>156</v>
      </c>
      <c r="C27" s="333">
        <v>1</v>
      </c>
      <c r="D27" s="470">
        <v>5000</v>
      </c>
      <c r="E27" s="470"/>
      <c r="F27" s="470">
        <v>10000</v>
      </c>
      <c r="G27" s="333"/>
      <c r="H27" s="333"/>
      <c r="I27" s="333"/>
      <c r="J27" s="333"/>
      <c r="K27" s="333">
        <f t="shared" si="5"/>
        <v>7500</v>
      </c>
      <c r="L27" s="333">
        <f t="shared" si="1"/>
        <v>3536</v>
      </c>
      <c r="M27" s="333">
        <f t="shared" si="2"/>
        <v>3964</v>
      </c>
      <c r="N27" s="333">
        <f t="shared" si="3"/>
        <v>11036</v>
      </c>
      <c r="O27" s="471" t="str">
        <f t="shared" si="4"/>
        <v xml:space="preserve">OK </v>
      </c>
    </row>
    <row r="28" spans="1:15" x14ac:dyDescent="0.2">
      <c r="A28" s="472" t="s">
        <v>217</v>
      </c>
      <c r="B28" s="387" t="s">
        <v>157</v>
      </c>
      <c r="C28" s="333">
        <v>1</v>
      </c>
      <c r="D28" s="470">
        <v>16000</v>
      </c>
      <c r="E28" s="470"/>
      <c r="F28" s="470">
        <v>4800</v>
      </c>
      <c r="G28" s="333"/>
      <c r="H28" s="333"/>
      <c r="I28" s="333"/>
      <c r="J28" s="333"/>
      <c r="K28" s="333">
        <f t="shared" si="5"/>
        <v>10400</v>
      </c>
      <c r="L28" s="333">
        <f t="shared" si="1"/>
        <v>7920</v>
      </c>
      <c r="M28" s="333">
        <f t="shared" si="2"/>
        <v>2480</v>
      </c>
      <c r="N28" s="333">
        <f t="shared" si="3"/>
        <v>18320</v>
      </c>
      <c r="O28" s="471" t="str">
        <f t="shared" si="4"/>
        <v xml:space="preserve">OK </v>
      </c>
    </row>
    <row r="29" spans="1:15" x14ac:dyDescent="0.2">
      <c r="A29" s="472" t="s">
        <v>218</v>
      </c>
      <c r="B29" s="387" t="s">
        <v>219</v>
      </c>
      <c r="C29" s="333">
        <v>1</v>
      </c>
      <c r="D29" s="470">
        <v>5500</v>
      </c>
      <c r="E29" s="470"/>
      <c r="F29" s="470">
        <v>5500</v>
      </c>
      <c r="G29" s="333"/>
      <c r="H29" s="333"/>
      <c r="I29" s="333"/>
      <c r="J29" s="333"/>
      <c r="K29" s="333">
        <f t="shared" si="5"/>
        <v>5500</v>
      </c>
      <c r="L29" s="333">
        <f t="shared" si="1"/>
        <v>0</v>
      </c>
      <c r="M29" s="333">
        <f t="shared" si="2"/>
        <v>5500</v>
      </c>
      <c r="N29" s="333">
        <f t="shared" si="3"/>
        <v>5500</v>
      </c>
      <c r="O29" s="471" t="str">
        <f t="shared" si="4"/>
        <v xml:space="preserve">OK </v>
      </c>
    </row>
    <row r="30" spans="1:15" x14ac:dyDescent="0.2">
      <c r="A30" s="472" t="s">
        <v>220</v>
      </c>
      <c r="B30" s="387" t="s">
        <v>221</v>
      </c>
      <c r="C30" s="333">
        <v>1</v>
      </c>
      <c r="D30" s="470">
        <v>5500</v>
      </c>
      <c r="E30" s="470"/>
      <c r="F30" s="470">
        <v>5500</v>
      </c>
      <c r="G30" s="333"/>
      <c r="H30" s="333"/>
      <c r="I30" s="333"/>
      <c r="J30" s="333"/>
      <c r="K30" s="333">
        <f t="shared" si="5"/>
        <v>5500</v>
      </c>
      <c r="L30" s="333">
        <f t="shared" si="1"/>
        <v>0</v>
      </c>
      <c r="M30" s="333">
        <f t="shared" si="2"/>
        <v>5500</v>
      </c>
      <c r="N30" s="333">
        <f t="shared" si="3"/>
        <v>5500</v>
      </c>
      <c r="O30" s="471" t="str">
        <f t="shared" si="4"/>
        <v xml:space="preserve">OK </v>
      </c>
    </row>
    <row r="31" spans="1:15" x14ac:dyDescent="0.2">
      <c r="A31" s="448" t="s">
        <v>222</v>
      </c>
      <c r="B31" s="387" t="s">
        <v>223</v>
      </c>
      <c r="C31" s="333">
        <v>1</v>
      </c>
      <c r="D31" s="470">
        <v>5000</v>
      </c>
      <c r="E31" s="470"/>
      <c r="F31" s="470">
        <v>3300</v>
      </c>
      <c r="G31" s="333"/>
      <c r="H31" s="333"/>
      <c r="I31" s="333"/>
      <c r="J31" s="333"/>
      <c r="K31" s="333">
        <f t="shared" si="5"/>
        <v>4150</v>
      </c>
      <c r="L31" s="333">
        <f t="shared" si="1"/>
        <v>1202</v>
      </c>
      <c r="M31" s="333">
        <f t="shared" si="2"/>
        <v>2948</v>
      </c>
      <c r="N31" s="333">
        <f t="shared" si="3"/>
        <v>5352</v>
      </c>
      <c r="O31" s="471" t="str">
        <f t="shared" si="4"/>
        <v xml:space="preserve">OK </v>
      </c>
    </row>
    <row r="32" spans="1:15" ht="56.25" x14ac:dyDescent="0.2">
      <c r="A32" s="472" t="s">
        <v>163</v>
      </c>
      <c r="B32" s="387" t="s">
        <v>167</v>
      </c>
      <c r="C32" s="333">
        <v>1</v>
      </c>
      <c r="D32" s="470">
        <v>12000000</v>
      </c>
      <c r="E32" s="470"/>
      <c r="F32" s="470">
        <v>10800000</v>
      </c>
      <c r="G32" s="333"/>
      <c r="H32" s="333"/>
      <c r="I32" s="333"/>
      <c r="J32" s="333"/>
      <c r="K32" s="333">
        <f t="shared" si="5"/>
        <v>11400000</v>
      </c>
      <c r="L32" s="333">
        <f t="shared" si="1"/>
        <v>848528</v>
      </c>
      <c r="M32" s="333">
        <f t="shared" si="2"/>
        <v>10551472</v>
      </c>
      <c r="N32" s="333">
        <f t="shared" si="3"/>
        <v>12248528</v>
      </c>
      <c r="O32" s="471" t="str">
        <f t="shared" si="4"/>
        <v xml:space="preserve">OK </v>
      </c>
    </row>
    <row r="33" spans="1:15" x14ac:dyDescent="0.2">
      <c r="A33" s="474" t="s">
        <v>166</v>
      </c>
      <c r="B33" s="387" t="s">
        <v>224</v>
      </c>
      <c r="C33" s="333">
        <v>1</v>
      </c>
      <c r="D33" s="470">
        <v>100000</v>
      </c>
      <c r="E33" s="470"/>
      <c r="F33" s="470">
        <v>110000</v>
      </c>
      <c r="G33" s="333"/>
      <c r="H33" s="333"/>
      <c r="I33" s="333"/>
      <c r="J33" s="333"/>
      <c r="K33" s="333">
        <f t="shared" si="5"/>
        <v>105000</v>
      </c>
      <c r="L33" s="333">
        <f t="shared" si="1"/>
        <v>7071</v>
      </c>
      <c r="M33" s="333">
        <f t="shared" si="2"/>
        <v>97929</v>
      </c>
      <c r="N33" s="333">
        <f t="shared" si="3"/>
        <v>112071</v>
      </c>
      <c r="O33" s="471" t="str">
        <f t="shared" si="4"/>
        <v xml:space="preserve">OK </v>
      </c>
    </row>
    <row r="34" spans="1:15" ht="33.75" x14ac:dyDescent="0.2">
      <c r="A34" s="472" t="s">
        <v>225</v>
      </c>
      <c r="B34" s="387" t="s">
        <v>226</v>
      </c>
      <c r="C34" s="333">
        <v>1</v>
      </c>
      <c r="D34" s="470">
        <v>35000</v>
      </c>
      <c r="E34" s="470"/>
      <c r="F34" s="470">
        <v>30000</v>
      </c>
      <c r="G34" s="333"/>
      <c r="H34" s="333"/>
      <c r="I34" s="333"/>
      <c r="J34" s="333"/>
      <c r="K34" s="333">
        <f t="shared" si="5"/>
        <v>32500</v>
      </c>
      <c r="L34" s="333">
        <f t="shared" si="1"/>
        <v>3536</v>
      </c>
      <c r="M34" s="333">
        <f t="shared" si="2"/>
        <v>28964</v>
      </c>
      <c r="N34" s="333">
        <f t="shared" si="3"/>
        <v>36036</v>
      </c>
      <c r="O34" s="471" t="str">
        <f t="shared" si="4"/>
        <v xml:space="preserve">OK </v>
      </c>
    </row>
    <row r="35" spans="1:15" ht="22.5" x14ac:dyDescent="0.2">
      <c r="A35" s="472" t="s">
        <v>227</v>
      </c>
      <c r="B35" s="387" t="s">
        <v>227</v>
      </c>
      <c r="C35" s="333">
        <v>1</v>
      </c>
      <c r="D35" s="470"/>
      <c r="E35" s="470"/>
      <c r="F35" s="470"/>
      <c r="G35" s="470">
        <f>12000000*1.052</f>
        <v>12624000</v>
      </c>
      <c r="H35" s="333"/>
      <c r="I35" s="333">
        <f>12000000*1.052</f>
        <v>12624000</v>
      </c>
      <c r="J35" s="333"/>
      <c r="K35" s="333">
        <f>AVERAGE(D35:I35)</f>
        <v>12624000</v>
      </c>
      <c r="L35" s="333">
        <f t="shared" si="1"/>
        <v>0</v>
      </c>
      <c r="M35" s="333">
        <f t="shared" si="2"/>
        <v>12624000</v>
      </c>
      <c r="N35" s="333">
        <f t="shared" si="3"/>
        <v>12624000</v>
      </c>
      <c r="O35" s="471" t="str">
        <f t="shared" si="4"/>
        <v xml:space="preserve">OK </v>
      </c>
    </row>
    <row r="36" spans="1:15" ht="22.5" x14ac:dyDescent="0.2">
      <c r="A36" s="472" t="s">
        <v>246</v>
      </c>
      <c r="B36" s="387" t="s">
        <v>400</v>
      </c>
      <c r="C36" s="333">
        <v>1</v>
      </c>
      <c r="D36" s="333"/>
      <c r="E36" s="333"/>
      <c r="F36" s="333"/>
      <c r="G36" s="333"/>
      <c r="H36" s="333">
        <f>349900*1.052</f>
        <v>368094.8</v>
      </c>
      <c r="I36" s="333">
        <f>398000*1.052</f>
        <v>418696</v>
      </c>
      <c r="J36" s="333"/>
      <c r="K36" s="333">
        <f t="shared" ref="K36:K40" si="6">AVERAGE(D36:I36)</f>
        <v>393395.4</v>
      </c>
      <c r="L36" s="333">
        <f t="shared" si="1"/>
        <v>35780</v>
      </c>
      <c r="M36" s="333">
        <f t="shared" si="2"/>
        <v>357615.4</v>
      </c>
      <c r="N36" s="333">
        <f t="shared" si="3"/>
        <v>429175.4</v>
      </c>
      <c r="O36" s="471" t="str">
        <f t="shared" si="4"/>
        <v xml:space="preserve">OK </v>
      </c>
    </row>
    <row r="37" spans="1:15" x14ac:dyDescent="0.2">
      <c r="A37" s="472" t="s">
        <v>249</v>
      </c>
      <c r="B37" s="387" t="s">
        <v>249</v>
      </c>
      <c r="C37" s="333">
        <v>1</v>
      </c>
      <c r="D37" s="333"/>
      <c r="E37" s="333"/>
      <c r="F37" s="333"/>
      <c r="G37" s="333"/>
      <c r="H37" s="333">
        <f>339900*1.052</f>
        <v>357574.8</v>
      </c>
      <c r="I37" s="333">
        <f>299900*1.052</f>
        <v>315494.8</v>
      </c>
      <c r="J37" s="333"/>
      <c r="K37" s="333">
        <f t="shared" si="6"/>
        <v>336534.8</v>
      </c>
      <c r="L37" s="333">
        <f t="shared" si="1"/>
        <v>29755</v>
      </c>
      <c r="M37" s="333">
        <f t="shared" si="2"/>
        <v>306779.8</v>
      </c>
      <c r="N37" s="333">
        <f t="shared" si="3"/>
        <v>366289.8</v>
      </c>
      <c r="O37" s="471" t="str">
        <f t="shared" si="4"/>
        <v xml:space="preserve">OK </v>
      </c>
    </row>
    <row r="38" spans="1:15" ht="30" customHeight="1" x14ac:dyDescent="0.2">
      <c r="A38" s="472" t="s">
        <v>250</v>
      </c>
      <c r="B38" s="387" t="s">
        <v>251</v>
      </c>
      <c r="C38" s="333">
        <v>1</v>
      </c>
      <c r="D38" s="333"/>
      <c r="E38" s="333"/>
      <c r="F38" s="333"/>
      <c r="G38" s="333"/>
      <c r="H38" s="333">
        <f>425900*1.052</f>
        <v>448046.80000000005</v>
      </c>
      <c r="I38" s="333">
        <f>584900*1.052</f>
        <v>615314.80000000005</v>
      </c>
      <c r="J38" s="333"/>
      <c r="K38" s="333">
        <f t="shared" si="6"/>
        <v>531680.80000000005</v>
      </c>
      <c r="L38" s="333">
        <f t="shared" si="1"/>
        <v>118276</v>
      </c>
      <c r="M38" s="333">
        <f t="shared" si="2"/>
        <v>413404.80000000005</v>
      </c>
      <c r="N38" s="333">
        <f t="shared" si="3"/>
        <v>649956.80000000005</v>
      </c>
      <c r="O38" s="471" t="str">
        <f t="shared" si="4"/>
        <v xml:space="preserve">OK </v>
      </c>
    </row>
    <row r="39" spans="1:15" ht="22.5" x14ac:dyDescent="0.2">
      <c r="A39" s="472" t="s">
        <v>252</v>
      </c>
      <c r="B39" s="387" t="s">
        <v>253</v>
      </c>
      <c r="C39" s="333">
        <v>1</v>
      </c>
      <c r="D39" s="333"/>
      <c r="E39" s="333"/>
      <c r="F39" s="333"/>
      <c r="G39" s="333"/>
      <c r="H39" s="333">
        <f>3299000*1.052</f>
        <v>3470548</v>
      </c>
      <c r="I39" s="333">
        <f>1999990*1.052</f>
        <v>2103989.48</v>
      </c>
      <c r="J39" s="333"/>
      <c r="K39" s="333">
        <f t="shared" si="6"/>
        <v>2787268.74</v>
      </c>
      <c r="L39" s="333">
        <f t="shared" si="1"/>
        <v>966303</v>
      </c>
      <c r="M39" s="333">
        <f t="shared" si="2"/>
        <v>1820965.7400000002</v>
      </c>
      <c r="N39" s="333">
        <f t="shared" si="3"/>
        <v>3753571.74</v>
      </c>
      <c r="O39" s="471" t="str">
        <f t="shared" si="4"/>
        <v xml:space="preserve">OK </v>
      </c>
    </row>
    <row r="40" spans="1:15" ht="22.5" x14ac:dyDescent="0.2">
      <c r="A40" s="472" t="s">
        <v>254</v>
      </c>
      <c r="B40" s="387" t="s">
        <v>255</v>
      </c>
      <c r="C40" s="333">
        <v>1</v>
      </c>
      <c r="D40" s="333"/>
      <c r="E40" s="333"/>
      <c r="F40" s="333"/>
      <c r="G40" s="333"/>
      <c r="H40" s="333">
        <f>1299000*1.052</f>
        <v>1366548</v>
      </c>
      <c r="I40" s="333">
        <f>1489900*1.052</f>
        <v>1567374.8</v>
      </c>
      <c r="J40" s="333"/>
      <c r="K40" s="333">
        <f t="shared" si="6"/>
        <v>1466961.4</v>
      </c>
      <c r="L40" s="333">
        <f t="shared" si="1"/>
        <v>142006</v>
      </c>
      <c r="M40" s="333">
        <f t="shared" si="2"/>
        <v>1324955.3999999999</v>
      </c>
      <c r="N40" s="333">
        <f t="shared" si="3"/>
        <v>1608967.4</v>
      </c>
      <c r="O40" s="471" t="str">
        <f t="shared" si="4"/>
        <v xml:space="preserve">OK </v>
      </c>
    </row>
    <row r="41" spans="1:15" x14ac:dyDescent="0.2">
      <c r="A41" s="472" t="s">
        <v>114</v>
      </c>
      <c r="B41" s="387" t="s">
        <v>114</v>
      </c>
      <c r="C41" s="333">
        <v>1</v>
      </c>
      <c r="D41" s="333"/>
      <c r="E41" s="333"/>
      <c r="F41" s="333"/>
      <c r="G41" s="333"/>
      <c r="H41" s="333"/>
      <c r="I41" s="470">
        <f>+'[3]PRESUPUESTO OBRA'!$E$18</f>
        <v>44698895</v>
      </c>
      <c r="J41" s="470">
        <f>+'[3]PRESUPUESTO OBRA'!$E$18</f>
        <v>44698895</v>
      </c>
      <c r="K41" s="333">
        <f>AVERAGE(D41:J41)</f>
        <v>44698895</v>
      </c>
      <c r="L41" s="333">
        <f>ROUND((STDEVA(D41:J41)),0)</f>
        <v>0</v>
      </c>
      <c r="M41" s="333">
        <f t="shared" si="2"/>
        <v>44698895</v>
      </c>
      <c r="N41" s="333">
        <f t="shared" si="3"/>
        <v>44698895</v>
      </c>
      <c r="O41" s="471" t="str">
        <f t="shared" si="4"/>
        <v xml:space="preserve">OK </v>
      </c>
    </row>
    <row r="42" spans="1:15" x14ac:dyDescent="0.2">
      <c r="A42" s="472" t="s">
        <v>379</v>
      </c>
      <c r="B42" s="387"/>
      <c r="C42" s="333">
        <v>1</v>
      </c>
      <c r="D42" s="333"/>
      <c r="E42" s="333"/>
      <c r="F42" s="333"/>
      <c r="G42" s="333"/>
      <c r="H42" s="333"/>
      <c r="I42" s="333">
        <f>+'[4]PRESUPUESTO OBRA'!$E$22</f>
        <v>9042850</v>
      </c>
      <c r="J42" s="333">
        <f>+'[4]PRESUPUESTO OBRA'!$E$22</f>
        <v>9042850</v>
      </c>
      <c r="K42" s="333">
        <f>AVERAGE(D42:J42)</f>
        <v>9042850</v>
      </c>
      <c r="L42" s="333">
        <f>ROUND((STDEVA(D42:J42)),0)</f>
        <v>0</v>
      </c>
      <c r="M42" s="333">
        <f t="shared" si="2"/>
        <v>9042850</v>
      </c>
      <c r="N42" s="333">
        <f t="shared" si="3"/>
        <v>9042850</v>
      </c>
      <c r="O42" s="471" t="str">
        <f t="shared" si="4"/>
        <v xml:space="preserve">OK </v>
      </c>
    </row>
    <row r="43" spans="1:15" x14ac:dyDescent="0.2">
      <c r="A43" s="472" t="s">
        <v>380</v>
      </c>
      <c r="B43" s="387"/>
      <c r="C43" s="333">
        <v>1</v>
      </c>
      <c r="D43" s="333"/>
      <c r="E43" s="333"/>
      <c r="F43" s="333"/>
      <c r="G43" s="333"/>
      <c r="H43" s="333"/>
      <c r="I43" s="333">
        <f>+'[4]PRESUPUESTO OBRA'!$E$19</f>
        <v>6319016.5999999996</v>
      </c>
      <c r="J43" s="333">
        <f>+'[4]PRESUPUESTO OBRA'!$E$19</f>
        <v>6319016.5999999996</v>
      </c>
      <c r="K43" s="333">
        <f>AVERAGE(D43:J43)</f>
        <v>6319016.5999999996</v>
      </c>
      <c r="L43" s="333">
        <f>ROUND((STDEVA(D43:J43)),0)</f>
        <v>0</v>
      </c>
      <c r="M43" s="333">
        <f t="shared" si="2"/>
        <v>6319016.5999999996</v>
      </c>
      <c r="N43" s="333">
        <f t="shared" si="3"/>
        <v>6319016.5999999996</v>
      </c>
      <c r="O43" s="471" t="str">
        <f t="shared" si="4"/>
        <v xml:space="preserve">OK </v>
      </c>
    </row>
    <row r="44" spans="1:15" x14ac:dyDescent="0.2">
      <c r="A44" s="472" t="str">
        <f>+'Presupuesto Inversión Directa'!B66</f>
        <v>Estrategia de comercialización</v>
      </c>
      <c r="B44" s="475" t="str">
        <f>+A44</f>
        <v>Estrategia de comercialización</v>
      </c>
      <c r="C44" s="333">
        <v>1</v>
      </c>
      <c r="D44" s="333"/>
      <c r="E44" s="333"/>
      <c r="F44" s="333">
        <v>14041666</v>
      </c>
      <c r="G44" s="333">
        <v>14041666</v>
      </c>
      <c r="H44" s="333"/>
      <c r="I44" s="333"/>
      <c r="J44" s="333"/>
      <c r="K44" s="333">
        <f>AVERAGE(D44:J44)</f>
        <v>14041666</v>
      </c>
      <c r="L44" s="333">
        <f>ROUND((STDEVA(D44:J44)),0)</f>
        <v>0</v>
      </c>
      <c r="M44" s="333">
        <f t="shared" ref="M44" si="7">+K44-L44</f>
        <v>14041666</v>
      </c>
      <c r="N44" s="333">
        <f t="shared" ref="N44" si="8">+K44+L44</f>
        <v>14041666</v>
      </c>
      <c r="O44" s="471" t="str">
        <f t="shared" ref="O44" si="9">IF(AND(K44&gt;=M44, K44&lt;=N44), "OK ", "fuera del rango")</f>
        <v xml:space="preserve">OK </v>
      </c>
    </row>
  </sheetData>
  <hyperlinks>
    <hyperlink ref="G2" r:id="rId1" xr:uid="{00000000-0004-0000-0100-000000000000}"/>
    <hyperlink ref="I2" r:id="rId2" xr:uid="{00000000-0004-0000-0100-000001000000}"/>
    <hyperlink ref="H2" r:id="rId3" xr:uid="{00000000-0004-0000-0100-000002000000}"/>
    <hyperlink ref="F2" r:id="rId4" xr:uid="{00000000-0004-0000-0100-000003000000}"/>
    <hyperlink ref="D2" r:id="rId5" xr:uid="{00000000-0004-0000-0100-000004000000}"/>
  </hyperlinks>
  <pageMargins left="0.7" right="0.7" top="0.75" bottom="0.75" header="0.3" footer="0.3"/>
  <pageSetup paperSize="9" orientation="portrait" r:id="rId6"/>
  <legacyDrawing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F0"/>
  </sheetPr>
  <dimension ref="A1:Y117"/>
  <sheetViews>
    <sheetView zoomScale="120" zoomScaleNormal="120" workbookViewId="0">
      <pane xSplit="3" ySplit="2" topLeftCell="P81" activePane="bottomRight" state="frozen"/>
      <selection pane="topRight" activeCell="D1" sqref="D1"/>
      <selection pane="bottomLeft" activeCell="A3" sqref="A3"/>
      <selection pane="bottomRight" activeCell="B3" sqref="B3"/>
    </sheetView>
  </sheetViews>
  <sheetFormatPr baseColWidth="10" defaultColWidth="13.7109375" defaultRowHeight="11.25" x14ac:dyDescent="0.2"/>
  <cols>
    <col min="1" max="1" width="13.42578125" style="224" customWidth="1"/>
    <col min="2" max="2" width="35.7109375" style="224" bestFit="1" customWidth="1"/>
    <col min="3" max="3" width="10.28515625" style="224" hidden="1" customWidth="1"/>
    <col min="4" max="4" width="7.42578125" style="225" customWidth="1"/>
    <col min="5" max="6" width="11" style="226" bestFit="1" customWidth="1"/>
    <col min="7" max="7" width="9.5703125" style="227" bestFit="1" customWidth="1"/>
    <col min="8" max="8" width="10.85546875" style="233" bestFit="1" customWidth="1"/>
    <col min="9" max="9" width="15.28515625" style="212" bestFit="1" customWidth="1"/>
    <col min="10" max="10" width="13.7109375" style="212" bestFit="1" customWidth="1"/>
    <col min="11" max="11" width="4.7109375" style="212" customWidth="1"/>
    <col min="12" max="24" width="13" style="230" customWidth="1"/>
    <col min="25" max="25" width="13" style="228" customWidth="1"/>
    <col min="26" max="244" width="13" style="212" customWidth="1"/>
    <col min="245" max="245" width="26.5703125" style="212" bestFit="1" customWidth="1"/>
    <col min="246" max="247" width="13" style="212" customWidth="1"/>
    <col min="248" max="248" width="14.7109375" style="212" customWidth="1"/>
    <col min="249" max="16384" width="13.7109375" style="212"/>
  </cols>
  <sheetData>
    <row r="1" spans="1:25" x14ac:dyDescent="0.2">
      <c r="D1" s="225">
        <v>13</v>
      </c>
      <c r="K1" s="212">
        <v>57</v>
      </c>
      <c r="L1" s="494" t="s">
        <v>266</v>
      </c>
      <c r="M1" s="494"/>
      <c r="N1" s="494"/>
      <c r="O1" s="494" t="s">
        <v>278</v>
      </c>
      <c r="P1" s="494"/>
      <c r="Q1" s="494"/>
      <c r="R1" s="494"/>
      <c r="S1" s="494"/>
      <c r="T1" s="494"/>
      <c r="U1" s="494"/>
      <c r="V1" s="494"/>
      <c r="W1" s="362" t="s">
        <v>279</v>
      </c>
    </row>
    <row r="2" spans="1:25" ht="22.5" x14ac:dyDescent="0.2">
      <c r="A2" s="353" t="s">
        <v>117</v>
      </c>
      <c r="B2" s="353" t="s">
        <v>152</v>
      </c>
      <c r="C2" s="354" t="s">
        <v>118</v>
      </c>
      <c r="D2" s="355" t="s">
        <v>119</v>
      </c>
      <c r="E2" s="353" t="s">
        <v>23</v>
      </c>
      <c r="F2" s="353" t="s">
        <v>260</v>
      </c>
      <c r="G2" s="353" t="s">
        <v>297</v>
      </c>
      <c r="H2" s="356" t="s">
        <v>38</v>
      </c>
      <c r="I2" s="357" t="s">
        <v>263</v>
      </c>
      <c r="J2" s="357" t="s">
        <v>264</v>
      </c>
      <c r="L2" s="426" t="s">
        <v>265</v>
      </c>
      <c r="M2" s="426" t="s">
        <v>267</v>
      </c>
      <c r="N2" s="426" t="s">
        <v>268</v>
      </c>
      <c r="O2" s="427" t="s">
        <v>269</v>
      </c>
      <c r="P2" s="427" t="s">
        <v>270</v>
      </c>
      <c r="Q2" s="427" t="s">
        <v>271</v>
      </c>
      <c r="R2" s="427" t="s">
        <v>272</v>
      </c>
      <c r="S2" s="427" t="s">
        <v>273</v>
      </c>
      <c r="T2" s="427" t="s">
        <v>274</v>
      </c>
      <c r="U2" s="427" t="s">
        <v>275</v>
      </c>
      <c r="V2" s="427" t="s">
        <v>276</v>
      </c>
      <c r="W2" s="428" t="s">
        <v>277</v>
      </c>
      <c r="X2" s="230" t="s">
        <v>280</v>
      </c>
      <c r="Y2" s="228" t="s">
        <v>397</v>
      </c>
    </row>
    <row r="3" spans="1:25" ht="39.950000000000003" customHeight="1" x14ac:dyDescent="0.2">
      <c r="A3" s="358" t="str">
        <f>+'MTF_APICULTURA (10+45)'!B39</f>
        <v>MATERIAL BIOLÓGICO</v>
      </c>
      <c r="B3" s="217" t="s">
        <v>138</v>
      </c>
      <c r="C3" s="219" t="s">
        <v>49</v>
      </c>
      <c r="D3" s="220">
        <f>+$D$1</f>
        <v>13</v>
      </c>
      <c r="E3" s="213">
        <f>+'MTF_APICULTURA (10+45)'!G39</f>
        <v>270000</v>
      </c>
      <c r="F3" s="213">
        <f>+E3*D3</f>
        <v>3510000</v>
      </c>
      <c r="G3" s="221">
        <f>+$K$1</f>
        <v>57</v>
      </c>
      <c r="H3" s="359">
        <f>+G3*E3*D3</f>
        <v>200070000</v>
      </c>
      <c r="I3" s="360">
        <f>+H3-J3</f>
        <v>156620000</v>
      </c>
      <c r="J3" s="360">
        <v>43450000</v>
      </c>
      <c r="O3" s="230">
        <f>+ROUND((I3/2),0)</f>
        <v>78310000</v>
      </c>
      <c r="P3" s="230">
        <f>+ROUND((I3/2),0)</f>
        <v>78310000</v>
      </c>
      <c r="X3" s="230">
        <f>SUM(L3:W3)</f>
        <v>156620000</v>
      </c>
      <c r="Y3" s="228">
        <f>+X3-I3</f>
        <v>0</v>
      </c>
    </row>
    <row r="4" spans="1:25" ht="15" customHeight="1" x14ac:dyDescent="0.2">
      <c r="A4" s="212"/>
      <c r="B4" s="484" t="s">
        <v>121</v>
      </c>
      <c r="C4" s="485"/>
      <c r="D4" s="485"/>
      <c r="E4" s="485"/>
      <c r="F4" s="485"/>
      <c r="G4" s="486"/>
      <c r="H4" s="338">
        <f>SUM(H3:H3)</f>
        <v>200070000</v>
      </c>
      <c r="I4" s="420">
        <f t="shared" ref="I4:J4" si="0">SUM(I3:I3)</f>
        <v>156620000</v>
      </c>
      <c r="J4" s="420">
        <f t="shared" si="0"/>
        <v>43450000</v>
      </c>
    </row>
    <row r="5" spans="1:25" x14ac:dyDescent="0.2">
      <c r="A5" s="212"/>
      <c r="B5" s="212"/>
      <c r="C5" s="212"/>
      <c r="D5" s="362"/>
      <c r="E5" s="235"/>
      <c r="F5" s="235"/>
      <c r="G5" s="363"/>
      <c r="H5" s="364"/>
    </row>
    <row r="6" spans="1:25" ht="22.5" x14ac:dyDescent="0.2">
      <c r="A6" s="353" t="s">
        <v>122</v>
      </c>
      <c r="B6" s="353" t="s">
        <v>152</v>
      </c>
      <c r="C6" s="354" t="s">
        <v>118</v>
      </c>
      <c r="D6" s="365" t="s">
        <v>119</v>
      </c>
      <c r="E6" s="354" t="s">
        <v>23</v>
      </c>
      <c r="F6" s="353" t="s">
        <v>260</v>
      </c>
      <c r="G6" s="354" t="s">
        <v>120</v>
      </c>
      <c r="H6" s="366" t="s">
        <v>38</v>
      </c>
      <c r="I6" s="357" t="s">
        <v>38</v>
      </c>
      <c r="J6" s="357" t="s">
        <v>38</v>
      </c>
    </row>
    <row r="7" spans="1:25" ht="22.5" x14ac:dyDescent="0.2">
      <c r="A7" s="358" t="str">
        <f>+'MTF_APICULTURA (10+45)'!B31</f>
        <v>MEDIA ALZA</v>
      </c>
      <c r="B7" s="217" t="s">
        <v>139</v>
      </c>
      <c r="C7" s="219" t="s">
        <v>49</v>
      </c>
      <c r="D7" s="220">
        <f t="shared" ref="D7:D11" si="1">+$D$1</f>
        <v>13</v>
      </c>
      <c r="E7" s="213">
        <f>+'MTF_APICULTURA (10+45)'!G31</f>
        <v>35000</v>
      </c>
      <c r="F7" s="213">
        <f>+E7*D7</f>
        <v>455000</v>
      </c>
      <c r="G7" s="221">
        <f>+$K$1</f>
        <v>57</v>
      </c>
      <c r="H7" s="359">
        <f>+D7*E7*G7</f>
        <v>25935000</v>
      </c>
      <c r="I7" s="367">
        <f>+H7</f>
        <v>25935000</v>
      </c>
      <c r="J7" s="368"/>
      <c r="O7" s="230">
        <f t="shared" ref="O7:O14" si="2">+ROUND((I7/2),0)</f>
        <v>12967500</v>
      </c>
      <c r="P7" s="230">
        <f t="shared" ref="P7:P14" si="3">+ROUND((I7/2),0)</f>
        <v>12967500</v>
      </c>
      <c r="X7" s="230">
        <f t="shared" ref="X7:X14" si="4">SUM(L7:W7)</f>
        <v>25935000</v>
      </c>
      <c r="Y7" s="228">
        <f t="shared" ref="Y7:Y14" si="5">+X7-I7</f>
        <v>0</v>
      </c>
    </row>
    <row r="8" spans="1:25" ht="33.75" x14ac:dyDescent="0.2">
      <c r="A8" s="358" t="str">
        <f>+'MTF_APICULTURA (10+45)'!B32</f>
        <v>PIQUERA</v>
      </c>
      <c r="B8" s="217" t="s">
        <v>140</v>
      </c>
      <c r="C8" s="219" t="s">
        <v>49</v>
      </c>
      <c r="D8" s="220">
        <f t="shared" si="1"/>
        <v>13</v>
      </c>
      <c r="E8" s="213">
        <f>+'MTF_APICULTURA (10+45)'!G32</f>
        <v>30000</v>
      </c>
      <c r="F8" s="213">
        <f t="shared" ref="F8:F14" si="6">+E8*D8</f>
        <v>390000</v>
      </c>
      <c r="G8" s="221">
        <f t="shared" ref="G8:G14" si="7">+$K$1</f>
        <v>57</v>
      </c>
      <c r="H8" s="359">
        <f t="shared" ref="H8:H14" si="8">+D8*E8*G8</f>
        <v>22230000</v>
      </c>
      <c r="I8" s="367">
        <f t="shared" ref="I8:I14" si="9">+H8</f>
        <v>22230000</v>
      </c>
      <c r="J8" s="368"/>
      <c r="O8" s="230">
        <f t="shared" si="2"/>
        <v>11115000</v>
      </c>
      <c r="P8" s="230">
        <f t="shared" si="3"/>
        <v>11115000</v>
      </c>
      <c r="X8" s="230">
        <f t="shared" si="4"/>
        <v>22230000</v>
      </c>
      <c r="Y8" s="228">
        <f t="shared" si="5"/>
        <v>0</v>
      </c>
    </row>
    <row r="9" spans="1:25" ht="22.5" x14ac:dyDescent="0.2">
      <c r="A9" s="358" t="str">
        <f>+'MTF_APICULTURA (10+45)'!B33</f>
        <v>ALZA PROFUNDA</v>
      </c>
      <c r="B9" s="217" t="s">
        <v>141</v>
      </c>
      <c r="C9" s="219" t="s">
        <v>49</v>
      </c>
      <c r="D9" s="220">
        <f t="shared" si="1"/>
        <v>13</v>
      </c>
      <c r="E9" s="213">
        <f>+'MTF_APICULTURA (10+45)'!G33</f>
        <v>47000</v>
      </c>
      <c r="F9" s="213">
        <f t="shared" si="6"/>
        <v>611000</v>
      </c>
      <c r="G9" s="221">
        <f t="shared" si="7"/>
        <v>57</v>
      </c>
      <c r="H9" s="359">
        <f t="shared" si="8"/>
        <v>34827000</v>
      </c>
      <c r="I9" s="367">
        <f t="shared" si="9"/>
        <v>34827000</v>
      </c>
      <c r="J9" s="368"/>
      <c r="O9" s="230">
        <f t="shared" si="2"/>
        <v>17413500</v>
      </c>
      <c r="P9" s="230">
        <f t="shared" si="3"/>
        <v>17413500</v>
      </c>
      <c r="X9" s="230">
        <f t="shared" si="4"/>
        <v>34827000</v>
      </c>
      <c r="Y9" s="228">
        <f t="shared" si="5"/>
        <v>0</v>
      </c>
    </row>
    <row r="10" spans="1:25" ht="22.5" x14ac:dyDescent="0.2">
      <c r="A10" s="358" t="str">
        <f>+'MTF_APICULTURA (10+45)'!B34</f>
        <v>TECHO</v>
      </c>
      <c r="B10" s="217" t="s">
        <v>142</v>
      </c>
      <c r="C10" s="219" t="s">
        <v>49</v>
      </c>
      <c r="D10" s="220">
        <f t="shared" si="1"/>
        <v>13</v>
      </c>
      <c r="E10" s="213">
        <f>+'MTF_APICULTURA (10+45)'!G34</f>
        <v>36000</v>
      </c>
      <c r="F10" s="213">
        <f t="shared" si="6"/>
        <v>468000</v>
      </c>
      <c r="G10" s="221">
        <f t="shared" si="7"/>
        <v>57</v>
      </c>
      <c r="H10" s="359">
        <f t="shared" si="8"/>
        <v>26676000</v>
      </c>
      <c r="I10" s="367">
        <f t="shared" si="9"/>
        <v>26676000</v>
      </c>
      <c r="J10" s="368"/>
      <c r="O10" s="230">
        <f t="shared" si="2"/>
        <v>13338000</v>
      </c>
      <c r="P10" s="230">
        <f t="shared" si="3"/>
        <v>13338000</v>
      </c>
      <c r="X10" s="230">
        <f t="shared" si="4"/>
        <v>26676000</v>
      </c>
      <c r="Y10" s="228">
        <f t="shared" si="5"/>
        <v>0</v>
      </c>
    </row>
    <row r="11" spans="1:25" ht="33.75" x14ac:dyDescent="0.2">
      <c r="A11" s="358" t="str">
        <f>+'MTF_APICULTURA (10+45)'!B35</f>
        <v>EXCLUIDOR</v>
      </c>
      <c r="B11" s="217" t="s">
        <v>143</v>
      </c>
      <c r="C11" s="219" t="s">
        <v>49</v>
      </c>
      <c r="D11" s="220">
        <f t="shared" si="1"/>
        <v>13</v>
      </c>
      <c r="E11" s="213">
        <f>+'MTF_APICULTURA (10+45)'!G35</f>
        <v>22000</v>
      </c>
      <c r="F11" s="213">
        <f t="shared" si="6"/>
        <v>286000</v>
      </c>
      <c r="G11" s="221">
        <f t="shared" si="7"/>
        <v>57</v>
      </c>
      <c r="H11" s="359">
        <f t="shared" si="8"/>
        <v>16302000</v>
      </c>
      <c r="I11" s="367">
        <f t="shared" si="9"/>
        <v>16302000</v>
      </c>
      <c r="J11" s="368"/>
      <c r="O11" s="230">
        <f t="shared" si="2"/>
        <v>8151000</v>
      </c>
      <c r="P11" s="230">
        <f t="shared" si="3"/>
        <v>8151000</v>
      </c>
      <c r="X11" s="230">
        <f t="shared" si="4"/>
        <v>16302000</v>
      </c>
      <c r="Y11" s="228">
        <f t="shared" si="5"/>
        <v>0</v>
      </c>
    </row>
    <row r="12" spans="1:25" ht="33.75" x14ac:dyDescent="0.2">
      <c r="A12" s="358" t="str">
        <f>+'MTF_APICULTURA (10+45)'!B36</f>
        <v xml:space="preserve">LÁMINA DE CERA </v>
      </c>
      <c r="B12" s="217" t="s">
        <v>144</v>
      </c>
      <c r="C12" s="219" t="s">
        <v>49</v>
      </c>
      <c r="D12" s="220">
        <f>$D$1*15</f>
        <v>195</v>
      </c>
      <c r="E12" s="213">
        <f>+'MTF_APICULTURA (10+45)'!G36</f>
        <v>3750</v>
      </c>
      <c r="F12" s="213">
        <f t="shared" si="6"/>
        <v>731250</v>
      </c>
      <c r="G12" s="221">
        <f t="shared" si="7"/>
        <v>57</v>
      </c>
      <c r="H12" s="359">
        <f t="shared" si="8"/>
        <v>41681250</v>
      </c>
      <c r="I12" s="367">
        <f t="shared" si="9"/>
        <v>41681250</v>
      </c>
      <c r="J12" s="368"/>
      <c r="O12" s="230">
        <f t="shared" si="2"/>
        <v>20840625</v>
      </c>
      <c r="P12" s="230">
        <f t="shared" si="3"/>
        <v>20840625</v>
      </c>
      <c r="X12" s="230">
        <f t="shared" si="4"/>
        <v>41681250</v>
      </c>
      <c r="Y12" s="228">
        <f t="shared" si="5"/>
        <v>0</v>
      </c>
    </row>
    <row r="13" spans="1:25" ht="22.5" x14ac:dyDescent="0.2">
      <c r="A13" s="358" t="str">
        <f>+'MTF_APICULTURA (10+45)'!B37</f>
        <v>MARCO ALAMBRADO</v>
      </c>
      <c r="B13" s="217" t="s">
        <v>145</v>
      </c>
      <c r="C13" s="219" t="s">
        <v>49</v>
      </c>
      <c r="D13" s="220">
        <f>$D$1*15</f>
        <v>195</v>
      </c>
      <c r="E13" s="213">
        <f>+'MTF_APICULTURA (10+45)'!G37</f>
        <v>4300</v>
      </c>
      <c r="F13" s="213">
        <f t="shared" si="6"/>
        <v>838500</v>
      </c>
      <c r="G13" s="221">
        <f t="shared" si="7"/>
        <v>57</v>
      </c>
      <c r="H13" s="359">
        <f t="shared" si="8"/>
        <v>47794500</v>
      </c>
      <c r="I13" s="367">
        <f t="shared" si="9"/>
        <v>47794500</v>
      </c>
      <c r="J13" s="368"/>
      <c r="O13" s="230">
        <f t="shared" si="2"/>
        <v>23897250</v>
      </c>
      <c r="P13" s="230">
        <f t="shared" si="3"/>
        <v>23897250</v>
      </c>
      <c r="X13" s="230">
        <f t="shared" si="4"/>
        <v>47794500</v>
      </c>
      <c r="Y13" s="228">
        <f t="shared" si="5"/>
        <v>0</v>
      </c>
    </row>
    <row r="14" spans="1:25" ht="22.5" x14ac:dyDescent="0.2">
      <c r="A14" s="358" t="str">
        <f>+'MTF_APICULTURA (10+45)'!B38</f>
        <v>ENTRETAPA</v>
      </c>
      <c r="B14" s="217" t="s">
        <v>146</v>
      </c>
      <c r="C14" s="219" t="s">
        <v>49</v>
      </c>
      <c r="D14" s="220">
        <f>+$D$1</f>
        <v>13</v>
      </c>
      <c r="E14" s="213">
        <f>+'MTF_APICULTURA (10+45)'!G38</f>
        <v>23000</v>
      </c>
      <c r="F14" s="213">
        <f t="shared" si="6"/>
        <v>299000</v>
      </c>
      <c r="G14" s="221">
        <f t="shared" si="7"/>
        <v>57</v>
      </c>
      <c r="H14" s="359">
        <f t="shared" si="8"/>
        <v>17043000</v>
      </c>
      <c r="I14" s="367">
        <f t="shared" si="9"/>
        <v>17043000</v>
      </c>
      <c r="J14" s="368"/>
      <c r="O14" s="230">
        <f t="shared" si="2"/>
        <v>8521500</v>
      </c>
      <c r="P14" s="230">
        <f t="shared" si="3"/>
        <v>8521500</v>
      </c>
      <c r="X14" s="230">
        <f t="shared" si="4"/>
        <v>17043000</v>
      </c>
      <c r="Y14" s="228">
        <f t="shared" si="5"/>
        <v>0</v>
      </c>
    </row>
    <row r="15" spans="1:25" x14ac:dyDescent="0.2">
      <c r="A15" s="353" t="s">
        <v>123</v>
      </c>
      <c r="B15" s="484" t="s">
        <v>152</v>
      </c>
      <c r="C15" s="485"/>
      <c r="D15" s="485"/>
      <c r="E15" s="485"/>
      <c r="F15" s="485"/>
      <c r="G15" s="485"/>
      <c r="H15" s="486"/>
      <c r="I15" s="368"/>
      <c r="J15" s="368"/>
    </row>
    <row r="16" spans="1:25" ht="22.5" x14ac:dyDescent="0.2">
      <c r="A16" s="358" t="str">
        <f>+'MTF_APICULTURA (10+45)'!B91</f>
        <v>TOLDILLO</v>
      </c>
      <c r="B16" s="217" t="s">
        <v>389</v>
      </c>
      <c r="C16" s="219" t="s">
        <v>22</v>
      </c>
      <c r="D16" s="220">
        <v>5</v>
      </c>
      <c r="E16" s="213">
        <f>+'MTF_APICULTURA (10+45)'!G91</f>
        <v>325000</v>
      </c>
      <c r="F16" s="213"/>
      <c r="G16" s="221"/>
      <c r="H16" s="359">
        <f>+E16*D16</f>
        <v>1625000</v>
      </c>
      <c r="I16" s="367">
        <f t="shared" ref="I16:I20" si="10">+H16</f>
        <v>1625000</v>
      </c>
      <c r="J16" s="368"/>
      <c r="U16" s="230">
        <f>+I16</f>
        <v>1625000</v>
      </c>
      <c r="X16" s="230">
        <f t="shared" ref="X16:X20" si="11">SUM(L16:W16)</f>
        <v>1625000</v>
      </c>
      <c r="Y16" s="228">
        <f t="shared" ref="Y16:Y20" si="12">+X16-I16</f>
        <v>0</v>
      </c>
    </row>
    <row r="17" spans="1:25" ht="33.75" x14ac:dyDescent="0.2">
      <c r="A17" s="358" t="str">
        <f>+'MTF_APICULTURA (10+45)'!B90</f>
        <v xml:space="preserve">CENTRIFUGA </v>
      </c>
      <c r="B17" s="217" t="s">
        <v>390</v>
      </c>
      <c r="C17" s="219" t="s">
        <v>22</v>
      </c>
      <c r="D17" s="220">
        <v>5</v>
      </c>
      <c r="E17" s="213">
        <f>+'MTF_APICULTURA (10+45)'!G90</f>
        <v>1875000</v>
      </c>
      <c r="F17" s="213"/>
      <c r="G17" s="221"/>
      <c r="H17" s="359">
        <f>+E17*D17</f>
        <v>9375000</v>
      </c>
      <c r="I17" s="367">
        <f t="shared" si="10"/>
        <v>9375000</v>
      </c>
      <c r="J17" s="368"/>
      <c r="U17" s="230">
        <f t="shared" ref="U17:U20" si="13">+I17</f>
        <v>9375000</v>
      </c>
      <c r="X17" s="230">
        <f t="shared" si="11"/>
        <v>9375000</v>
      </c>
      <c r="Y17" s="228">
        <f t="shared" si="12"/>
        <v>0</v>
      </c>
    </row>
    <row r="18" spans="1:25" ht="30" customHeight="1" x14ac:dyDescent="0.2">
      <c r="A18" s="358" t="str">
        <f>+'MTF_APICULTURA (10+45)'!B94</f>
        <v xml:space="preserve">BANDEJA </v>
      </c>
      <c r="B18" s="217" t="s">
        <v>151</v>
      </c>
      <c r="C18" s="219" t="s">
        <v>22</v>
      </c>
      <c r="D18" s="220">
        <v>10</v>
      </c>
      <c r="E18" s="213">
        <f>+'MTF_APICULTURA (10+45)'!G94</f>
        <v>685000</v>
      </c>
      <c r="F18" s="213"/>
      <c r="G18" s="221"/>
      <c r="H18" s="424">
        <f>+E18*D18</f>
        <v>6850000</v>
      </c>
      <c r="I18" s="367">
        <f t="shared" si="10"/>
        <v>6850000</v>
      </c>
      <c r="J18" s="368"/>
      <c r="U18" s="230">
        <f t="shared" si="13"/>
        <v>6850000</v>
      </c>
      <c r="X18" s="230">
        <f t="shared" si="11"/>
        <v>6850000</v>
      </c>
      <c r="Y18" s="228">
        <f t="shared" si="12"/>
        <v>0</v>
      </c>
    </row>
    <row r="19" spans="1:25" ht="45" customHeight="1" x14ac:dyDescent="0.2">
      <c r="A19" s="358" t="str">
        <f>+'MTF_APICULTURA (10+45)'!B93</f>
        <v>FILTRO DOBLE</v>
      </c>
      <c r="B19" s="217" t="s">
        <v>150</v>
      </c>
      <c r="C19" s="219" t="s">
        <v>22</v>
      </c>
      <c r="D19" s="220">
        <v>5</v>
      </c>
      <c r="E19" s="213">
        <f>+'MTF_APICULTURA (10+45)'!G93</f>
        <v>150000</v>
      </c>
      <c r="F19" s="213"/>
      <c r="G19" s="221"/>
      <c r="H19" s="359">
        <f>+E19*D19</f>
        <v>750000</v>
      </c>
      <c r="I19" s="367">
        <f t="shared" si="10"/>
        <v>750000</v>
      </c>
      <c r="J19" s="368"/>
      <c r="U19" s="230">
        <f t="shared" si="13"/>
        <v>750000</v>
      </c>
      <c r="X19" s="230">
        <f t="shared" si="11"/>
        <v>750000</v>
      </c>
      <c r="Y19" s="228">
        <f t="shared" si="12"/>
        <v>0</v>
      </c>
    </row>
    <row r="20" spans="1:25" ht="22.5" x14ac:dyDescent="0.2">
      <c r="A20" s="358" t="str">
        <f>+'MTF_APICULTURA (10+45)'!B92</f>
        <v>CUCHILLO DESOPERCULADOR</v>
      </c>
      <c r="B20" s="217" t="s">
        <v>149</v>
      </c>
      <c r="C20" s="219" t="s">
        <v>22</v>
      </c>
      <c r="D20" s="220">
        <v>5</v>
      </c>
      <c r="E20" s="213">
        <f>+'MTF_APICULTURA (10+45)'!G92</f>
        <v>57500</v>
      </c>
      <c r="F20" s="213"/>
      <c r="G20" s="221"/>
      <c r="H20" s="359">
        <f>+E20*D20</f>
        <v>287500</v>
      </c>
      <c r="I20" s="367">
        <f t="shared" si="10"/>
        <v>287500</v>
      </c>
      <c r="J20" s="368"/>
      <c r="U20" s="230">
        <f t="shared" si="13"/>
        <v>287500</v>
      </c>
      <c r="X20" s="230">
        <f t="shared" si="11"/>
        <v>287500</v>
      </c>
      <c r="Y20" s="228">
        <f t="shared" si="12"/>
        <v>0</v>
      </c>
    </row>
    <row r="21" spans="1:25" x14ac:dyDescent="0.2">
      <c r="A21" s="212"/>
      <c r="B21" s="484" t="s">
        <v>124</v>
      </c>
      <c r="C21" s="485"/>
      <c r="D21" s="485"/>
      <c r="E21" s="485"/>
      <c r="F21" s="485"/>
      <c r="G21" s="486"/>
      <c r="H21" s="338">
        <f>SUM(H7:H20)</f>
        <v>251376250</v>
      </c>
      <c r="I21" s="420">
        <f t="shared" ref="I21:J21" si="14">SUM(I7:I20)</f>
        <v>251376250</v>
      </c>
      <c r="J21" s="420">
        <f t="shared" si="14"/>
        <v>0</v>
      </c>
    </row>
    <row r="22" spans="1:25" x14ac:dyDescent="0.2">
      <c r="A22" s="212"/>
      <c r="B22" s="369"/>
      <c r="C22" s="370"/>
      <c r="D22" s="371"/>
      <c r="E22" s="372"/>
      <c r="F22" s="372"/>
      <c r="G22" s="373"/>
      <c r="H22" s="361"/>
    </row>
    <row r="23" spans="1:25" ht="22.5" x14ac:dyDescent="0.2">
      <c r="A23" s="353" t="s">
        <v>153</v>
      </c>
      <c r="B23" s="374" t="s">
        <v>152</v>
      </c>
      <c r="C23" s="353" t="s">
        <v>118</v>
      </c>
      <c r="D23" s="355" t="s">
        <v>119</v>
      </c>
      <c r="E23" s="375" t="s">
        <v>23</v>
      </c>
      <c r="F23" s="375"/>
      <c r="G23" s="353"/>
      <c r="H23" s="356" t="s">
        <v>38</v>
      </c>
      <c r="I23" s="376" t="s">
        <v>38</v>
      </c>
      <c r="J23" s="376" t="s">
        <v>38</v>
      </c>
    </row>
    <row r="24" spans="1:25" ht="54.95" customHeight="1" x14ac:dyDescent="0.2">
      <c r="A24" s="358" t="str">
        <f>+'MTF_APICULTURA (10+45)'!B102</f>
        <v>TANQUE DECANTADOR</v>
      </c>
      <c r="B24" s="217" t="s">
        <v>387</v>
      </c>
      <c r="C24" s="217" t="s">
        <v>22</v>
      </c>
      <c r="D24" s="220">
        <v>1</v>
      </c>
      <c r="E24" s="213">
        <f>+'MTF_APICULTURA (10+45)'!G102</f>
        <v>1975000</v>
      </c>
      <c r="F24" s="213"/>
      <c r="G24" s="221"/>
      <c r="H24" s="424">
        <f>+E24*D24</f>
        <v>1975000</v>
      </c>
      <c r="I24" s="377">
        <f t="shared" ref="I24:I31" si="15">+H24</f>
        <v>1975000</v>
      </c>
      <c r="J24" s="378"/>
      <c r="U24" s="230">
        <f t="shared" ref="U24:U31" si="16">+I24</f>
        <v>1975000</v>
      </c>
      <c r="X24" s="230">
        <f t="shared" ref="X24:X31" si="17">SUM(L24:W24)</f>
        <v>1975000</v>
      </c>
      <c r="Y24" s="228">
        <f t="shared" ref="Y24:Y31" si="18">+X24-I24</f>
        <v>0</v>
      </c>
    </row>
    <row r="25" spans="1:25" ht="24.95" customHeight="1" x14ac:dyDescent="0.2">
      <c r="A25" s="358" t="str">
        <f>+'MTF_APICULTURA (10+45)'!B103</f>
        <v>MARCO DE SEGUETA</v>
      </c>
      <c r="B25" s="217" t="s">
        <v>155</v>
      </c>
      <c r="C25" s="217" t="s">
        <v>22</v>
      </c>
      <c r="D25" s="220">
        <v>1</v>
      </c>
      <c r="E25" s="213">
        <f>+'MTF_APICULTURA (10+45)'!G103</f>
        <v>29000</v>
      </c>
      <c r="F25" s="213"/>
      <c r="G25" s="221"/>
      <c r="H25" s="359">
        <f t="shared" ref="H25:H31" si="19">+E25*D25</f>
        <v>29000</v>
      </c>
      <c r="I25" s="377">
        <f t="shared" si="15"/>
        <v>29000</v>
      </c>
      <c r="J25" s="379"/>
      <c r="U25" s="230">
        <f t="shared" si="16"/>
        <v>29000</v>
      </c>
      <c r="X25" s="230">
        <f t="shared" si="17"/>
        <v>29000</v>
      </c>
      <c r="Y25" s="228">
        <f t="shared" si="18"/>
        <v>0</v>
      </c>
    </row>
    <row r="26" spans="1:25" x14ac:dyDescent="0.2">
      <c r="A26" s="358" t="str">
        <f>+'MTF_APICULTURA (10+45)'!B106</f>
        <v>CABLE</v>
      </c>
      <c r="B26" s="217" t="s">
        <v>156</v>
      </c>
      <c r="C26" s="217" t="s">
        <v>22</v>
      </c>
      <c r="D26" s="220">
        <v>1</v>
      </c>
      <c r="E26" s="213">
        <f>+'MTF_APICULTURA (10+45)'!G106</f>
        <v>7500</v>
      </c>
      <c r="F26" s="213"/>
      <c r="G26" s="221"/>
      <c r="H26" s="359">
        <f t="shared" si="19"/>
        <v>7500</v>
      </c>
      <c r="I26" s="377">
        <f t="shared" si="15"/>
        <v>7500</v>
      </c>
      <c r="J26" s="379"/>
      <c r="U26" s="230">
        <f t="shared" si="16"/>
        <v>7500</v>
      </c>
      <c r="X26" s="230">
        <f t="shared" si="17"/>
        <v>7500</v>
      </c>
      <c r="Y26" s="228">
        <f t="shared" si="18"/>
        <v>0</v>
      </c>
    </row>
    <row r="27" spans="1:25" ht="22.5" x14ac:dyDescent="0.2">
      <c r="A27" s="358" t="str">
        <f>+'MTF_APICULTURA (10+45)'!B107</f>
        <v>CALENTADOR DE AGUA</v>
      </c>
      <c r="B27" s="217" t="s">
        <v>157</v>
      </c>
      <c r="C27" s="217" t="s">
        <v>22</v>
      </c>
      <c r="D27" s="220">
        <v>1</v>
      </c>
      <c r="E27" s="213">
        <f>+'MTF_APICULTURA (10+45)'!G107</f>
        <v>10400</v>
      </c>
      <c r="F27" s="213"/>
      <c r="G27" s="221"/>
      <c r="H27" s="359">
        <f t="shared" si="19"/>
        <v>10400</v>
      </c>
      <c r="I27" s="377">
        <f t="shared" si="15"/>
        <v>10400</v>
      </c>
      <c r="J27" s="379"/>
      <c r="U27" s="230">
        <f t="shared" si="16"/>
        <v>10400</v>
      </c>
      <c r="X27" s="230">
        <f t="shared" si="17"/>
        <v>10400</v>
      </c>
      <c r="Y27" s="228">
        <f t="shared" si="18"/>
        <v>0</v>
      </c>
    </row>
    <row r="28" spans="1:25" x14ac:dyDescent="0.2">
      <c r="A28" s="358" t="str">
        <f>+'MTF_APICULTURA (10+45)'!B104</f>
        <v>CINTA</v>
      </c>
      <c r="B28" s="217"/>
      <c r="C28" s="217" t="s">
        <v>22</v>
      </c>
      <c r="D28" s="220">
        <v>1</v>
      </c>
      <c r="E28" s="213">
        <f>+'MTF_APICULTURA (10+45)'!G104</f>
        <v>5500</v>
      </c>
      <c r="F28" s="213"/>
      <c r="G28" s="221"/>
      <c r="H28" s="359">
        <f t="shared" si="19"/>
        <v>5500</v>
      </c>
      <c r="I28" s="377">
        <f t="shared" si="15"/>
        <v>5500</v>
      </c>
      <c r="J28" s="379"/>
      <c r="U28" s="230">
        <f t="shared" si="16"/>
        <v>5500</v>
      </c>
      <c r="X28" s="230">
        <f t="shared" si="17"/>
        <v>5500</v>
      </c>
      <c r="Y28" s="228">
        <f t="shared" si="18"/>
        <v>0</v>
      </c>
    </row>
    <row r="29" spans="1:25" x14ac:dyDescent="0.2">
      <c r="A29" s="358" t="str">
        <f>+'MTF_APICULTURA (10+45)'!B105</f>
        <v>SEGUETA</v>
      </c>
      <c r="B29" s="217"/>
      <c r="C29" s="217" t="s">
        <v>22</v>
      </c>
      <c r="D29" s="220">
        <v>1</v>
      </c>
      <c r="E29" s="213">
        <f>+'MTF_APICULTURA (10+45)'!G105</f>
        <v>5500</v>
      </c>
      <c r="F29" s="213"/>
      <c r="G29" s="221"/>
      <c r="H29" s="359">
        <f t="shared" si="19"/>
        <v>5500</v>
      </c>
      <c r="I29" s="377">
        <f t="shared" si="15"/>
        <v>5500</v>
      </c>
      <c r="J29" s="379"/>
      <c r="U29" s="230">
        <f t="shared" si="16"/>
        <v>5500</v>
      </c>
      <c r="X29" s="230">
        <f t="shared" si="17"/>
        <v>5500</v>
      </c>
      <c r="Y29" s="228">
        <f t="shared" si="18"/>
        <v>0</v>
      </c>
    </row>
    <row r="30" spans="1:25" ht="111" customHeight="1" x14ac:dyDescent="0.2">
      <c r="A30" s="358" t="s">
        <v>168</v>
      </c>
      <c r="B30" s="380" t="s">
        <v>162</v>
      </c>
      <c r="C30" s="217" t="s">
        <v>22</v>
      </c>
      <c r="D30" s="220">
        <v>1</v>
      </c>
      <c r="E30" s="213">
        <f>+'MTF_APICULTURA (10+45)'!G108</f>
        <v>12624000</v>
      </c>
      <c r="F30" s="213"/>
      <c r="G30" s="221"/>
      <c r="H30" s="359">
        <f t="shared" si="19"/>
        <v>12624000</v>
      </c>
      <c r="I30" s="377">
        <f t="shared" si="15"/>
        <v>12624000</v>
      </c>
      <c r="J30" s="379"/>
      <c r="R30" s="230">
        <f>+I30</f>
        <v>12624000</v>
      </c>
      <c r="X30" s="230">
        <f t="shared" si="17"/>
        <v>12624000</v>
      </c>
      <c r="Y30" s="228">
        <f t="shared" si="18"/>
        <v>0</v>
      </c>
    </row>
    <row r="31" spans="1:25" ht="67.5" x14ac:dyDescent="0.2">
      <c r="A31" s="358" t="s">
        <v>163</v>
      </c>
      <c r="B31" s="217" t="s">
        <v>391</v>
      </c>
      <c r="C31" s="217" t="s">
        <v>22</v>
      </c>
      <c r="D31" s="220">
        <v>1</v>
      </c>
      <c r="E31" s="213">
        <f>+'MTF_APICULTURA (10+45)'!G109</f>
        <v>11400000</v>
      </c>
      <c r="F31" s="213"/>
      <c r="G31" s="221"/>
      <c r="H31" s="359">
        <f t="shared" si="19"/>
        <v>11400000</v>
      </c>
      <c r="I31" s="377">
        <f t="shared" si="15"/>
        <v>11400000</v>
      </c>
      <c r="J31" s="379"/>
      <c r="U31" s="230">
        <f t="shared" si="16"/>
        <v>11400000</v>
      </c>
      <c r="X31" s="230">
        <f t="shared" si="17"/>
        <v>11400000</v>
      </c>
      <c r="Y31" s="228">
        <f t="shared" si="18"/>
        <v>0</v>
      </c>
    </row>
    <row r="32" spans="1:25" x14ac:dyDescent="0.2">
      <c r="A32" s="381"/>
      <c r="B32" s="382"/>
      <c r="C32" s="382"/>
      <c r="D32" s="383"/>
      <c r="E32" s="384"/>
      <c r="F32" s="384"/>
      <c r="G32" s="385"/>
      <c r="H32" s="352">
        <f>SUM(H24:H31)</f>
        <v>26056900</v>
      </c>
      <c r="I32" s="421">
        <f t="shared" ref="I32:J32" si="20">SUM(I24:I31)</f>
        <v>26056900</v>
      </c>
      <c r="J32" s="421">
        <f t="shared" si="20"/>
        <v>0</v>
      </c>
    </row>
    <row r="33" spans="1:25" x14ac:dyDescent="0.2">
      <c r="A33" s="488" t="s">
        <v>373</v>
      </c>
      <c r="B33" s="489"/>
      <c r="C33" s="489"/>
      <c r="D33" s="489"/>
      <c r="E33" s="489"/>
      <c r="F33" s="489"/>
      <c r="G33" s="489"/>
      <c r="H33" s="490"/>
    </row>
    <row r="34" spans="1:25" x14ac:dyDescent="0.2">
      <c r="A34" s="386" t="s">
        <v>173</v>
      </c>
      <c r="B34" s="387"/>
      <c r="C34" s="386" t="s">
        <v>22</v>
      </c>
      <c r="D34" s="387">
        <v>2</v>
      </c>
      <c r="E34" s="388">
        <f>+'MTF_APICULTURA (10+45)'!G110</f>
        <v>95666606</v>
      </c>
      <c r="F34" s="388"/>
      <c r="G34" s="387"/>
      <c r="H34" s="423">
        <f>+E34*D34</f>
        <v>191333212</v>
      </c>
      <c r="I34" s="390">
        <f t="shared" ref="I34:I36" si="21">+H34</f>
        <v>191333212</v>
      </c>
      <c r="J34" s="363"/>
      <c r="Q34" s="230">
        <f>+I34</f>
        <v>191333212</v>
      </c>
      <c r="X34" s="230">
        <f t="shared" ref="X34:X36" si="22">SUM(L34:W34)</f>
        <v>191333212</v>
      </c>
      <c r="Y34" s="228">
        <f t="shared" ref="Y34:Y36" si="23">+X34-I34</f>
        <v>0</v>
      </c>
    </row>
    <row r="35" spans="1:25" x14ac:dyDescent="0.2">
      <c r="A35" s="386" t="s">
        <v>174</v>
      </c>
      <c r="B35" s="387"/>
      <c r="C35" s="386" t="s">
        <v>22</v>
      </c>
      <c r="D35" s="387">
        <v>1</v>
      </c>
      <c r="E35" s="388">
        <f>+'MTF_APICULTURA (10+45)'!G112</f>
        <v>79913678</v>
      </c>
      <c r="F35" s="388"/>
      <c r="G35" s="387"/>
      <c r="H35" s="389">
        <f>+E35*D35</f>
        <v>79913678</v>
      </c>
      <c r="I35" s="390">
        <f t="shared" si="21"/>
        <v>79913678</v>
      </c>
      <c r="J35" s="363"/>
      <c r="P35" s="230">
        <f>+I35</f>
        <v>79913678</v>
      </c>
      <c r="X35" s="230">
        <f t="shared" si="22"/>
        <v>79913678</v>
      </c>
      <c r="Y35" s="228">
        <f t="shared" si="23"/>
        <v>0</v>
      </c>
    </row>
    <row r="36" spans="1:25" x14ac:dyDescent="0.2">
      <c r="A36" s="358" t="s">
        <v>164</v>
      </c>
      <c r="B36" s="217"/>
      <c r="C36" s="217" t="s">
        <v>22</v>
      </c>
      <c r="D36" s="220">
        <v>1</v>
      </c>
      <c r="E36" s="388">
        <f>+'MTF_APICULTURA (10+45)'!G111</f>
        <v>36535747</v>
      </c>
      <c r="F36" s="388"/>
      <c r="G36" s="221"/>
      <c r="H36" s="389">
        <f>+E36*D36</f>
        <v>36535747</v>
      </c>
      <c r="I36" s="390">
        <f t="shared" si="21"/>
        <v>36535747</v>
      </c>
      <c r="J36" s="363"/>
      <c r="P36" s="230">
        <f>+I36</f>
        <v>36535747</v>
      </c>
      <c r="X36" s="230">
        <f t="shared" si="22"/>
        <v>36535747</v>
      </c>
      <c r="Y36" s="228">
        <f t="shared" si="23"/>
        <v>0</v>
      </c>
    </row>
    <row r="37" spans="1:25" x14ac:dyDescent="0.2">
      <c r="A37" s="391"/>
      <c r="B37" s="392"/>
      <c r="C37" s="392"/>
      <c r="D37" s="393"/>
      <c r="E37" s="394"/>
      <c r="F37" s="394"/>
      <c r="G37" s="395"/>
      <c r="H37" s="361">
        <f>SUM(H34:H36)</f>
        <v>307782637</v>
      </c>
      <c r="I37" s="396">
        <f t="shared" ref="I37:J37" si="24">SUM(I34:I36)</f>
        <v>307782637</v>
      </c>
      <c r="J37" s="396">
        <f t="shared" si="24"/>
        <v>0</v>
      </c>
    </row>
    <row r="38" spans="1:25" x14ac:dyDescent="0.2">
      <c r="A38" s="391"/>
      <c r="B38" s="392"/>
      <c r="C38" s="392"/>
      <c r="D38" s="393"/>
      <c r="E38" s="394"/>
      <c r="F38" s="394"/>
      <c r="G38" s="395"/>
      <c r="H38" s="397"/>
    </row>
    <row r="39" spans="1:25" x14ac:dyDescent="0.2">
      <c r="A39" s="212"/>
      <c r="B39" s="212"/>
      <c r="C39" s="212"/>
      <c r="D39" s="362"/>
      <c r="E39" s="235"/>
      <c r="F39" s="235"/>
      <c r="G39" s="363"/>
      <c r="H39" s="364"/>
    </row>
    <row r="40" spans="1:25" ht="22.5" x14ac:dyDescent="0.2">
      <c r="A40" s="353" t="s">
        <v>158</v>
      </c>
      <c r="B40" s="374" t="s">
        <v>152</v>
      </c>
      <c r="C40" s="353" t="s">
        <v>118</v>
      </c>
      <c r="D40" s="355" t="s">
        <v>119</v>
      </c>
      <c r="E40" s="353" t="s">
        <v>23</v>
      </c>
      <c r="F40" s="375"/>
      <c r="G40" s="353" t="s">
        <v>120</v>
      </c>
      <c r="H40" s="356" t="s">
        <v>38</v>
      </c>
      <c r="I40" s="376" t="s">
        <v>38</v>
      </c>
      <c r="J40" s="376" t="s">
        <v>38</v>
      </c>
    </row>
    <row r="41" spans="1:25" x14ac:dyDescent="0.2">
      <c r="A41" s="358" t="s">
        <v>165</v>
      </c>
      <c r="B41" s="217" t="str">
        <f>+'MTF_APICULTURA (10+45)'!B66</f>
        <v>Panela x 1 kg  (3 kg/colmena)</v>
      </c>
      <c r="C41" s="217" t="s">
        <v>60</v>
      </c>
      <c r="D41" s="220">
        <f>+D1*3</f>
        <v>39</v>
      </c>
      <c r="E41" s="213">
        <f>+'MTF_APICULTURA (10+45)'!G66</f>
        <v>8300</v>
      </c>
      <c r="F41" s="213"/>
      <c r="G41" s="221">
        <f t="shared" ref="G41:G49" si="25">+$K$1</f>
        <v>57</v>
      </c>
      <c r="H41" s="359">
        <f t="shared" ref="H41:H49" si="26">+ROUND(D41*E41*G41,0)</f>
        <v>18450900</v>
      </c>
      <c r="I41" s="367">
        <f t="shared" ref="I41:I49" si="27">+H41</f>
        <v>18450900</v>
      </c>
      <c r="J41" s="368"/>
      <c r="P41" s="230">
        <f>+I41</f>
        <v>18450900</v>
      </c>
      <c r="X41" s="230">
        <f t="shared" ref="X41:X49" si="28">SUM(L41:W41)</f>
        <v>18450900</v>
      </c>
      <c r="Y41" s="228">
        <f t="shared" ref="Y41:Y49" si="29">+X41-I41</f>
        <v>0</v>
      </c>
    </row>
    <row r="42" spans="1:25" ht="35.1" customHeight="1" x14ac:dyDescent="0.2">
      <c r="A42" s="358" t="s">
        <v>166</v>
      </c>
      <c r="B42" s="217" t="str">
        <f>+'MTF_APICULTURA (10+45)'!B67</f>
        <v>Promocalier (suplemento vitaminas y aminoacidos): 2 cc/colmena.</v>
      </c>
      <c r="C42" s="217" t="str">
        <f>+'MTF_APICULTURA (10+45)'!F67</f>
        <v>Mililitro</v>
      </c>
      <c r="D42" s="220">
        <v>200</v>
      </c>
      <c r="E42" s="213">
        <f>+'MTF_APICULTURA (10+45)'!G67</f>
        <v>105</v>
      </c>
      <c r="F42" s="213"/>
      <c r="G42" s="221">
        <f t="shared" si="25"/>
        <v>57</v>
      </c>
      <c r="H42" s="359">
        <f t="shared" si="26"/>
        <v>1197000</v>
      </c>
      <c r="I42" s="367">
        <f t="shared" si="27"/>
        <v>1197000</v>
      </c>
      <c r="J42" s="368"/>
      <c r="P42" s="230">
        <f t="shared" ref="P42:P49" si="30">+I42</f>
        <v>1197000</v>
      </c>
      <c r="X42" s="230">
        <f t="shared" si="28"/>
        <v>1197000</v>
      </c>
      <c r="Y42" s="228">
        <f t="shared" si="29"/>
        <v>0</v>
      </c>
    </row>
    <row r="43" spans="1:25" ht="45" customHeight="1" x14ac:dyDescent="0.2">
      <c r="A43" s="358" t="str">
        <f>+'[2]Análisis cotizaciones'!$A$12</f>
        <v>AHUMADOR</v>
      </c>
      <c r="B43" s="217" t="str">
        <f>+'[2]Análisis cotizaciones'!$B$12</f>
        <v>Ahumador en coll rolled, pintado con pintura electrostatica, salida en boca de pato</v>
      </c>
      <c r="C43" s="217" t="s">
        <v>22</v>
      </c>
      <c r="D43" s="220">
        <v>1</v>
      </c>
      <c r="E43" s="213">
        <f>+'MTF_APICULTURA (10+45)'!G68</f>
        <v>165000</v>
      </c>
      <c r="F43" s="213"/>
      <c r="G43" s="221">
        <f t="shared" si="25"/>
        <v>57</v>
      </c>
      <c r="H43" s="359">
        <f t="shared" si="26"/>
        <v>9405000</v>
      </c>
      <c r="I43" s="367">
        <f t="shared" si="27"/>
        <v>9405000</v>
      </c>
      <c r="J43" s="368"/>
      <c r="P43" s="230">
        <f t="shared" si="30"/>
        <v>9405000</v>
      </c>
      <c r="X43" s="230">
        <f t="shared" si="28"/>
        <v>9405000</v>
      </c>
      <c r="Y43" s="228">
        <f t="shared" si="29"/>
        <v>0</v>
      </c>
    </row>
    <row r="44" spans="1:25" x14ac:dyDescent="0.2">
      <c r="A44" s="358" t="str">
        <f>+'MTF_APICULTURA (10+45)'!B69</f>
        <v>TRAJE APÍCOLA</v>
      </c>
      <c r="B44" s="217"/>
      <c r="C44" s="217" t="s">
        <v>22</v>
      </c>
      <c r="D44" s="220">
        <v>2</v>
      </c>
      <c r="E44" s="213">
        <f>+'MTF_APICULTURA (10+45)'!G69</f>
        <v>190000</v>
      </c>
      <c r="F44" s="213"/>
      <c r="G44" s="221">
        <f t="shared" si="25"/>
        <v>57</v>
      </c>
      <c r="H44" s="359">
        <f t="shared" si="26"/>
        <v>21660000</v>
      </c>
      <c r="I44" s="367">
        <f t="shared" si="27"/>
        <v>21660000</v>
      </c>
      <c r="J44" s="368"/>
      <c r="P44" s="230">
        <f t="shared" si="30"/>
        <v>21660000</v>
      </c>
      <c r="X44" s="230">
        <f t="shared" si="28"/>
        <v>21660000</v>
      </c>
      <c r="Y44" s="228">
        <f t="shared" si="29"/>
        <v>0</v>
      </c>
    </row>
    <row r="45" spans="1:25" x14ac:dyDescent="0.2">
      <c r="A45" s="358" t="str">
        <f>+'MTF_APICULTURA (10+45)'!B70</f>
        <v>GANCHO PALANCA</v>
      </c>
      <c r="B45" s="217"/>
      <c r="C45" s="217" t="s">
        <v>22</v>
      </c>
      <c r="D45" s="220">
        <v>1</v>
      </c>
      <c r="E45" s="213">
        <f>+'MTF_APICULTURA (10+45)'!G70</f>
        <v>37000</v>
      </c>
      <c r="F45" s="213"/>
      <c r="G45" s="221">
        <f t="shared" si="25"/>
        <v>57</v>
      </c>
      <c r="H45" s="359">
        <f t="shared" si="26"/>
        <v>2109000</v>
      </c>
      <c r="I45" s="367">
        <f t="shared" si="27"/>
        <v>2109000</v>
      </c>
      <c r="J45" s="368"/>
      <c r="P45" s="230">
        <f t="shared" si="30"/>
        <v>2109000</v>
      </c>
      <c r="X45" s="230">
        <f t="shared" si="28"/>
        <v>2109000</v>
      </c>
      <c r="Y45" s="228">
        <f t="shared" si="29"/>
        <v>0</v>
      </c>
    </row>
    <row r="46" spans="1:25" ht="54.95" customHeight="1" x14ac:dyDescent="0.2">
      <c r="A46" s="358" t="str">
        <f>+'[2]Análisis cotizaciones'!$A$34</f>
        <v>CUÑETES PLASTICOS</v>
      </c>
      <c r="B46" s="217" t="str">
        <f>+'[2]Análisis cotizaciones'!$B$34</f>
        <v>Para alimentos, envase pástico blanco para alimentos, material polietileno de alta densidad con precintos de seguridad, tapa ancha y manija con capacidad de 5 galones</v>
      </c>
      <c r="C46" s="217" t="s">
        <v>22</v>
      </c>
      <c r="D46" s="398">
        <v>4</v>
      </c>
      <c r="E46" s="213">
        <f>+'MTF_APICULTURA (10+45)'!G71</f>
        <v>32500</v>
      </c>
      <c r="F46" s="213"/>
      <c r="G46" s="221">
        <f t="shared" si="25"/>
        <v>57</v>
      </c>
      <c r="H46" s="359">
        <f>+ROUND(D46*E46*G46,0)</f>
        <v>7410000</v>
      </c>
      <c r="I46" s="367">
        <f t="shared" si="27"/>
        <v>7410000</v>
      </c>
      <c r="J46" s="368"/>
      <c r="P46" s="230">
        <f t="shared" si="30"/>
        <v>7410000</v>
      </c>
      <c r="X46" s="230">
        <f t="shared" si="28"/>
        <v>7410000</v>
      </c>
      <c r="Y46" s="228">
        <f t="shared" si="29"/>
        <v>0</v>
      </c>
    </row>
    <row r="47" spans="1:25" ht="32.1" customHeight="1" x14ac:dyDescent="0.2">
      <c r="A47" s="358" t="str">
        <f>+'MTF_APICULTURA (10+45)'!B72</f>
        <v>TENEDOR DESOPERCULADOR</v>
      </c>
      <c r="B47" s="217" t="str">
        <f>+'[2]Análisis cotizaciones'!$B$22</f>
        <v>Tenedor desoperculador con mango en plástico y 18 dientes en acero inoxidable</v>
      </c>
      <c r="C47" s="217" t="s">
        <v>22</v>
      </c>
      <c r="D47" s="220">
        <v>1</v>
      </c>
      <c r="E47" s="213">
        <f>+'MTF_APICULTURA (10+45)'!G72</f>
        <v>30500</v>
      </c>
      <c r="F47" s="213"/>
      <c r="G47" s="221">
        <f t="shared" si="25"/>
        <v>57</v>
      </c>
      <c r="H47" s="359">
        <f t="shared" si="26"/>
        <v>1738500</v>
      </c>
      <c r="I47" s="367">
        <f t="shared" si="27"/>
        <v>1738500</v>
      </c>
      <c r="J47" s="368"/>
      <c r="P47" s="230">
        <f t="shared" si="30"/>
        <v>1738500</v>
      </c>
      <c r="X47" s="230">
        <f t="shared" si="28"/>
        <v>1738500</v>
      </c>
      <c r="Y47" s="228">
        <f t="shared" si="29"/>
        <v>0</v>
      </c>
    </row>
    <row r="48" spans="1:25" ht="39.950000000000003" customHeight="1" x14ac:dyDescent="0.2">
      <c r="A48" s="358" t="str">
        <f>+'MTF_APICULTURA (10+45)'!B73</f>
        <v>VARILLA</v>
      </c>
      <c r="B48" s="217" t="str">
        <f>+'[2]Análisis cotizaciones'!$B$19</f>
        <v>Varilla corrugada de 12mm x 6m, cortada en 4 partes de 1,5m</v>
      </c>
      <c r="C48" s="217" t="s">
        <v>22</v>
      </c>
      <c r="D48" s="220">
        <v>1</v>
      </c>
      <c r="E48" s="213">
        <f>+'MTF_APICULTURA (10+45)'!G73</f>
        <v>46500</v>
      </c>
      <c r="F48" s="213"/>
      <c r="G48" s="221">
        <f t="shared" si="25"/>
        <v>57</v>
      </c>
      <c r="H48" s="359">
        <f t="shared" si="26"/>
        <v>2650500</v>
      </c>
      <c r="I48" s="367">
        <f t="shared" si="27"/>
        <v>2650500</v>
      </c>
      <c r="J48" s="368"/>
      <c r="P48" s="230">
        <f t="shared" si="30"/>
        <v>2650500</v>
      </c>
      <c r="X48" s="230">
        <f t="shared" si="28"/>
        <v>2650500</v>
      </c>
      <c r="Y48" s="228">
        <f t="shared" si="29"/>
        <v>0</v>
      </c>
    </row>
    <row r="49" spans="1:25" ht="15" customHeight="1" x14ac:dyDescent="0.2">
      <c r="A49" s="358" t="str">
        <f>+'MTF_APICULTURA (10+45)'!B74</f>
        <v>EMBUDO</v>
      </c>
      <c r="B49" s="217" t="str">
        <f>+'[2]Análisis cotizaciones'!$B$20</f>
        <v>Embudo en plástico pequeño</v>
      </c>
      <c r="C49" s="217" t="s">
        <v>22</v>
      </c>
      <c r="D49" s="220">
        <v>1</v>
      </c>
      <c r="E49" s="213">
        <f>+'MTF_APICULTURA (10+45)'!G74</f>
        <v>15000</v>
      </c>
      <c r="F49" s="213"/>
      <c r="G49" s="221">
        <f t="shared" si="25"/>
        <v>57</v>
      </c>
      <c r="H49" s="424">
        <f t="shared" si="26"/>
        <v>855000</v>
      </c>
      <c r="I49" s="367">
        <f t="shared" si="27"/>
        <v>855000</v>
      </c>
      <c r="J49" s="368"/>
      <c r="P49" s="230">
        <f t="shared" si="30"/>
        <v>855000</v>
      </c>
      <c r="X49" s="230">
        <f t="shared" si="28"/>
        <v>855000</v>
      </c>
      <c r="Y49" s="228">
        <f t="shared" si="29"/>
        <v>0</v>
      </c>
    </row>
    <row r="50" spans="1:25" x14ac:dyDescent="0.2">
      <c r="A50" s="358"/>
      <c r="B50" s="217"/>
      <c r="C50" s="217"/>
      <c r="D50" s="399"/>
      <c r="E50" s="213"/>
      <c r="F50" s="213"/>
      <c r="G50" s="221"/>
      <c r="H50" s="359"/>
    </row>
    <row r="51" spans="1:25" x14ac:dyDescent="0.2">
      <c r="A51" s="212"/>
      <c r="B51" s="484" t="s">
        <v>125</v>
      </c>
      <c r="C51" s="485"/>
      <c r="D51" s="485"/>
      <c r="E51" s="485"/>
      <c r="F51" s="485"/>
      <c r="G51" s="486"/>
      <c r="H51" s="352">
        <f>SUM(H41:H50)</f>
        <v>65475900</v>
      </c>
      <c r="I51" s="421">
        <f t="shared" ref="I51:J51" si="31">SUM(I41:I50)</f>
        <v>65475900</v>
      </c>
      <c r="J51" s="421">
        <f t="shared" si="31"/>
        <v>0</v>
      </c>
    </row>
    <row r="52" spans="1:25" x14ac:dyDescent="0.2">
      <c r="A52" s="212"/>
      <c r="B52" s="212"/>
      <c r="C52" s="212"/>
      <c r="D52" s="362"/>
      <c r="E52" s="235"/>
      <c r="F52" s="235"/>
      <c r="G52" s="363"/>
      <c r="H52" s="364"/>
    </row>
    <row r="53" spans="1:25" ht="22.5" x14ac:dyDescent="0.2">
      <c r="A53" s="400"/>
      <c r="B53" s="374" t="s">
        <v>126</v>
      </c>
      <c r="C53" s="353" t="s">
        <v>118</v>
      </c>
      <c r="D53" s="355" t="s">
        <v>119</v>
      </c>
      <c r="E53" s="353" t="s">
        <v>23</v>
      </c>
      <c r="F53" s="375"/>
      <c r="G53" s="353" t="s">
        <v>120</v>
      </c>
      <c r="H53" s="356" t="s">
        <v>38</v>
      </c>
      <c r="I53" s="376" t="s">
        <v>38</v>
      </c>
      <c r="J53" s="376" t="s">
        <v>38</v>
      </c>
    </row>
    <row r="54" spans="1:25" ht="22.5" x14ac:dyDescent="0.2">
      <c r="A54" s="392"/>
      <c r="B54" s="217" t="s">
        <v>127</v>
      </c>
      <c r="C54" s="219" t="s">
        <v>128</v>
      </c>
      <c r="D54" s="220">
        <v>1</v>
      </c>
      <c r="E54" s="213">
        <f>+'MTF_APICULTURA (10+45)'!G21</f>
        <v>4833333</v>
      </c>
      <c r="F54" s="213"/>
      <c r="G54" s="221"/>
      <c r="H54" s="359">
        <f>+ROUND((E54*D54),-3)</f>
        <v>4833000</v>
      </c>
      <c r="I54" s="377">
        <f>+H54</f>
        <v>4833000</v>
      </c>
      <c r="J54" s="379"/>
      <c r="O54" s="230">
        <f>+ROUND((I54/2),0)</f>
        <v>2416500</v>
      </c>
      <c r="P54" s="230">
        <f>+ROUND((I54/2),0)</f>
        <v>2416500</v>
      </c>
      <c r="X54" s="230">
        <f>SUM(L54:W54)</f>
        <v>4833000</v>
      </c>
      <c r="Y54" s="228">
        <f t="shared" ref="Y54" si="32">+X54-I54</f>
        <v>0</v>
      </c>
    </row>
    <row r="55" spans="1:25" x14ac:dyDescent="0.2">
      <c r="A55" s="212"/>
      <c r="B55" s="487" t="s">
        <v>129</v>
      </c>
      <c r="C55" s="487"/>
      <c r="D55" s="487"/>
      <c r="E55" s="487"/>
      <c r="F55" s="487"/>
      <c r="G55" s="487"/>
      <c r="H55" s="352">
        <f>SUM(H54:H54)</f>
        <v>4833000</v>
      </c>
      <c r="I55" s="421">
        <f t="shared" ref="I55:J55" si="33">SUM(I54:I54)</f>
        <v>4833000</v>
      </c>
      <c r="J55" s="421">
        <f t="shared" si="33"/>
        <v>0</v>
      </c>
    </row>
    <row r="56" spans="1:25" x14ac:dyDescent="0.2">
      <c r="A56" s="212"/>
      <c r="B56" s="212"/>
      <c r="C56" s="212"/>
      <c r="D56" s="362"/>
      <c r="E56" s="235"/>
      <c r="F56" s="235"/>
      <c r="G56" s="363"/>
      <c r="H56" s="364"/>
    </row>
    <row r="57" spans="1:25" ht="22.5" x14ac:dyDescent="0.2">
      <c r="A57" s="401"/>
      <c r="B57" s="353" t="s">
        <v>130</v>
      </c>
      <c r="C57" s="374" t="s">
        <v>118</v>
      </c>
      <c r="D57" s="402" t="s">
        <v>131</v>
      </c>
      <c r="E57" s="374" t="s">
        <v>23</v>
      </c>
      <c r="F57" s="403"/>
      <c r="G57" s="374" t="s">
        <v>132</v>
      </c>
      <c r="H57" s="404" t="s">
        <v>38</v>
      </c>
      <c r="I57" s="405" t="s">
        <v>38</v>
      </c>
      <c r="J57" s="405" t="s">
        <v>38</v>
      </c>
    </row>
    <row r="58" spans="1:25" ht="30" customHeight="1" x14ac:dyDescent="0.2">
      <c r="A58" s="401"/>
      <c r="B58" s="217"/>
      <c r="C58" s="219">
        <f>+'MTF_APICULTURA (10+45)'!F138</f>
        <v>0</v>
      </c>
      <c r="D58" s="220"/>
      <c r="E58" s="213"/>
      <c r="F58" s="213"/>
      <c r="G58" s="221"/>
      <c r="H58" s="359"/>
      <c r="I58" s="377"/>
      <c r="J58" s="379"/>
    </row>
    <row r="59" spans="1:25" x14ac:dyDescent="0.2">
      <c r="A59" s="218"/>
      <c r="B59" s="219" t="str">
        <f>+'MTF_APICULTURA (10+45)'!B139:E139</f>
        <v>Técnico agropecuarío/comunitario</v>
      </c>
      <c r="C59" s="219" t="str">
        <f>+'MTF_APICULTURA (10+45)'!F139</f>
        <v>Técnico</v>
      </c>
      <c r="D59" s="220">
        <v>1</v>
      </c>
      <c r="E59" s="213">
        <v>3500000</v>
      </c>
      <c r="F59" s="213"/>
      <c r="G59" s="221">
        <v>8</v>
      </c>
      <c r="H59" s="359">
        <f>(E59*G59*D59)</f>
        <v>28000000</v>
      </c>
      <c r="I59" s="377">
        <f t="shared" ref="I59:I61" si="34">+H59</f>
        <v>28000000</v>
      </c>
      <c r="J59" s="379"/>
      <c r="O59" s="230">
        <f>+ROUND(($I$59/8),0)</f>
        <v>3500000</v>
      </c>
      <c r="P59" s="230">
        <f t="shared" ref="P59:V59" si="35">+ROUND(($I$59/8),0)</f>
        <v>3500000</v>
      </c>
      <c r="Q59" s="230">
        <f t="shared" si="35"/>
        <v>3500000</v>
      </c>
      <c r="R59" s="230">
        <f t="shared" si="35"/>
        <v>3500000</v>
      </c>
      <c r="S59" s="230">
        <f t="shared" si="35"/>
        <v>3500000</v>
      </c>
      <c r="T59" s="230">
        <f t="shared" si="35"/>
        <v>3500000</v>
      </c>
      <c r="U59" s="230">
        <f t="shared" si="35"/>
        <v>3500000</v>
      </c>
      <c r="V59" s="230">
        <f t="shared" si="35"/>
        <v>3500000</v>
      </c>
      <c r="X59" s="230">
        <f t="shared" ref="X59:X61" si="36">SUM(L59:W59)</f>
        <v>28000000</v>
      </c>
      <c r="Y59" s="228">
        <f t="shared" ref="Y59:Y61" si="37">+X59-I59</f>
        <v>0</v>
      </c>
    </row>
    <row r="60" spans="1:25" x14ac:dyDescent="0.2">
      <c r="A60" s="218"/>
      <c r="B60" s="219" t="str">
        <f>+'MTF_APICULTURA (10+45)'!B140:E140</f>
        <v>Profesional socioempresarial y comercial</v>
      </c>
      <c r="C60" s="219" t="str">
        <f>+'MTF_APICULTURA (10+45)'!F140</f>
        <v xml:space="preserve">Profesional </v>
      </c>
      <c r="D60" s="220">
        <v>1</v>
      </c>
      <c r="E60" s="213">
        <f>+'Costos de implementación'!F5</f>
        <v>4358939.2</v>
      </c>
      <c r="F60" s="213"/>
      <c r="G60" s="221">
        <v>8</v>
      </c>
      <c r="H60" s="359">
        <f>ROUND(((E60*G60*D60)),0)</f>
        <v>34871514</v>
      </c>
      <c r="I60" s="377">
        <f t="shared" si="34"/>
        <v>34871514</v>
      </c>
      <c r="J60" s="379"/>
      <c r="O60" s="230">
        <f>+ROUND(($I$60/8),0)</f>
        <v>4358939</v>
      </c>
      <c r="P60" s="230">
        <f t="shared" ref="P60:U60" si="38">+ROUND(($I$60/8),0)</f>
        <v>4358939</v>
      </c>
      <c r="Q60" s="230">
        <f t="shared" si="38"/>
        <v>4358939</v>
      </c>
      <c r="R60" s="230">
        <f t="shared" si="38"/>
        <v>4358939</v>
      </c>
      <c r="S60" s="230">
        <f t="shared" si="38"/>
        <v>4358939</v>
      </c>
      <c r="T60" s="230">
        <f t="shared" si="38"/>
        <v>4358939</v>
      </c>
      <c r="U60" s="230">
        <f t="shared" si="38"/>
        <v>4358939</v>
      </c>
      <c r="V60" s="230">
        <f>+ROUND(($I$60/8),0)+2</f>
        <v>4358941</v>
      </c>
      <c r="X60" s="230">
        <f t="shared" si="36"/>
        <v>34871514</v>
      </c>
      <c r="Y60" s="228">
        <f t="shared" si="37"/>
        <v>0</v>
      </c>
    </row>
    <row r="61" spans="1:25" ht="30" customHeight="1" x14ac:dyDescent="0.2">
      <c r="A61" s="392"/>
      <c r="B61" s="219" t="str">
        <f>+'MTF_APICULTURA (10+45)'!B141:E141</f>
        <v>Asistente Psicosocial</v>
      </c>
      <c r="C61" s="217" t="str">
        <f>+'MTF_APICULTURA (10+45)'!F141</f>
        <v xml:space="preserve">Profesional </v>
      </c>
      <c r="D61" s="220">
        <v>1</v>
      </c>
      <c r="E61" s="360">
        <f>+'Costos de implementación'!F6</f>
        <v>4358939.2</v>
      </c>
      <c r="F61" s="406"/>
      <c r="G61" s="221">
        <v>8</v>
      </c>
      <c r="H61" s="359">
        <f>ROUND(((E61*G61*D61)),0)</f>
        <v>34871514</v>
      </c>
      <c r="I61" s="377">
        <f t="shared" si="34"/>
        <v>34871514</v>
      </c>
      <c r="J61" s="379"/>
      <c r="O61" s="230">
        <f>+ROUND(($I$61/8),0)</f>
        <v>4358939</v>
      </c>
      <c r="P61" s="230">
        <f t="shared" ref="P61:U61" si="39">+ROUND(($I$61/8),0)</f>
        <v>4358939</v>
      </c>
      <c r="Q61" s="230">
        <f t="shared" si="39"/>
        <v>4358939</v>
      </c>
      <c r="R61" s="230">
        <f t="shared" si="39"/>
        <v>4358939</v>
      </c>
      <c r="S61" s="230">
        <f t="shared" si="39"/>
        <v>4358939</v>
      </c>
      <c r="T61" s="230">
        <f t="shared" si="39"/>
        <v>4358939</v>
      </c>
      <c r="U61" s="230">
        <f t="shared" si="39"/>
        <v>4358939</v>
      </c>
      <c r="V61" s="230">
        <f>+ROUND(($I$61/8),0)+2</f>
        <v>4358941</v>
      </c>
      <c r="X61" s="230">
        <f t="shared" si="36"/>
        <v>34871514</v>
      </c>
      <c r="Y61" s="228">
        <f t="shared" si="37"/>
        <v>0</v>
      </c>
    </row>
    <row r="62" spans="1:25" x14ac:dyDescent="0.2">
      <c r="A62" s="218"/>
      <c r="B62" s="219"/>
      <c r="C62" s="219"/>
      <c r="D62" s="220"/>
      <c r="E62" s="213"/>
      <c r="F62" s="213"/>
      <c r="G62" s="221"/>
      <c r="H62" s="359"/>
    </row>
    <row r="63" spans="1:25" x14ac:dyDescent="0.2">
      <c r="A63" s="212"/>
      <c r="B63" s="487" t="s">
        <v>133</v>
      </c>
      <c r="C63" s="487"/>
      <c r="D63" s="487"/>
      <c r="E63" s="487"/>
      <c r="F63" s="487"/>
      <c r="G63" s="487"/>
      <c r="H63" s="338">
        <f>SUM(H58:H62)</f>
        <v>97743028</v>
      </c>
      <c r="I63" s="420">
        <f t="shared" ref="I63:J63" si="40">SUM(I58:I62)</f>
        <v>97743028</v>
      </c>
      <c r="J63" s="420">
        <f t="shared" si="40"/>
        <v>0</v>
      </c>
    </row>
    <row r="64" spans="1:25" x14ac:dyDescent="0.2">
      <c r="A64" s="212"/>
      <c r="B64" s="212"/>
      <c r="C64" s="212"/>
      <c r="D64" s="362"/>
      <c r="E64" s="235"/>
      <c r="F64" s="235"/>
      <c r="G64" s="363"/>
      <c r="H64" s="364"/>
    </row>
    <row r="65" spans="1:25" x14ac:dyDescent="0.2">
      <c r="A65" s="401"/>
      <c r="B65" s="353" t="s">
        <v>134</v>
      </c>
      <c r="C65" s="353" t="s">
        <v>118</v>
      </c>
      <c r="D65" s="355" t="s">
        <v>131</v>
      </c>
      <c r="E65" s="353" t="s">
        <v>23</v>
      </c>
      <c r="F65" s="375"/>
      <c r="G65" s="353"/>
      <c r="H65" s="356" t="s">
        <v>38</v>
      </c>
      <c r="I65" s="376" t="s">
        <v>38</v>
      </c>
      <c r="J65" s="376" t="s">
        <v>38</v>
      </c>
    </row>
    <row r="66" spans="1:25" x14ac:dyDescent="0.2">
      <c r="A66" s="391"/>
      <c r="B66" s="217" t="str">
        <f>+'MTF_APICULTURA (10+45)'!B142:E142</f>
        <v>Estrategia de comercialización</v>
      </c>
      <c r="C66" s="407" t="s">
        <v>135</v>
      </c>
      <c r="D66" s="220">
        <v>1</v>
      </c>
      <c r="E66" s="408">
        <f>+'MTF_APICULTURA (10+45)'!G142</f>
        <v>14041666</v>
      </c>
      <c r="F66" s="408"/>
      <c r="G66" s="409"/>
      <c r="H66" s="359">
        <f>+E66*D66</f>
        <v>14041666</v>
      </c>
      <c r="I66" s="377">
        <f t="shared" ref="I66:I72" si="41">+H66</f>
        <v>14041666</v>
      </c>
      <c r="J66" s="410"/>
      <c r="P66" s="230">
        <f>+I66/2</f>
        <v>7020833</v>
      </c>
      <c r="S66" s="230">
        <f>+I66/2</f>
        <v>7020833</v>
      </c>
      <c r="X66" s="230">
        <f t="shared" ref="X66:X72" si="42">SUM(L66:W66)</f>
        <v>14041666</v>
      </c>
      <c r="Y66" s="228">
        <f t="shared" ref="Y66:Y72" si="43">+X66-I66</f>
        <v>0</v>
      </c>
    </row>
    <row r="67" spans="1:25" ht="22.5" x14ac:dyDescent="0.2">
      <c r="A67" s="391"/>
      <c r="B67" s="217" t="s">
        <v>136</v>
      </c>
      <c r="C67" s="407" t="s">
        <v>135</v>
      </c>
      <c r="D67" s="220">
        <v>3</v>
      </c>
      <c r="E67" s="408">
        <f>+'MTF_APICULTURA (10+45)'!G143</f>
        <v>1550000</v>
      </c>
      <c r="F67" s="408"/>
      <c r="G67" s="409"/>
      <c r="H67" s="359">
        <f t="shared" ref="H67:H72" si="44">+E67*D67</f>
        <v>4650000</v>
      </c>
      <c r="I67" s="377">
        <f t="shared" si="41"/>
        <v>4650000</v>
      </c>
      <c r="J67" s="379"/>
      <c r="P67" s="230">
        <f>+ROUND(($I$67/3),0)</f>
        <v>1550000</v>
      </c>
      <c r="S67" s="230">
        <f>+ROUND(($I$67/3),0)</f>
        <v>1550000</v>
      </c>
      <c r="V67" s="230">
        <f>+ROUND(($I$67/3),0)</f>
        <v>1550000</v>
      </c>
      <c r="X67" s="230">
        <f t="shared" si="42"/>
        <v>4650000</v>
      </c>
      <c r="Y67" s="228">
        <f t="shared" si="43"/>
        <v>0</v>
      </c>
    </row>
    <row r="68" spans="1:25" ht="22.5" x14ac:dyDescent="0.2">
      <c r="A68" s="391"/>
      <c r="B68" s="217" t="str">
        <f>+'MTF_APICULTURA (10+45)'!B144:E144</f>
        <v>Taller empoderamiento económico de la mujer rural,</v>
      </c>
      <c r="C68" s="407" t="s">
        <v>135</v>
      </c>
      <c r="D68" s="220">
        <v>1</v>
      </c>
      <c r="E68" s="408">
        <f>+'MTF_APICULTURA (10+45)'!G144</f>
        <v>1950000</v>
      </c>
      <c r="F68" s="408"/>
      <c r="G68" s="409"/>
      <c r="H68" s="359">
        <f t="shared" si="44"/>
        <v>1950000</v>
      </c>
      <c r="I68" s="377">
        <f t="shared" si="41"/>
        <v>1950000</v>
      </c>
      <c r="J68" s="379"/>
      <c r="Q68" s="230">
        <f>+I68</f>
        <v>1950000</v>
      </c>
      <c r="X68" s="230">
        <f t="shared" si="42"/>
        <v>1950000</v>
      </c>
      <c r="Y68" s="228">
        <f t="shared" si="43"/>
        <v>0</v>
      </c>
    </row>
    <row r="69" spans="1:25" ht="45" x14ac:dyDescent="0.2">
      <c r="A69" s="391"/>
      <c r="B69" s="217" t="str">
        <f>+'MTF_APICULTURA (10+45)'!B146:E146</f>
        <v>Talleres de reparación (construcción de confianza y dignificación de la población víctima y firmantes de paz) realizados a lo largo del proyecto con la población vinculada y otros actores territoriales.</v>
      </c>
      <c r="C69" s="407" t="s">
        <v>135</v>
      </c>
      <c r="D69" s="220">
        <v>4</v>
      </c>
      <c r="E69" s="408">
        <f>+'MTF_APICULTURA (10+45)'!G146</f>
        <v>1950000</v>
      </c>
      <c r="F69" s="408"/>
      <c r="G69" s="411"/>
      <c r="H69" s="359">
        <f t="shared" si="44"/>
        <v>7800000</v>
      </c>
      <c r="I69" s="377">
        <f t="shared" si="41"/>
        <v>7800000</v>
      </c>
      <c r="J69" s="379"/>
      <c r="O69" s="230">
        <f>+$I$69/4</f>
        <v>1950000</v>
      </c>
      <c r="Q69" s="230">
        <f>+$I$69/4</f>
        <v>1950000</v>
      </c>
      <c r="T69" s="230">
        <f>+$I$69/4</f>
        <v>1950000</v>
      </c>
      <c r="V69" s="230">
        <f>+$I$69/4</f>
        <v>1950000</v>
      </c>
      <c r="X69" s="230">
        <f t="shared" si="42"/>
        <v>7800000</v>
      </c>
      <c r="Y69" s="228">
        <f t="shared" si="43"/>
        <v>0</v>
      </c>
    </row>
    <row r="70" spans="1:25" x14ac:dyDescent="0.2">
      <c r="A70" s="391"/>
      <c r="B70" s="217" t="s">
        <v>160</v>
      </c>
      <c r="C70" s="407" t="s">
        <v>135</v>
      </c>
      <c r="D70" s="220">
        <v>2</v>
      </c>
      <c r="E70" s="408">
        <f>+'MTF_APICULTURA (10+45)'!G145</f>
        <v>1950000</v>
      </c>
      <c r="F70" s="408"/>
      <c r="G70" s="409"/>
      <c r="H70" s="359">
        <f t="shared" si="44"/>
        <v>3900000</v>
      </c>
      <c r="I70" s="377">
        <f t="shared" si="41"/>
        <v>3900000</v>
      </c>
      <c r="J70" s="379"/>
      <c r="R70" s="230">
        <f>+$I$70/2</f>
        <v>1950000</v>
      </c>
      <c r="S70" s="230">
        <f>+$I$70/2</f>
        <v>1950000</v>
      </c>
      <c r="X70" s="230">
        <f t="shared" si="42"/>
        <v>3900000</v>
      </c>
      <c r="Y70" s="228">
        <f t="shared" si="43"/>
        <v>0</v>
      </c>
    </row>
    <row r="71" spans="1:25" x14ac:dyDescent="0.2">
      <c r="A71" s="391"/>
      <c r="B71" s="217" t="str">
        <f>+'MTF_APICULTURA (10+45)'!B147:E147</f>
        <v>Talleres ECAS</v>
      </c>
      <c r="C71" s="407" t="s">
        <v>135</v>
      </c>
      <c r="D71" s="220">
        <v>6</v>
      </c>
      <c r="E71" s="408">
        <f>+'MTF_APICULTURA (10+45)'!G147</f>
        <v>1550000</v>
      </c>
      <c r="F71" s="408"/>
      <c r="G71" s="409"/>
      <c r="H71" s="359">
        <f t="shared" si="44"/>
        <v>9300000</v>
      </c>
      <c r="I71" s="377">
        <f t="shared" si="41"/>
        <v>9300000</v>
      </c>
      <c r="J71" s="379"/>
      <c r="O71" s="230">
        <f>+ROUND(($I$71/6),0)</f>
        <v>1550000</v>
      </c>
      <c r="P71" s="230">
        <f>+ROUND(($I$71/6),0)</f>
        <v>1550000</v>
      </c>
      <c r="R71" s="230">
        <f>+ROUND(($I$71/6),0)</f>
        <v>1550000</v>
      </c>
      <c r="T71" s="230">
        <f>+ROUND(($I$71/6),0)</f>
        <v>1550000</v>
      </c>
      <c r="U71" s="230">
        <f>+ROUND(($I$71/6),0)</f>
        <v>1550000</v>
      </c>
      <c r="V71" s="230">
        <f>+ROUND(($I$71/6),0)</f>
        <v>1550000</v>
      </c>
      <c r="X71" s="230">
        <f t="shared" si="42"/>
        <v>9300000</v>
      </c>
      <c r="Y71" s="228">
        <f t="shared" si="43"/>
        <v>0</v>
      </c>
    </row>
    <row r="72" spans="1:25" x14ac:dyDescent="0.2">
      <c r="A72" s="391"/>
      <c r="B72" s="217" t="str">
        <f>+'MTF_APICULTURA (10+45)'!B148:E148</f>
        <v>Acompañamiento ambiental</v>
      </c>
      <c r="C72" s="407" t="s">
        <v>135</v>
      </c>
      <c r="D72" s="220">
        <v>1</v>
      </c>
      <c r="E72" s="408">
        <f>+'MTF_APICULTURA (10+45)'!G148</f>
        <v>4000000</v>
      </c>
      <c r="F72" s="408"/>
      <c r="G72" s="409"/>
      <c r="H72" s="359">
        <f t="shared" si="44"/>
        <v>4000000</v>
      </c>
      <c r="I72" s="377">
        <f t="shared" si="41"/>
        <v>4000000</v>
      </c>
      <c r="J72" s="379"/>
      <c r="Q72" s="230">
        <f>+I72/2</f>
        <v>2000000</v>
      </c>
      <c r="T72" s="230">
        <f>+I72/2</f>
        <v>2000000</v>
      </c>
      <c r="X72" s="230">
        <f t="shared" si="42"/>
        <v>4000000</v>
      </c>
      <c r="Y72" s="228">
        <f t="shared" si="43"/>
        <v>0</v>
      </c>
    </row>
    <row r="73" spans="1:25" x14ac:dyDescent="0.2">
      <c r="A73" s="391"/>
      <c r="B73" s="217"/>
      <c r="C73" s="407"/>
      <c r="D73" s="412"/>
      <c r="E73" s="408"/>
      <c r="F73" s="408"/>
      <c r="G73" s="409"/>
      <c r="H73" s="413"/>
      <c r="I73" s="414"/>
      <c r="J73" s="414"/>
    </row>
    <row r="74" spans="1:25" x14ac:dyDescent="0.2">
      <c r="A74" s="212"/>
      <c r="B74" s="487" t="s">
        <v>137</v>
      </c>
      <c r="C74" s="487"/>
      <c r="D74" s="487"/>
      <c r="E74" s="487"/>
      <c r="F74" s="487"/>
      <c r="G74" s="487"/>
      <c r="H74" s="339">
        <f>SUM(H66:H73)</f>
        <v>45641666</v>
      </c>
      <c r="I74" s="422">
        <f t="shared" ref="I74:J74" si="45">SUM(I66:I73)</f>
        <v>45641666</v>
      </c>
      <c r="J74" s="422">
        <f t="shared" si="45"/>
        <v>0</v>
      </c>
    </row>
    <row r="75" spans="1:25" x14ac:dyDescent="0.2">
      <c r="A75" s="212"/>
      <c r="B75" s="416"/>
      <c r="C75" s="416"/>
      <c r="D75" s="416"/>
      <c r="E75" s="416"/>
      <c r="F75" s="416"/>
      <c r="G75" s="416"/>
      <c r="H75" s="417"/>
    </row>
    <row r="76" spans="1:25" x14ac:dyDescent="0.2">
      <c r="A76" s="212"/>
      <c r="B76" s="353" t="s">
        <v>258</v>
      </c>
      <c r="C76" s="353" t="s">
        <v>118</v>
      </c>
      <c r="D76" s="355" t="s">
        <v>131</v>
      </c>
      <c r="E76" s="353" t="s">
        <v>23</v>
      </c>
      <c r="F76" s="375"/>
      <c r="G76" s="353"/>
      <c r="H76" s="356" t="s">
        <v>38</v>
      </c>
      <c r="I76" s="376" t="s">
        <v>38</v>
      </c>
      <c r="J76" s="376" t="s">
        <v>38</v>
      </c>
    </row>
    <row r="77" spans="1:25" x14ac:dyDescent="0.2">
      <c r="A77" s="212"/>
      <c r="B77" s="418" t="str">
        <f>+'MTF_APICULTURA (10+45)'!B124</f>
        <v>Escritorio en L oficina (mdetal-madera) Altura 73cm, Largo 154 cm, Ancho 106cm, Profundidad 48cm</v>
      </c>
      <c r="C77" s="418" t="str">
        <f>+'MTF_APICULTURA (10+45)'!F124</f>
        <v>Unidad</v>
      </c>
      <c r="D77" s="418">
        <f>+'MTF_APICULTURA (10+45)'!H124</f>
        <v>2</v>
      </c>
      <c r="E77" s="418">
        <f>+'MTF_APICULTURA (10+45)'!G124</f>
        <v>393395.4</v>
      </c>
      <c r="F77" s="418"/>
      <c r="G77" s="419"/>
      <c r="H77" s="415">
        <f>+E77*D77</f>
        <v>786790.8</v>
      </c>
      <c r="I77" s="377">
        <f t="shared" ref="I77:I81" si="46">+H77</f>
        <v>786790.8</v>
      </c>
      <c r="J77" s="379"/>
      <c r="R77" s="230">
        <f>+I77</f>
        <v>786790.8</v>
      </c>
      <c r="X77" s="230">
        <f t="shared" ref="X77:X81" si="47">SUM(L77:W77)</f>
        <v>786790.8</v>
      </c>
      <c r="Y77" s="228">
        <f t="shared" ref="Y77:Y81" si="48">+X77-I77</f>
        <v>0</v>
      </c>
    </row>
    <row r="78" spans="1:25" x14ac:dyDescent="0.2">
      <c r="A78" s="212"/>
      <c r="B78" s="418" t="str">
        <f>+'MTF_APICULTURA (10+45)'!B125</f>
        <v>Silla Oficina Lyn  110X64X64 Negro</v>
      </c>
      <c r="C78" s="418" t="str">
        <f>+'MTF_APICULTURA (10+45)'!F125</f>
        <v>Unidad</v>
      </c>
      <c r="D78" s="418">
        <f>+'MTF_APICULTURA (10+45)'!H125</f>
        <v>2</v>
      </c>
      <c r="E78" s="418">
        <f>+'MTF_APICULTURA (10+45)'!G125</f>
        <v>336534.8</v>
      </c>
      <c r="F78" s="418"/>
      <c r="G78" s="419"/>
      <c r="H78" s="415">
        <f t="shared" ref="H78:H81" si="49">+E78*D78</f>
        <v>673069.6</v>
      </c>
      <c r="I78" s="377">
        <f t="shared" si="46"/>
        <v>673069.6</v>
      </c>
      <c r="J78" s="379"/>
      <c r="R78" s="230">
        <f t="shared" ref="R78:R81" si="50">+I78</f>
        <v>673069.6</v>
      </c>
      <c r="X78" s="230">
        <f t="shared" si="47"/>
        <v>673069.6</v>
      </c>
      <c r="Y78" s="228">
        <f t="shared" si="48"/>
        <v>0</v>
      </c>
    </row>
    <row r="79" spans="1:25" x14ac:dyDescent="0.2">
      <c r="A79" s="212"/>
      <c r="B79" s="418" t="str">
        <f>+'MTF_APICULTURA (10+45)'!B126</f>
        <v>Archivador metalico ref. 2x1 38x48x70 negro</v>
      </c>
      <c r="C79" s="418" t="str">
        <f>+'MTF_APICULTURA (10+45)'!F126</f>
        <v>Unidad</v>
      </c>
      <c r="D79" s="418">
        <f>+'MTF_APICULTURA (10+45)'!H126</f>
        <v>1</v>
      </c>
      <c r="E79" s="418">
        <f>+'MTF_APICULTURA (10+45)'!G126</f>
        <v>531680.80000000005</v>
      </c>
      <c r="F79" s="418"/>
      <c r="G79" s="419"/>
      <c r="H79" s="415">
        <f t="shared" si="49"/>
        <v>531680.80000000005</v>
      </c>
      <c r="I79" s="377">
        <f t="shared" si="46"/>
        <v>531680.80000000005</v>
      </c>
      <c r="J79" s="379"/>
      <c r="R79" s="230">
        <f t="shared" si="50"/>
        <v>531680.80000000005</v>
      </c>
      <c r="X79" s="230">
        <f t="shared" si="47"/>
        <v>531680.80000000005</v>
      </c>
      <c r="Y79" s="228">
        <f t="shared" si="48"/>
        <v>0</v>
      </c>
    </row>
    <row r="80" spans="1:25" x14ac:dyDescent="0.2">
      <c r="A80" s="212"/>
      <c r="B80" s="418" t="str">
        <f>+'MTF_APICULTURA (10+45)'!B127</f>
        <v>Computador All In One HP Pavilion 32-b1001la I7 16GB RAM 512GB SSD</v>
      </c>
      <c r="C80" s="418" t="str">
        <f>+'MTF_APICULTURA (10+45)'!F127</f>
        <v>Unidad</v>
      </c>
      <c r="D80" s="418">
        <v>1</v>
      </c>
      <c r="E80" s="418">
        <f>+'MTF_APICULTURA (10+45)'!G127</f>
        <v>2787268.74</v>
      </c>
      <c r="F80" s="418"/>
      <c r="G80" s="419"/>
      <c r="H80" s="415">
        <f t="shared" si="49"/>
        <v>2787268.74</v>
      </c>
      <c r="I80" s="377">
        <f t="shared" si="46"/>
        <v>2787268.74</v>
      </c>
      <c r="J80" s="379"/>
      <c r="R80" s="230">
        <f t="shared" si="50"/>
        <v>2787268.74</v>
      </c>
      <c r="X80" s="230">
        <f t="shared" si="47"/>
        <v>2787268.74</v>
      </c>
      <c r="Y80" s="228">
        <f t="shared" si="48"/>
        <v>0</v>
      </c>
    </row>
    <row r="81" spans="1:25" x14ac:dyDescent="0.2">
      <c r="A81" s="212"/>
      <c r="B81" s="418" t="str">
        <f>+'MTF_APICULTURA (10+45)'!B128</f>
        <v>Impresora Multifuncional EPSON Ecotank L5590 WiFi Hg-Of - Negro</v>
      </c>
      <c r="C81" s="418" t="str">
        <f>+'MTF_APICULTURA (10+45)'!F128</f>
        <v>Unidad</v>
      </c>
      <c r="D81" s="418">
        <f>+'MTF_APICULTURA (10+45)'!H128</f>
        <v>1</v>
      </c>
      <c r="E81" s="418">
        <f>+'MTF_APICULTURA (10+45)'!G128</f>
        <v>1466961.4</v>
      </c>
      <c r="F81" s="418"/>
      <c r="G81" s="419"/>
      <c r="H81" s="415">
        <f t="shared" si="49"/>
        <v>1466961.4</v>
      </c>
      <c r="I81" s="377">
        <f t="shared" si="46"/>
        <v>1466961.4</v>
      </c>
      <c r="J81" s="379"/>
      <c r="R81" s="230">
        <f t="shared" si="50"/>
        <v>1466961.4</v>
      </c>
      <c r="X81" s="230">
        <f t="shared" si="47"/>
        <v>1466961.4</v>
      </c>
      <c r="Y81" s="228">
        <f t="shared" si="48"/>
        <v>0</v>
      </c>
    </row>
    <row r="82" spans="1:25" x14ac:dyDescent="0.2">
      <c r="A82" s="212"/>
      <c r="B82" s="491" t="s">
        <v>259</v>
      </c>
      <c r="C82" s="492"/>
      <c r="D82" s="492"/>
      <c r="E82" s="492"/>
      <c r="F82" s="492"/>
      <c r="G82" s="493"/>
      <c r="H82" s="339">
        <f>SUM(H77:H81)</f>
        <v>6245771.3399999999</v>
      </c>
      <c r="I82" s="422">
        <f t="shared" ref="I82:J82" si="51">SUM(I77:I81)</f>
        <v>6245771.3399999999</v>
      </c>
      <c r="J82" s="422">
        <f t="shared" si="51"/>
        <v>0</v>
      </c>
    </row>
    <row r="83" spans="1:25" x14ac:dyDescent="0.2">
      <c r="A83" s="212"/>
      <c r="B83" s="216"/>
      <c r="C83" s="216"/>
      <c r="D83" s="216"/>
      <c r="E83" s="216"/>
      <c r="F83" s="216"/>
      <c r="G83" s="216"/>
      <c r="H83" s="232"/>
    </row>
    <row r="84" spans="1:25" x14ac:dyDescent="0.2">
      <c r="A84" s="212"/>
      <c r="B84" s="216"/>
      <c r="C84" s="216"/>
      <c r="D84" s="216"/>
      <c r="E84" s="216"/>
      <c r="F84" s="216"/>
      <c r="G84" s="216"/>
      <c r="H84" s="232"/>
    </row>
    <row r="85" spans="1:25" x14ac:dyDescent="0.2">
      <c r="A85" s="212"/>
      <c r="B85" s="216" t="s">
        <v>394</v>
      </c>
      <c r="C85" s="216"/>
      <c r="D85" s="216" t="str">
        <f>+'Costos de implementación'!D2</f>
        <v>UNIDAD</v>
      </c>
      <c r="E85" s="216" t="str">
        <f>+'Costos de implementación'!E2</f>
        <v>CANTIDAD</v>
      </c>
      <c r="F85" s="216" t="str">
        <f>+'Costos de implementación'!F2</f>
        <v xml:space="preserve"> COSTO UNITARIO </v>
      </c>
      <c r="G85" s="216" t="str">
        <f>+'Costos de implementación'!G2</f>
        <v>%</v>
      </c>
      <c r="H85" s="216" t="str">
        <f>+'Costos de implementación'!H2</f>
        <v xml:space="preserve"> VALOR TOTAL </v>
      </c>
    </row>
    <row r="86" spans="1:25" x14ac:dyDescent="0.2">
      <c r="A86" s="212"/>
      <c r="B86" s="431" t="str">
        <f>+'Costos de implementación'!C4</f>
        <v xml:space="preserve">Profesional Coordiandor </v>
      </c>
      <c r="C86" s="215"/>
      <c r="D86" s="215" t="str">
        <f>+'Costos de implementación'!D4</f>
        <v>Mes</v>
      </c>
      <c r="E86" s="215">
        <f>+'Costos de implementación'!E4</f>
        <v>12</v>
      </c>
      <c r="F86" s="215">
        <f>+'Costos de implementación'!F4</f>
        <v>5035659.2</v>
      </c>
      <c r="G86" s="430">
        <f>+'Costos de implementación'!G4</f>
        <v>1</v>
      </c>
      <c r="H86" s="214">
        <f>+'Costos de implementación'!H4</f>
        <v>60427910.400000006</v>
      </c>
      <c r="I86" s="429">
        <f>+H86</f>
        <v>60427910.400000006</v>
      </c>
      <c r="L86" s="230">
        <f>+$I$86/12</f>
        <v>5035659.2</v>
      </c>
      <c r="M86" s="230">
        <f t="shared" ref="M86:W86" si="52">+$I$86/12</f>
        <v>5035659.2</v>
      </c>
      <c r="N86" s="230">
        <f t="shared" si="52"/>
        <v>5035659.2</v>
      </c>
      <c r="O86" s="230">
        <f t="shared" si="52"/>
        <v>5035659.2</v>
      </c>
      <c r="P86" s="230">
        <f t="shared" si="52"/>
        <v>5035659.2</v>
      </c>
      <c r="Q86" s="230">
        <f t="shared" si="52"/>
        <v>5035659.2</v>
      </c>
      <c r="R86" s="230">
        <f t="shared" si="52"/>
        <v>5035659.2</v>
      </c>
      <c r="S86" s="230">
        <f t="shared" si="52"/>
        <v>5035659.2</v>
      </c>
      <c r="T86" s="230">
        <f t="shared" si="52"/>
        <v>5035659.2</v>
      </c>
      <c r="U86" s="230">
        <f t="shared" si="52"/>
        <v>5035659.2</v>
      </c>
      <c r="V86" s="230">
        <f t="shared" si="52"/>
        <v>5035659.2</v>
      </c>
      <c r="W86" s="230">
        <f t="shared" si="52"/>
        <v>5035659.2</v>
      </c>
      <c r="X86" s="230">
        <f t="shared" ref="X86:X95" si="53">SUM(L86:W86)</f>
        <v>60427910.400000013</v>
      </c>
      <c r="Y86" s="228">
        <f t="shared" ref="Y86:Y95" si="54">+X86-I86</f>
        <v>0</v>
      </c>
    </row>
    <row r="87" spans="1:25" x14ac:dyDescent="0.2">
      <c r="A87" s="212"/>
      <c r="B87" s="431" t="str">
        <f>+'Costos de implementación'!C5</f>
        <v>Profesional Adminstrativo</v>
      </c>
      <c r="C87" s="215"/>
      <c r="D87" s="215" t="str">
        <f>+'Costos de implementación'!D5</f>
        <v>Mes</v>
      </c>
      <c r="E87" s="215">
        <f>+'Costos de implementación'!E5</f>
        <v>12</v>
      </c>
      <c r="F87" s="215">
        <f>+'Costos de implementación'!F5</f>
        <v>4358939.2</v>
      </c>
      <c r="G87" s="430">
        <f>+'Costos de implementación'!G5</f>
        <v>0.5</v>
      </c>
      <c r="H87" s="214">
        <f>+'Costos de implementación'!H5</f>
        <v>26153635.200000003</v>
      </c>
      <c r="I87" s="429">
        <f t="shared" ref="I87:I95" si="55">+H87</f>
        <v>26153635.200000003</v>
      </c>
      <c r="L87" s="230">
        <f>+$I$87/12</f>
        <v>2179469.6</v>
      </c>
      <c r="M87" s="230">
        <f t="shared" ref="M87:W87" si="56">+$I$87/12</f>
        <v>2179469.6</v>
      </c>
      <c r="N87" s="230">
        <f t="shared" si="56"/>
        <v>2179469.6</v>
      </c>
      <c r="O87" s="230">
        <f t="shared" si="56"/>
        <v>2179469.6</v>
      </c>
      <c r="P87" s="230">
        <f t="shared" si="56"/>
        <v>2179469.6</v>
      </c>
      <c r="Q87" s="230">
        <f t="shared" si="56"/>
        <v>2179469.6</v>
      </c>
      <c r="R87" s="230">
        <f t="shared" si="56"/>
        <v>2179469.6</v>
      </c>
      <c r="S87" s="230">
        <f t="shared" si="56"/>
        <v>2179469.6</v>
      </c>
      <c r="T87" s="230">
        <f t="shared" si="56"/>
        <v>2179469.6</v>
      </c>
      <c r="U87" s="230">
        <f t="shared" si="56"/>
        <v>2179469.6</v>
      </c>
      <c r="V87" s="230">
        <f t="shared" si="56"/>
        <v>2179469.6</v>
      </c>
      <c r="W87" s="230">
        <f t="shared" si="56"/>
        <v>2179469.6</v>
      </c>
      <c r="X87" s="230">
        <f t="shared" si="53"/>
        <v>26153635.200000007</v>
      </c>
      <c r="Y87" s="228">
        <f t="shared" si="54"/>
        <v>0</v>
      </c>
    </row>
    <row r="88" spans="1:25" x14ac:dyDescent="0.2">
      <c r="A88" s="212"/>
      <c r="B88" s="431" t="str">
        <f>+'Costos de implementación'!C6</f>
        <v>Profesional Contable</v>
      </c>
      <c r="C88" s="215"/>
      <c r="D88" s="215" t="str">
        <f>+'Costos de implementación'!D6</f>
        <v>Mes</v>
      </c>
      <c r="E88" s="215">
        <f>+'Costos de implementación'!E6</f>
        <v>12</v>
      </c>
      <c r="F88" s="215">
        <f>+'Costos de implementación'!F6</f>
        <v>4358939.2</v>
      </c>
      <c r="G88" s="430">
        <f>+'Costos de implementación'!G6</f>
        <v>0.25</v>
      </c>
      <c r="H88" s="214">
        <f>+'Costos de implementación'!H6</f>
        <v>13076817.600000001</v>
      </c>
      <c r="I88" s="429">
        <f t="shared" si="55"/>
        <v>13076817.600000001</v>
      </c>
      <c r="L88" s="230">
        <f>+$I$88/12</f>
        <v>1089734.8</v>
      </c>
      <c r="M88" s="230">
        <f t="shared" ref="M88:W88" si="57">+$I$88/12</f>
        <v>1089734.8</v>
      </c>
      <c r="N88" s="230">
        <f t="shared" si="57"/>
        <v>1089734.8</v>
      </c>
      <c r="O88" s="230">
        <f t="shared" si="57"/>
        <v>1089734.8</v>
      </c>
      <c r="P88" s="230">
        <f t="shared" si="57"/>
        <v>1089734.8</v>
      </c>
      <c r="Q88" s="230">
        <f t="shared" si="57"/>
        <v>1089734.8</v>
      </c>
      <c r="R88" s="230">
        <f t="shared" si="57"/>
        <v>1089734.8</v>
      </c>
      <c r="S88" s="230">
        <f t="shared" si="57"/>
        <v>1089734.8</v>
      </c>
      <c r="T88" s="230">
        <f t="shared" si="57"/>
        <v>1089734.8</v>
      </c>
      <c r="U88" s="230">
        <f t="shared" si="57"/>
        <v>1089734.8</v>
      </c>
      <c r="V88" s="230">
        <f t="shared" si="57"/>
        <v>1089734.8</v>
      </c>
      <c r="W88" s="230">
        <f t="shared" si="57"/>
        <v>1089734.8</v>
      </c>
      <c r="X88" s="230">
        <f t="shared" si="53"/>
        <v>13076817.600000003</v>
      </c>
      <c r="Y88" s="228">
        <f t="shared" si="54"/>
        <v>0</v>
      </c>
    </row>
    <row r="89" spans="1:25" x14ac:dyDescent="0.2">
      <c r="A89" s="212"/>
      <c r="B89" s="215" t="str">
        <f>+'Costos de implementación'!C11</f>
        <v>Papelería 0,2% (se calcula sobre los costos directos)</v>
      </c>
      <c r="C89" s="216"/>
      <c r="D89" s="216"/>
      <c r="E89" s="216"/>
      <c r="F89" s="216"/>
      <c r="G89" s="216"/>
      <c r="H89" s="214">
        <f>+'Costos de implementación'!H11</f>
        <v>2010450.3046800001</v>
      </c>
      <c r="I89" s="429">
        <f t="shared" si="55"/>
        <v>2010450.3046800001</v>
      </c>
      <c r="M89" s="230">
        <f>+$I$89/4</f>
        <v>502612.57617000001</v>
      </c>
      <c r="O89" s="230">
        <f>+$I$89/4</f>
        <v>502612.57617000001</v>
      </c>
      <c r="Q89" s="230">
        <f>+$I$89/4</f>
        <v>502612.57617000001</v>
      </c>
      <c r="S89" s="230">
        <f>+$I$89/4</f>
        <v>502612.57617000001</v>
      </c>
      <c r="X89" s="230">
        <f t="shared" si="53"/>
        <v>2010450.3046800001</v>
      </c>
      <c r="Y89" s="228">
        <f t="shared" si="54"/>
        <v>0</v>
      </c>
    </row>
    <row r="90" spans="1:25" x14ac:dyDescent="0.2">
      <c r="A90" s="212"/>
      <c r="B90" s="431" t="str">
        <f>+'Costos de implementación'!C12</f>
        <v>Reunión de socialización</v>
      </c>
      <c r="C90" s="216"/>
      <c r="D90" s="216"/>
      <c r="E90" s="216"/>
      <c r="F90" s="216"/>
      <c r="G90" s="216"/>
      <c r="H90" s="214">
        <f>+'Costos de implementación'!H12</f>
        <v>2000000</v>
      </c>
      <c r="I90" s="429">
        <f t="shared" si="55"/>
        <v>2000000</v>
      </c>
      <c r="O90" s="230">
        <f>+I90</f>
        <v>2000000</v>
      </c>
      <c r="X90" s="230">
        <f t="shared" si="53"/>
        <v>2000000</v>
      </c>
      <c r="Y90" s="228">
        <f t="shared" si="54"/>
        <v>0</v>
      </c>
    </row>
    <row r="91" spans="1:25" x14ac:dyDescent="0.2">
      <c r="A91" s="212"/>
      <c r="B91" s="431" t="str">
        <f>+'Costos de implementación'!C13</f>
        <v>Identidad gráfica</v>
      </c>
      <c r="C91" s="216"/>
      <c r="D91" s="216"/>
      <c r="E91" s="216"/>
      <c r="F91" s="216"/>
      <c r="G91" s="216"/>
      <c r="H91" s="214">
        <f>+'Costos de implementación'!H13</f>
        <v>2000000</v>
      </c>
      <c r="I91" s="429">
        <f t="shared" si="55"/>
        <v>2000000</v>
      </c>
      <c r="L91" s="212"/>
      <c r="M91" s="212"/>
      <c r="N91" s="230">
        <f>+I91</f>
        <v>2000000</v>
      </c>
      <c r="X91" s="230">
        <f t="shared" si="53"/>
        <v>2000000</v>
      </c>
      <c r="Y91" s="228">
        <f t="shared" si="54"/>
        <v>0</v>
      </c>
    </row>
    <row r="92" spans="1:25" ht="33.75" x14ac:dyDescent="0.2">
      <c r="A92" s="212"/>
      <c r="B92" s="432" t="str">
        <f>+'Costos de implementación'!C14</f>
        <v>BODEGAJE (se calcula, sobre el valor de bienes e insumos que requieren bodegaje, para el presente caso el cálculo se realiza sobre $519.862.650)</v>
      </c>
      <c r="C92" s="216"/>
      <c r="D92" s="216"/>
      <c r="E92" s="216"/>
      <c r="F92" s="216"/>
      <c r="G92" s="216"/>
      <c r="H92" s="214">
        <f>+'Costos de implementación'!H14</f>
        <v>5169221.5</v>
      </c>
      <c r="I92" s="429">
        <f t="shared" si="55"/>
        <v>5169221.5</v>
      </c>
      <c r="O92" s="230">
        <f>+$I$92/4</f>
        <v>1292305.375</v>
      </c>
      <c r="P92" s="230">
        <f t="shared" ref="P92:R92" si="58">+$I$92/4</f>
        <v>1292305.375</v>
      </c>
      <c r="Q92" s="230">
        <f t="shared" si="58"/>
        <v>1292305.375</v>
      </c>
      <c r="R92" s="230">
        <f t="shared" si="58"/>
        <v>1292305.375</v>
      </c>
      <c r="X92" s="230">
        <f t="shared" si="53"/>
        <v>5169221.5</v>
      </c>
      <c r="Y92" s="437">
        <f t="shared" si="54"/>
        <v>0</v>
      </c>
    </row>
    <row r="93" spans="1:25" x14ac:dyDescent="0.2">
      <c r="A93" s="212"/>
      <c r="B93" s="431" t="str">
        <f>+'Costos de implementación'!C15</f>
        <v>Póliza contratación derivada</v>
      </c>
      <c r="C93" s="216"/>
      <c r="D93" s="216"/>
      <c r="E93" s="216"/>
      <c r="F93" s="216"/>
      <c r="G93" s="216"/>
      <c r="H93" s="214">
        <f>+'Costos de implementación'!H15</f>
        <v>14576000</v>
      </c>
      <c r="I93" s="429">
        <f t="shared" si="55"/>
        <v>14576000</v>
      </c>
      <c r="N93" s="230">
        <f>+I93</f>
        <v>14576000</v>
      </c>
      <c r="X93" s="230">
        <f t="shared" si="53"/>
        <v>14576000</v>
      </c>
      <c r="Y93" s="228">
        <f t="shared" si="54"/>
        <v>0</v>
      </c>
    </row>
    <row r="94" spans="1:25" x14ac:dyDescent="0.2">
      <c r="A94" s="212"/>
      <c r="B94" s="431" t="str">
        <f>+'Costos de implementación'!C16</f>
        <v>Imprevistos</v>
      </c>
      <c r="C94" s="216"/>
      <c r="D94" s="216"/>
      <c r="E94" s="216"/>
      <c r="F94" s="216"/>
      <c r="G94" s="216"/>
      <c r="H94" s="214">
        <f>+'Costos de implementación'!H16</f>
        <v>14703462</v>
      </c>
      <c r="I94" s="429">
        <f t="shared" si="55"/>
        <v>14703462</v>
      </c>
      <c r="V94" s="230">
        <f>+I94</f>
        <v>14703462</v>
      </c>
      <c r="X94" s="230">
        <f t="shared" si="53"/>
        <v>14703462</v>
      </c>
      <c r="Y94" s="228">
        <f t="shared" si="54"/>
        <v>0</v>
      </c>
    </row>
    <row r="95" spans="1:25" x14ac:dyDescent="0.2">
      <c r="A95" s="212"/>
      <c r="B95" s="431" t="str">
        <f>+'Costos de implementación'!C17</f>
        <v>Impuestos</v>
      </c>
      <c r="C95" s="216"/>
      <c r="D95" s="216"/>
      <c r="E95" s="216"/>
      <c r="F95" s="216"/>
      <c r="G95" s="216"/>
      <c r="H95" s="214">
        <f>+'Costos de implementación'!H17</f>
        <v>119018658.037056</v>
      </c>
      <c r="I95" s="429">
        <f t="shared" si="55"/>
        <v>119018658.037056</v>
      </c>
      <c r="O95" s="230">
        <f>+I95*0.25</f>
        <v>29754664.509264</v>
      </c>
      <c r="P95" s="230">
        <f>+I95*0.5</f>
        <v>59509329.018528</v>
      </c>
      <c r="Q95" s="230">
        <f>+I95*0.25</f>
        <v>29754664.509264</v>
      </c>
      <c r="X95" s="230">
        <f t="shared" si="53"/>
        <v>119018658.037056</v>
      </c>
      <c r="Y95" s="228">
        <f t="shared" si="54"/>
        <v>0</v>
      </c>
    </row>
    <row r="96" spans="1:25" x14ac:dyDescent="0.2">
      <c r="A96" s="212"/>
      <c r="B96" s="216" t="s">
        <v>395</v>
      </c>
      <c r="C96" s="222"/>
      <c r="D96" s="222"/>
      <c r="E96" s="222"/>
      <c r="F96" s="222"/>
      <c r="G96" s="222"/>
      <c r="H96" s="232"/>
      <c r="I96" s="433">
        <f>SUM(I86:I95)</f>
        <v>259136155.04173604</v>
      </c>
    </row>
    <row r="97" spans="1:25" x14ac:dyDescent="0.2">
      <c r="A97" s="212"/>
      <c r="B97" s="222"/>
      <c r="C97" s="222"/>
      <c r="D97" s="222"/>
      <c r="E97" s="222"/>
      <c r="F97" s="222"/>
      <c r="G97" s="222"/>
      <c r="H97" s="232"/>
    </row>
    <row r="98" spans="1:25" x14ac:dyDescent="0.2">
      <c r="A98" s="212"/>
      <c r="B98" s="222"/>
      <c r="C98" s="222"/>
      <c r="D98" s="222"/>
      <c r="E98" s="222"/>
      <c r="F98" s="222"/>
      <c r="G98" s="222"/>
      <c r="H98" s="232"/>
      <c r="I98" s="434" t="s">
        <v>280</v>
      </c>
      <c r="L98" s="230">
        <f>SUM(L3:L97)</f>
        <v>8304863.6000000006</v>
      </c>
      <c r="M98" s="230">
        <f t="shared" ref="M98:W98" si="59">SUM(M3:M97)</f>
        <v>8807476.1761700008</v>
      </c>
      <c r="N98" s="230">
        <f t="shared" si="59"/>
        <v>24880863.600000001</v>
      </c>
      <c r="O98" s="439">
        <f>SUM(O3:O96)</f>
        <v>254543199.06043398</v>
      </c>
      <c r="P98" s="439">
        <f>SUM(P3:P96)</f>
        <v>470341408.99352801</v>
      </c>
      <c r="Q98" s="439">
        <f>SUM(Q3:Q96)</f>
        <v>249305536.06043398</v>
      </c>
      <c r="R98" s="230">
        <f t="shared" si="59"/>
        <v>44184818.315000005</v>
      </c>
      <c r="S98" s="230">
        <f t="shared" si="59"/>
        <v>31546187.176170003</v>
      </c>
      <c r="T98" s="230">
        <f t="shared" si="59"/>
        <v>26022741.600000001</v>
      </c>
      <c r="U98" s="230">
        <f t="shared" si="59"/>
        <v>54393141.600000001</v>
      </c>
      <c r="V98" s="230">
        <f t="shared" si="59"/>
        <v>40276207.600000001</v>
      </c>
      <c r="W98" s="230">
        <f t="shared" si="59"/>
        <v>8304863.6000000006</v>
      </c>
      <c r="X98" s="435">
        <f>SUM(X3:X97)</f>
        <v>1220911307.3817358</v>
      </c>
      <c r="Y98" s="436">
        <f>SUM(Y3:Y97)</f>
        <v>0</v>
      </c>
    </row>
    <row r="99" spans="1:25" x14ac:dyDescent="0.2">
      <c r="A99" s="212"/>
      <c r="B99" s="222"/>
      <c r="C99" s="222"/>
      <c r="D99" s="222"/>
      <c r="E99" s="222"/>
      <c r="F99" s="222"/>
      <c r="G99" s="222"/>
      <c r="H99" s="232"/>
      <c r="I99" s="434"/>
      <c r="X99" s="435"/>
      <c r="Y99" s="436"/>
    </row>
    <row r="100" spans="1:25" x14ac:dyDescent="0.2">
      <c r="A100" s="212"/>
      <c r="B100" s="222"/>
      <c r="C100" s="222"/>
      <c r="D100" s="222"/>
      <c r="E100" s="222"/>
      <c r="F100" s="222"/>
      <c r="G100" s="222"/>
      <c r="H100" s="232"/>
      <c r="I100" s="434"/>
      <c r="N100" s="438"/>
      <c r="X100" s="435"/>
      <c r="Y100" s="436"/>
    </row>
    <row r="101" spans="1:25" x14ac:dyDescent="0.2">
      <c r="A101" s="212"/>
      <c r="B101" s="222"/>
      <c r="C101" s="222"/>
      <c r="D101" s="222"/>
      <c r="E101" s="222"/>
      <c r="F101" s="222"/>
      <c r="G101" s="222"/>
      <c r="H101" s="232"/>
      <c r="I101" s="434" t="s">
        <v>398</v>
      </c>
      <c r="N101" s="230">
        <f>+ROUND(($I$108*0.3),0)</f>
        <v>366273392</v>
      </c>
      <c r="P101" s="230">
        <f>+ROUND(($I$108*0.3),0)</f>
        <v>366273392</v>
      </c>
      <c r="Q101" s="230">
        <f>+ROUND(($I$108*0.35),0)</f>
        <v>427318958</v>
      </c>
      <c r="W101" s="230">
        <f>+ROUND(($I$108*0.05),0)+1</f>
        <v>61045566</v>
      </c>
      <c r="X101" s="435"/>
      <c r="Y101" s="436"/>
    </row>
    <row r="102" spans="1:25" x14ac:dyDescent="0.2">
      <c r="A102" s="212"/>
      <c r="B102" s="222"/>
      <c r="C102" s="222"/>
      <c r="D102" s="222"/>
      <c r="E102" s="222"/>
      <c r="F102" s="222"/>
      <c r="G102" s="222"/>
      <c r="H102" s="232"/>
      <c r="I102" s="434" t="s">
        <v>399</v>
      </c>
      <c r="L102" s="440">
        <f>+L101-L98</f>
        <v>-8304863.6000000006</v>
      </c>
      <c r="M102" s="440">
        <f>+L102-M98+M101</f>
        <v>-17112339.77617</v>
      </c>
      <c r="N102" s="440">
        <f>+M102-N98+N101</f>
        <v>324280188.62383002</v>
      </c>
      <c r="O102" s="440">
        <f>+N102-O98+O101</f>
        <v>69736989.563396037</v>
      </c>
      <c r="P102" s="440">
        <f>+O102-P98+P101</f>
        <v>-34331027.430131972</v>
      </c>
      <c r="Q102" s="440">
        <f t="shared" ref="Q102:W102" si="60">+P102-Q98+Q101</f>
        <v>143682394.50943404</v>
      </c>
      <c r="R102" s="440">
        <f t="shared" si="60"/>
        <v>99497576.194434047</v>
      </c>
      <c r="S102" s="440">
        <f t="shared" si="60"/>
        <v>67951389.01826404</v>
      </c>
      <c r="T102" s="440">
        <f t="shared" si="60"/>
        <v>41928647.418264039</v>
      </c>
      <c r="U102" s="440">
        <f t="shared" si="60"/>
        <v>-12464494.181735963</v>
      </c>
      <c r="V102" s="440">
        <f t="shared" si="60"/>
        <v>-52740701.781735964</v>
      </c>
      <c r="W102" s="440">
        <f t="shared" si="60"/>
        <v>0.61826403439044952</v>
      </c>
      <c r="X102" s="435"/>
      <c r="Y102" s="436"/>
    </row>
    <row r="103" spans="1:25" x14ac:dyDescent="0.2">
      <c r="A103" s="212"/>
      <c r="B103" s="222"/>
      <c r="C103" s="222"/>
      <c r="D103" s="222"/>
      <c r="E103" s="222"/>
      <c r="F103" s="222"/>
      <c r="G103" s="222"/>
      <c r="H103" s="232"/>
      <c r="I103" s="434"/>
      <c r="X103" s="435"/>
      <c r="Y103" s="436"/>
    </row>
    <row r="104" spans="1:25" x14ac:dyDescent="0.2">
      <c r="A104" s="212"/>
      <c r="B104" s="222"/>
      <c r="C104" s="222"/>
      <c r="D104" s="222"/>
      <c r="E104" s="222"/>
      <c r="F104" s="222"/>
      <c r="G104" s="222"/>
      <c r="H104" s="232"/>
      <c r="X104" s="230">
        <f>+X98-I108</f>
        <v>0</v>
      </c>
    </row>
    <row r="105" spans="1:25" x14ac:dyDescent="0.2">
      <c r="B105" s="483" t="s">
        <v>302</v>
      </c>
      <c r="C105" s="483"/>
      <c r="D105" s="483"/>
      <c r="E105" s="483"/>
      <c r="F105" s="483"/>
      <c r="G105" s="483"/>
      <c r="H105" s="345" t="s">
        <v>288</v>
      </c>
      <c r="I105" s="346" t="s">
        <v>300</v>
      </c>
      <c r="J105" s="346" t="s">
        <v>301</v>
      </c>
    </row>
    <row r="106" spans="1:25" x14ac:dyDescent="0.2">
      <c r="A106" s="212"/>
      <c r="B106" s="477" t="s">
        <v>115</v>
      </c>
      <c r="C106" s="478"/>
      <c r="D106" s="478"/>
      <c r="E106" s="478"/>
      <c r="F106" s="478"/>
      <c r="G106" s="479"/>
      <c r="H106" s="231">
        <f>H4+H21+H51+H55+H63+H74+H37+H32+H82</f>
        <v>1005225152.34</v>
      </c>
      <c r="I106" s="223">
        <f>I4+I21+I51+I55+I63+I74+I37+I32+I82</f>
        <v>961775152.34000003</v>
      </c>
      <c r="J106" s="223">
        <f>J4+J21+J51+J55+J63+J74+J37+J32+J82</f>
        <v>43450000</v>
      </c>
    </row>
    <row r="107" spans="1:25" x14ac:dyDescent="0.2">
      <c r="B107" s="477" t="s">
        <v>298</v>
      </c>
      <c r="C107" s="478"/>
      <c r="D107" s="478"/>
      <c r="E107" s="478"/>
      <c r="F107" s="478"/>
      <c r="G107" s="479"/>
      <c r="H107" s="231">
        <f>+'Costos de implementación'!H21</f>
        <v>259136155.04173604</v>
      </c>
      <c r="I107" s="234">
        <f>+H107</f>
        <v>259136155.04173604</v>
      </c>
      <c r="J107" s="234">
        <f>+'Costos de implementación'!J21</f>
        <v>0</v>
      </c>
    </row>
    <row r="108" spans="1:25" x14ac:dyDescent="0.2">
      <c r="B108" s="480" t="s">
        <v>299</v>
      </c>
      <c r="C108" s="481"/>
      <c r="D108" s="481"/>
      <c r="E108" s="481"/>
      <c r="F108" s="481"/>
      <c r="G108" s="482"/>
      <c r="H108" s="339">
        <f>+H107+H106</f>
        <v>1264361307.381736</v>
      </c>
      <c r="I108" s="339">
        <f>SUM(I106:I107)</f>
        <v>1220911307.381736</v>
      </c>
      <c r="J108" s="339">
        <f>SUM(J106:J107)</f>
        <v>43450000</v>
      </c>
    </row>
    <row r="109" spans="1:25" x14ac:dyDescent="0.2">
      <c r="I109" s="228"/>
    </row>
    <row r="110" spans="1:25" x14ac:dyDescent="0.2">
      <c r="F110" s="476" t="s">
        <v>384</v>
      </c>
      <c r="G110" s="476"/>
      <c r="H110" s="233">
        <v>1220911307</v>
      </c>
      <c r="J110" s="229"/>
    </row>
    <row r="111" spans="1:25" x14ac:dyDescent="0.2">
      <c r="F111" s="347" t="s">
        <v>385</v>
      </c>
      <c r="H111" s="233">
        <f>+H108-H110</f>
        <v>43450000.38173604</v>
      </c>
    </row>
    <row r="112" spans="1:25" x14ac:dyDescent="0.2">
      <c r="H112" s="348">
        <f>+H111-J108</f>
        <v>0.38173604011535645</v>
      </c>
      <c r="J112" s="229"/>
    </row>
    <row r="115" spans="10:10" x14ac:dyDescent="0.2">
      <c r="J115" s="230"/>
    </row>
    <row r="117" spans="10:10" x14ac:dyDescent="0.2">
      <c r="J117" s="228"/>
    </row>
  </sheetData>
  <mergeCells count="16">
    <mergeCell ref="B108:G108"/>
    <mergeCell ref="F110:G110"/>
    <mergeCell ref="L1:N1"/>
    <mergeCell ref="O1:V1"/>
    <mergeCell ref="B63:G63"/>
    <mergeCell ref="B74:G74"/>
    <mergeCell ref="B82:G82"/>
    <mergeCell ref="B105:G105"/>
    <mergeCell ref="B106:G106"/>
    <mergeCell ref="B107:G107"/>
    <mergeCell ref="B4:G4"/>
    <mergeCell ref="B15:H15"/>
    <mergeCell ref="B21:G21"/>
    <mergeCell ref="A33:H33"/>
    <mergeCell ref="B51:G51"/>
    <mergeCell ref="B55:G55"/>
  </mergeCells>
  <dataValidations disablePrompts="1" count="1">
    <dataValidation type="decimal" operator="greaterThanOrEqual" allowBlank="1" showInputMessage="1" showErrorMessage="1" errorTitle="Dato Incorrecto" error="Este campo solo permite datos numéricos no negativos.  Verifique que el número a ingresar no posea caracteres alfabéticos y/o distintos." sqref="IM41:IN50 D65578:F65585 IM65578:IN65585 D41:F50 IM24:IN38 D24:F32 D36:D38 E37:F38" xr:uid="{00000000-0002-0000-0200-000000000000}">
      <formula1>0</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B2:Y11"/>
  <sheetViews>
    <sheetView zoomScale="110" zoomScaleNormal="110" workbookViewId="0">
      <selection activeCell="C19" sqref="C19"/>
    </sheetView>
  </sheetViews>
  <sheetFormatPr baseColWidth="10" defaultColWidth="11.42578125" defaultRowHeight="11.25" x14ac:dyDescent="0.2"/>
  <cols>
    <col min="1" max="1" width="13.85546875" style="212" bestFit="1" customWidth="1"/>
    <col min="2" max="2" width="6.5703125" style="212" customWidth="1"/>
    <col min="3" max="3" width="13.5703125" style="212" customWidth="1"/>
    <col min="4" max="4" width="11" style="212" customWidth="1"/>
    <col min="5" max="6" width="11.7109375" style="212" customWidth="1"/>
    <col min="7" max="7" width="5.5703125" style="235" customWidth="1"/>
    <col min="8" max="8" width="11" style="230" customWidth="1"/>
    <col min="9" max="9" width="8.7109375" style="230" customWidth="1"/>
    <col min="10" max="10" width="9.28515625" style="230" customWidth="1"/>
    <col min="11" max="11" width="5.42578125" style="224" bestFit="1" customWidth="1"/>
    <col min="12" max="12" width="6.42578125" style="230" bestFit="1" customWidth="1"/>
    <col min="13" max="13" width="8" style="230" customWidth="1"/>
    <col min="14" max="15" width="8.85546875" style="230" bestFit="1" customWidth="1"/>
    <col min="16" max="22" width="8" style="230" bestFit="1" customWidth="1"/>
    <col min="23" max="23" width="9.5703125" style="230" bestFit="1" customWidth="1"/>
    <col min="24" max="25" width="11.42578125" style="230"/>
    <col min="26" max="16384" width="11.42578125" style="212"/>
  </cols>
  <sheetData>
    <row r="2" spans="2:24" ht="25.5" customHeight="1" x14ac:dyDescent="0.2">
      <c r="B2" s="498" t="s">
        <v>365</v>
      </c>
      <c r="C2" s="498"/>
      <c r="D2" s="498"/>
      <c r="E2" s="498"/>
      <c r="F2" s="498"/>
      <c r="G2" s="498"/>
      <c r="H2" s="498"/>
      <c r="I2" s="498"/>
      <c r="J2" s="498"/>
      <c r="K2" s="496" t="s">
        <v>266</v>
      </c>
      <c r="L2" s="496"/>
      <c r="M2" s="496"/>
      <c r="N2" s="497" t="s">
        <v>278</v>
      </c>
      <c r="O2" s="497"/>
      <c r="P2" s="497"/>
      <c r="Q2" s="497"/>
      <c r="R2" s="497"/>
      <c r="S2" s="497"/>
      <c r="T2" s="497"/>
      <c r="U2" s="497"/>
      <c r="V2" s="452" t="s">
        <v>279</v>
      </c>
      <c r="W2" s="333"/>
    </row>
    <row r="3" spans="2:24" ht="30" customHeight="1" x14ac:dyDescent="0.2">
      <c r="B3" s="448" t="s">
        <v>229</v>
      </c>
      <c r="C3" s="448" t="s">
        <v>230</v>
      </c>
      <c r="D3" s="449" t="s">
        <v>231</v>
      </c>
      <c r="E3" s="449" t="s">
        <v>232</v>
      </c>
      <c r="F3" s="448" t="s">
        <v>233</v>
      </c>
      <c r="G3" s="448" t="s">
        <v>287</v>
      </c>
      <c r="H3" s="450" t="s">
        <v>234</v>
      </c>
      <c r="I3" s="499" t="s">
        <v>235</v>
      </c>
      <c r="J3" s="499"/>
      <c r="K3" s="453" t="s">
        <v>265</v>
      </c>
      <c r="L3" s="453" t="s">
        <v>267</v>
      </c>
      <c r="M3" s="453" t="s">
        <v>268</v>
      </c>
      <c r="N3" s="454" t="s">
        <v>269</v>
      </c>
      <c r="O3" s="454" t="s">
        <v>270</v>
      </c>
      <c r="P3" s="454" t="s">
        <v>271</v>
      </c>
      <c r="Q3" s="454" t="s">
        <v>272</v>
      </c>
      <c r="R3" s="454" t="s">
        <v>273</v>
      </c>
      <c r="S3" s="454" t="s">
        <v>274</v>
      </c>
      <c r="T3" s="454" t="s">
        <v>275</v>
      </c>
      <c r="U3" s="454" t="s">
        <v>276</v>
      </c>
      <c r="V3" s="452" t="s">
        <v>277</v>
      </c>
      <c r="W3" s="455" t="s">
        <v>280</v>
      </c>
    </row>
    <row r="4" spans="2:24" x14ac:dyDescent="0.2">
      <c r="B4" s="500" t="s">
        <v>285</v>
      </c>
      <c r="C4" s="500"/>
      <c r="D4" s="500"/>
      <c r="E4" s="500"/>
      <c r="F4" s="500"/>
      <c r="G4" s="500"/>
      <c r="H4" s="443"/>
      <c r="I4" s="442" t="s">
        <v>237</v>
      </c>
      <c r="J4" s="442" t="s">
        <v>238</v>
      </c>
      <c r="K4" s="451"/>
      <c r="L4" s="333"/>
      <c r="M4" s="333"/>
      <c r="N4" s="333"/>
      <c r="O4" s="333"/>
      <c r="P4" s="333"/>
      <c r="Q4" s="333"/>
      <c r="R4" s="333"/>
      <c r="S4" s="333"/>
      <c r="T4" s="333"/>
      <c r="U4" s="333"/>
      <c r="V4" s="333"/>
      <c r="W4" s="333"/>
    </row>
    <row r="5" spans="2:24" ht="22.5" customHeight="1" x14ac:dyDescent="0.2">
      <c r="B5" s="441">
        <v>1</v>
      </c>
      <c r="C5" s="444" t="str">
        <f>+'Presupuesto Inversión Directa'!A3</f>
        <v>MATERIAL BIOLÓGICO</v>
      </c>
      <c r="D5" s="495">
        <f>+'Presupuesto Inversión Directa'!J3</f>
        <v>43450000</v>
      </c>
      <c r="E5" s="495"/>
      <c r="F5" s="445"/>
      <c r="G5" s="446">
        <v>1</v>
      </c>
      <c r="H5" s="447">
        <f>+D5</f>
        <v>43450000</v>
      </c>
      <c r="I5" s="447">
        <f>+H5</f>
        <v>43450000</v>
      </c>
      <c r="J5" s="442"/>
      <c r="K5" s="451"/>
      <c r="L5" s="334"/>
      <c r="M5" s="334"/>
      <c r="N5" s="447">
        <f>+H5*0.5</f>
        <v>21725000</v>
      </c>
      <c r="O5" s="447">
        <f>+H5*0.5</f>
        <v>21725000</v>
      </c>
      <c r="P5" s="447"/>
      <c r="Q5" s="447"/>
      <c r="R5" s="447"/>
      <c r="S5" s="447"/>
      <c r="T5" s="447"/>
      <c r="U5" s="447"/>
      <c r="V5" s="447"/>
      <c r="W5" s="456">
        <f>SUM(L5:V5)</f>
        <v>43450000</v>
      </c>
      <c r="X5" s="236"/>
    </row>
    <row r="6" spans="2:24" x14ac:dyDescent="0.2">
      <c r="L6" s="236"/>
      <c r="M6" s="236"/>
      <c r="N6" s="236"/>
      <c r="O6" s="236"/>
      <c r="P6" s="236"/>
      <c r="Q6" s="236"/>
      <c r="R6" s="236"/>
      <c r="S6" s="236"/>
      <c r="T6" s="236"/>
      <c r="U6" s="236"/>
      <c r="V6" s="236"/>
      <c r="W6" s="236"/>
      <c r="X6" s="236"/>
    </row>
    <row r="7" spans="2:24" x14ac:dyDescent="0.2">
      <c r="L7" s="236"/>
      <c r="M7" s="236"/>
      <c r="N7" s="236"/>
      <c r="O7" s="236"/>
      <c r="P7" s="236"/>
      <c r="Q7" s="236"/>
      <c r="R7" s="236"/>
      <c r="S7" s="236"/>
      <c r="T7" s="236"/>
      <c r="U7" s="236"/>
      <c r="V7" s="236"/>
      <c r="W7" s="236"/>
      <c r="X7" s="236"/>
    </row>
    <row r="8" spans="2:24" x14ac:dyDescent="0.2">
      <c r="L8" s="236"/>
      <c r="M8" s="236"/>
      <c r="N8" s="236"/>
      <c r="O8" s="236"/>
      <c r="P8" s="236"/>
      <c r="Q8" s="236"/>
      <c r="R8" s="236"/>
      <c r="S8" s="236"/>
      <c r="T8" s="236"/>
      <c r="U8" s="236"/>
      <c r="V8" s="236"/>
      <c r="W8" s="236"/>
      <c r="X8" s="236"/>
    </row>
    <row r="9" spans="2:24" x14ac:dyDescent="0.2">
      <c r="L9" s="236"/>
      <c r="M9" s="236"/>
      <c r="N9" s="236"/>
      <c r="O9" s="236"/>
      <c r="P9" s="236"/>
      <c r="Q9" s="236"/>
      <c r="R9" s="236"/>
      <c r="S9" s="236"/>
      <c r="T9" s="236"/>
      <c r="U9" s="236"/>
      <c r="V9" s="236"/>
      <c r="W9" s="236"/>
      <c r="X9" s="236"/>
    </row>
    <row r="10" spans="2:24" x14ac:dyDescent="0.2">
      <c r="I10" s="230">
        <f>33240000/2400000000</f>
        <v>1.3849999999999999E-2</v>
      </c>
      <c r="L10" s="236"/>
      <c r="M10" s="236"/>
      <c r="N10" s="236"/>
      <c r="O10" s="236"/>
      <c r="P10" s="236"/>
      <c r="Q10" s="236"/>
      <c r="R10" s="236"/>
      <c r="S10" s="236"/>
      <c r="T10" s="236"/>
      <c r="U10" s="236"/>
      <c r="V10" s="236"/>
      <c r="W10" s="236"/>
      <c r="X10" s="236"/>
    </row>
    <row r="11" spans="2:24" x14ac:dyDescent="0.2">
      <c r="L11" s="236"/>
      <c r="M11" s="236"/>
      <c r="N11" s="236"/>
      <c r="O11" s="236"/>
      <c r="P11" s="236"/>
      <c r="Q11" s="236"/>
      <c r="R11" s="236"/>
      <c r="S11" s="236"/>
      <c r="T11" s="236"/>
      <c r="U11" s="236"/>
      <c r="V11" s="236"/>
      <c r="W11" s="236"/>
      <c r="X11" s="236"/>
    </row>
  </sheetData>
  <mergeCells count="6">
    <mergeCell ref="D5:E5"/>
    <mergeCell ref="K2:M2"/>
    <mergeCell ref="N2:U2"/>
    <mergeCell ref="B2:J2"/>
    <mergeCell ref="I3:J3"/>
    <mergeCell ref="B4:G4"/>
  </mergeCells>
  <phoneticPr fontId="23" type="noConversion"/>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B0F0"/>
  </sheetPr>
  <dimension ref="A1:M871"/>
  <sheetViews>
    <sheetView tabSelected="1" topLeftCell="A15" zoomScale="142" zoomScaleNormal="142" workbookViewId="0">
      <selection activeCell="H26" sqref="H26"/>
    </sheetView>
  </sheetViews>
  <sheetFormatPr baseColWidth="10" defaultRowHeight="15" x14ac:dyDescent="0.25"/>
  <cols>
    <col min="1" max="1" width="15.140625" bestFit="1" customWidth="1"/>
    <col min="2" max="2" width="5" customWidth="1"/>
    <col min="3" max="3" width="16.140625" customWidth="1"/>
    <col min="4" max="4" width="6.85546875" customWidth="1"/>
    <col min="5" max="5" width="7.5703125" customWidth="1"/>
    <col min="6" max="6" width="16.28515625" customWidth="1"/>
    <col min="7" max="7" width="6.85546875" style="11" bestFit="1" customWidth="1"/>
    <col min="8" max="8" width="11.85546875" customWidth="1"/>
    <col min="9" max="9" width="12.140625" customWidth="1"/>
    <col min="10" max="10" width="11.28515625" customWidth="1"/>
    <col min="11" max="11" width="11.5703125" style="309"/>
    <col min="13" max="13" width="13.5703125" bestFit="1" customWidth="1"/>
  </cols>
  <sheetData>
    <row r="1" spans="1:13" ht="25.5" customHeight="1" x14ac:dyDescent="0.25">
      <c r="B1" s="502" t="s">
        <v>228</v>
      </c>
      <c r="C1" s="502"/>
      <c r="D1" s="502"/>
      <c r="E1" s="502"/>
      <c r="F1" s="502"/>
      <c r="G1" s="502"/>
      <c r="H1" s="502"/>
      <c r="I1" s="502"/>
      <c r="J1" s="502"/>
      <c r="K1" s="502"/>
    </row>
    <row r="2" spans="1:13" ht="25.5" x14ac:dyDescent="0.25">
      <c r="B2" s="1" t="s">
        <v>229</v>
      </c>
      <c r="C2" s="1" t="s">
        <v>230</v>
      </c>
      <c r="D2" s="327" t="s">
        <v>231</v>
      </c>
      <c r="E2" s="327" t="s">
        <v>232</v>
      </c>
      <c r="F2" s="1" t="s">
        <v>233</v>
      </c>
      <c r="G2" s="1" t="s">
        <v>287</v>
      </c>
      <c r="H2" s="1" t="s">
        <v>234</v>
      </c>
      <c r="I2" s="502" t="s">
        <v>235</v>
      </c>
      <c r="J2" s="502"/>
      <c r="K2" s="1" t="s">
        <v>263</v>
      </c>
    </row>
    <row r="3" spans="1:13" x14ac:dyDescent="0.25">
      <c r="B3" s="509" t="s">
        <v>236</v>
      </c>
      <c r="C3" s="509"/>
      <c r="D3" s="509"/>
      <c r="E3" s="509"/>
      <c r="F3" s="509"/>
      <c r="G3" s="509"/>
      <c r="H3" s="3"/>
      <c r="I3" s="1" t="s">
        <v>237</v>
      </c>
      <c r="J3" s="1" t="s">
        <v>238</v>
      </c>
      <c r="K3" s="1" t="s">
        <v>237</v>
      </c>
      <c r="M3">
        <v>1.6</v>
      </c>
    </row>
    <row r="4" spans="1:13" x14ac:dyDescent="0.25">
      <c r="B4" s="4">
        <v>1</v>
      </c>
      <c r="C4" s="328" t="s">
        <v>370</v>
      </c>
      <c r="D4" s="4" t="s">
        <v>239</v>
      </c>
      <c r="E4" s="4">
        <v>12</v>
      </c>
      <c r="F4" s="201">
        <f>3147287*$M$3</f>
        <v>5035659.2</v>
      </c>
      <c r="G4" s="329">
        <v>1</v>
      </c>
      <c r="H4" s="425">
        <f>+E4*F4</f>
        <v>60427910.400000006</v>
      </c>
      <c r="I4" s="310"/>
      <c r="J4" s="310"/>
      <c r="K4" s="209"/>
    </row>
    <row r="5" spans="1:13" x14ac:dyDescent="0.25">
      <c r="B5" s="4">
        <v>2</v>
      </c>
      <c r="C5" s="328" t="s">
        <v>261</v>
      </c>
      <c r="D5" s="4" t="s">
        <v>239</v>
      </c>
      <c r="E5" s="4">
        <v>12</v>
      </c>
      <c r="F5" s="201">
        <f>2724337*$M$3</f>
        <v>4358939.2</v>
      </c>
      <c r="G5" s="329">
        <v>0.5</v>
      </c>
      <c r="H5" s="425">
        <f>+E5*F5*G5</f>
        <v>26153635.200000003</v>
      </c>
      <c r="I5" s="209"/>
      <c r="J5" s="209"/>
      <c r="M5">
        <v>10</v>
      </c>
    </row>
    <row r="6" spans="1:13" x14ac:dyDescent="0.25">
      <c r="B6" s="4">
        <v>3</v>
      </c>
      <c r="C6" s="328" t="s">
        <v>262</v>
      </c>
      <c r="D6" s="4" t="s">
        <v>239</v>
      </c>
      <c r="E6" s="4">
        <v>12</v>
      </c>
      <c r="F6" s="201">
        <f>2724337*$M$3</f>
        <v>4358939.2</v>
      </c>
      <c r="G6" s="329">
        <v>0.25</v>
      </c>
      <c r="H6" s="425">
        <f>+E6*F6*G6</f>
        <v>13076817.600000001</v>
      </c>
      <c r="I6" s="209"/>
      <c r="J6" s="209"/>
      <c r="M6">
        <f>+M5/1000</f>
        <v>0.01</v>
      </c>
    </row>
    <row r="7" spans="1:13" x14ac:dyDescent="0.25">
      <c r="B7" s="501" t="s">
        <v>240</v>
      </c>
      <c r="C7" s="501"/>
      <c r="D7" s="501"/>
      <c r="E7" s="501"/>
      <c r="F7" s="501"/>
      <c r="G7" s="10"/>
      <c r="H7" s="330">
        <f>SUM(H4:H6)</f>
        <v>99658363.200000018</v>
      </c>
      <c r="I7" s="330">
        <f t="shared" ref="I7" si="0">SUM(I5:I5)</f>
        <v>0</v>
      </c>
      <c r="J7" s="330">
        <f>SUM(J5:J6)</f>
        <v>0</v>
      </c>
      <c r="K7" s="330">
        <f>K4</f>
        <v>0</v>
      </c>
      <c r="M7">
        <f>+M6*5%</f>
        <v>5.0000000000000001E-4</v>
      </c>
    </row>
    <row r="8" spans="1:13" x14ac:dyDescent="0.25">
      <c r="B8" s="505"/>
      <c r="C8" s="505"/>
      <c r="D8" s="505"/>
      <c r="E8" s="505"/>
      <c r="F8" s="505"/>
      <c r="G8" s="505"/>
      <c r="H8" s="505"/>
      <c r="I8" s="331"/>
      <c r="J8" s="505"/>
      <c r="K8" s="505"/>
      <c r="M8">
        <f>+M6+M7</f>
        <v>1.0500000000000001E-2</v>
      </c>
    </row>
    <row r="9" spans="1:13" x14ac:dyDescent="0.25">
      <c r="B9" s="507" t="s">
        <v>241</v>
      </c>
      <c r="C9" s="507"/>
      <c r="D9" s="507"/>
      <c r="E9" s="507"/>
      <c r="F9" s="507"/>
      <c r="G9" s="507"/>
      <c r="H9" s="507"/>
      <c r="I9" s="501" t="s">
        <v>235</v>
      </c>
      <c r="J9" s="501"/>
      <c r="K9" s="1" t="s">
        <v>263</v>
      </c>
    </row>
    <row r="10" spans="1:13" ht="20.100000000000001" customHeight="1" x14ac:dyDescent="0.25">
      <c r="B10" s="1" t="s">
        <v>229</v>
      </c>
      <c r="C10" s="502" t="s">
        <v>230</v>
      </c>
      <c r="D10" s="502"/>
      <c r="E10" s="502"/>
      <c r="F10" s="1" t="s">
        <v>242</v>
      </c>
      <c r="G10" s="2"/>
      <c r="H10" s="1" t="s">
        <v>234</v>
      </c>
      <c r="I10" s="1" t="s">
        <v>237</v>
      </c>
      <c r="J10" s="1" t="s">
        <v>238</v>
      </c>
      <c r="K10" s="1" t="s">
        <v>237</v>
      </c>
      <c r="M10" s="200">
        <f>+H7+'Presupuesto Inversión Directa'!H86</f>
        <v>1104883515.54</v>
      </c>
    </row>
    <row r="11" spans="1:13" x14ac:dyDescent="0.25">
      <c r="B11" s="4">
        <v>1</v>
      </c>
      <c r="C11" s="503" t="s">
        <v>383</v>
      </c>
      <c r="D11" s="503"/>
      <c r="E11" s="503"/>
      <c r="F11" s="503"/>
      <c r="G11" s="5">
        <v>2E-3</v>
      </c>
      <c r="H11" s="201">
        <f>+'Presupuesto Inversión Directa'!H86*G11</f>
        <v>2010450.3046800001</v>
      </c>
      <c r="I11" s="201"/>
      <c r="J11" s="201"/>
      <c r="M11" s="200">
        <f>+M10*0.01</f>
        <v>11048835.155400001</v>
      </c>
    </row>
    <row r="12" spans="1:13" ht="15.75" customHeight="1" x14ac:dyDescent="0.25">
      <c r="B12" s="4">
        <f>+B11+1</f>
        <v>2</v>
      </c>
      <c r="C12" s="503" t="s">
        <v>396</v>
      </c>
      <c r="D12" s="503"/>
      <c r="E12" s="503"/>
      <c r="F12" s="503"/>
      <c r="G12" s="6"/>
      <c r="H12" s="201">
        <f>+'[5]Análisis costos proceso  (2)'!H12</f>
        <v>2000000</v>
      </c>
      <c r="I12" s="201"/>
      <c r="J12" s="201"/>
      <c r="M12">
        <f>+M11*0.05</f>
        <v>552441.75777000003</v>
      </c>
    </row>
    <row r="13" spans="1:13" x14ac:dyDescent="0.25">
      <c r="B13" s="4">
        <f t="shared" ref="B13:B14" si="1">+B12+1</f>
        <v>3</v>
      </c>
      <c r="C13" s="503" t="s">
        <v>243</v>
      </c>
      <c r="D13" s="503"/>
      <c r="E13" s="503"/>
      <c r="F13" s="503"/>
      <c r="G13" s="6"/>
      <c r="H13" s="201">
        <f>+'[5]Análisis costos proceso  (2)'!H13</f>
        <v>2000000</v>
      </c>
      <c r="I13" s="201"/>
      <c r="J13" s="201"/>
    </row>
    <row r="14" spans="1:13" ht="40.5" customHeight="1" x14ac:dyDescent="0.25">
      <c r="A14" s="305"/>
      <c r="B14" s="4">
        <f t="shared" si="1"/>
        <v>4</v>
      </c>
      <c r="C14" s="504" t="s">
        <v>392</v>
      </c>
      <c r="D14" s="504"/>
      <c r="E14" s="504"/>
      <c r="F14" s="7">
        <v>0.01</v>
      </c>
      <c r="G14" s="5"/>
      <c r="H14" s="201">
        <f>(+'Presupuesto Inversión Directa'!H4+'Presupuesto Inversión Directa'!H21+'Presupuesto Inversión Directa'!H51)*F14</f>
        <v>5169221.5</v>
      </c>
      <c r="I14" s="201"/>
      <c r="J14" s="201"/>
    </row>
    <row r="15" spans="1:13" ht="40.5" customHeight="1" x14ac:dyDescent="0.25">
      <c r="A15" s="305"/>
      <c r="B15" s="4"/>
      <c r="C15" s="504" t="s">
        <v>393</v>
      </c>
      <c r="D15" s="504"/>
      <c r="E15" s="504"/>
      <c r="F15" s="7">
        <v>0.01</v>
      </c>
      <c r="G15" s="5">
        <f>+'Cálculo póliza'!H12</f>
        <v>1.4500234068028891E-2</v>
      </c>
      <c r="H15" s="201">
        <f>+G15*'Presupuesto Inversión Directa'!H86</f>
        <v>14576000</v>
      </c>
      <c r="I15" s="201"/>
      <c r="J15" s="201"/>
    </row>
    <row r="16" spans="1:13" ht="40.5" customHeight="1" x14ac:dyDescent="0.25">
      <c r="A16" s="305"/>
      <c r="B16" s="4"/>
      <c r="C16" s="504" t="s">
        <v>386</v>
      </c>
      <c r="D16" s="504"/>
      <c r="E16" s="504"/>
      <c r="F16" s="7">
        <f>+H16/'Presupuesto Inversión Directa'!H86</f>
        <v>1.4627033521567523E-2</v>
      </c>
      <c r="G16" s="5"/>
      <c r="H16" s="201">
        <f>47142092-1-1970760+5172601-16609727-3614078-14565000-500768-350897</f>
        <v>14703462</v>
      </c>
      <c r="I16" s="201"/>
      <c r="J16" s="201"/>
    </row>
    <row r="17" spans="2:12" ht="25.5" customHeight="1" x14ac:dyDescent="0.25">
      <c r="B17" s="4">
        <f>+B14+1</f>
        <v>5</v>
      </c>
      <c r="C17" s="508" t="s">
        <v>382</v>
      </c>
      <c r="D17" s="508"/>
      <c r="E17" s="508"/>
      <c r="F17" s="7">
        <f>0.04+0.01+0.015+(0.008*1.05)+0.01+0.025+0.01</f>
        <v>0.11839999999999999</v>
      </c>
      <c r="G17" s="202"/>
      <c r="H17" s="201">
        <f>(+'Presupuesto Inversión Directa'!H86)*F17</f>
        <v>119018658.037056</v>
      </c>
      <c r="I17" s="201"/>
      <c r="J17" s="201"/>
    </row>
    <row r="18" spans="2:12" ht="7.15" customHeight="1" x14ac:dyDescent="0.25">
      <c r="B18" s="4"/>
      <c r="C18" s="504"/>
      <c r="D18" s="504"/>
      <c r="E18" s="504"/>
      <c r="F18" s="8"/>
      <c r="G18" s="9"/>
      <c r="H18" s="201"/>
      <c r="I18" s="201"/>
      <c r="J18" s="201"/>
    </row>
    <row r="19" spans="2:12" x14ac:dyDescent="0.25">
      <c r="B19" s="501" t="s">
        <v>244</v>
      </c>
      <c r="C19" s="501"/>
      <c r="D19" s="501"/>
      <c r="E19" s="501"/>
      <c r="F19" s="501"/>
      <c r="G19" s="10"/>
      <c r="H19" s="210">
        <f>SUM(H11:H18)</f>
        <v>159477791.84173602</v>
      </c>
      <c r="I19" s="210">
        <f>SUM(I11:I18)</f>
        <v>0</v>
      </c>
      <c r="J19" s="210">
        <f>SUM(J11:J18)</f>
        <v>0</v>
      </c>
      <c r="K19" s="210">
        <v>0</v>
      </c>
    </row>
    <row r="20" spans="2:12" x14ac:dyDescent="0.25">
      <c r="B20" s="506"/>
      <c r="C20" s="506"/>
      <c r="D20" s="506"/>
      <c r="E20" s="506"/>
      <c r="F20" s="506"/>
      <c r="G20" s="506"/>
      <c r="H20" s="506"/>
      <c r="I20" s="332"/>
      <c r="J20" s="332"/>
    </row>
    <row r="21" spans="2:12" x14ac:dyDescent="0.25">
      <c r="B21" s="501" t="s">
        <v>245</v>
      </c>
      <c r="C21" s="501"/>
      <c r="D21" s="501"/>
      <c r="E21" s="501"/>
      <c r="F21" s="501"/>
      <c r="G21" s="10"/>
      <c r="H21" s="210">
        <f>+H7+H19</f>
        <v>259136155.04173604</v>
      </c>
      <c r="I21" s="210">
        <f>+I7+I19</f>
        <v>0</v>
      </c>
      <c r="J21" s="210">
        <f>+J7+J19</f>
        <v>0</v>
      </c>
      <c r="K21" s="210">
        <f>K4</f>
        <v>0</v>
      </c>
    </row>
    <row r="22" spans="2:12" x14ac:dyDescent="0.25">
      <c r="I22" s="211"/>
      <c r="K22" s="200"/>
    </row>
    <row r="23" spans="2:12" x14ac:dyDescent="0.25">
      <c r="H23" s="200"/>
      <c r="I23" s="200"/>
      <c r="J23" s="200"/>
      <c r="K23" s="200"/>
      <c r="L23" s="200"/>
    </row>
    <row r="24" spans="2:12" x14ac:dyDescent="0.25">
      <c r="F24" s="200"/>
      <c r="H24" s="200"/>
      <c r="I24" s="200"/>
      <c r="J24" s="200"/>
      <c r="K24" s="200"/>
    </row>
    <row r="25" spans="2:12" x14ac:dyDescent="0.25">
      <c r="I25" s="200"/>
      <c r="K25" s="200"/>
    </row>
    <row r="26" spans="2:12" x14ac:dyDescent="0.25">
      <c r="I26" s="200"/>
      <c r="K26" s="200"/>
    </row>
    <row r="27" spans="2:12" x14ac:dyDescent="0.25">
      <c r="K27" s="200"/>
    </row>
    <row r="28" spans="2:12" x14ac:dyDescent="0.25">
      <c r="K28" s="200"/>
    </row>
    <row r="29" spans="2:12" x14ac:dyDescent="0.25">
      <c r="K29" s="200"/>
    </row>
    <row r="30" spans="2:12" x14ac:dyDescent="0.25">
      <c r="K30" s="200"/>
    </row>
    <row r="31" spans="2:12" x14ac:dyDescent="0.25">
      <c r="K31" s="200"/>
    </row>
    <row r="32" spans="2:12" x14ac:dyDescent="0.25">
      <c r="K32" s="200"/>
    </row>
    <row r="33" spans="11:11" x14ac:dyDescent="0.25">
      <c r="K33" s="200"/>
    </row>
    <row r="34" spans="11:11" x14ac:dyDescent="0.25">
      <c r="K34" s="200"/>
    </row>
    <row r="35" spans="11:11" x14ac:dyDescent="0.25">
      <c r="K35" s="200"/>
    </row>
    <row r="36" spans="11:11" x14ac:dyDescent="0.25">
      <c r="K36" s="200"/>
    </row>
    <row r="37" spans="11:11" x14ac:dyDescent="0.25">
      <c r="K37" s="200"/>
    </row>
    <row r="38" spans="11:11" x14ac:dyDescent="0.25">
      <c r="K38" s="200"/>
    </row>
    <row r="39" spans="11:11" x14ac:dyDescent="0.25">
      <c r="K39" s="200"/>
    </row>
    <row r="40" spans="11:11" x14ac:dyDescent="0.25">
      <c r="K40" s="200"/>
    </row>
    <row r="41" spans="11:11" x14ac:dyDescent="0.25">
      <c r="K41" s="200"/>
    </row>
    <row r="42" spans="11:11" x14ac:dyDescent="0.25">
      <c r="K42" s="200"/>
    </row>
    <row r="43" spans="11:11" x14ac:dyDescent="0.25">
      <c r="K43" s="200"/>
    </row>
    <row r="44" spans="11:11" x14ac:dyDescent="0.25">
      <c r="K44" s="200"/>
    </row>
    <row r="45" spans="11:11" x14ac:dyDescent="0.25">
      <c r="K45" s="200"/>
    </row>
    <row r="46" spans="11:11" x14ac:dyDescent="0.25">
      <c r="K46" s="200"/>
    </row>
    <row r="47" spans="11:11" x14ac:dyDescent="0.25">
      <c r="K47" s="200"/>
    </row>
    <row r="48" spans="11:11" x14ac:dyDescent="0.25">
      <c r="K48" s="200"/>
    </row>
    <row r="49" spans="11:11" x14ac:dyDescent="0.25">
      <c r="K49" s="200"/>
    </row>
    <row r="50" spans="11:11" x14ac:dyDescent="0.25">
      <c r="K50" s="200"/>
    </row>
    <row r="51" spans="11:11" x14ac:dyDescent="0.25">
      <c r="K51" s="200"/>
    </row>
    <row r="52" spans="11:11" x14ac:dyDescent="0.25">
      <c r="K52" s="200"/>
    </row>
    <row r="53" spans="11:11" x14ac:dyDescent="0.25">
      <c r="K53" s="200"/>
    </row>
    <row r="54" spans="11:11" x14ac:dyDescent="0.25">
      <c r="K54" s="200"/>
    </row>
    <row r="55" spans="11:11" x14ac:dyDescent="0.25">
      <c r="K55" s="200"/>
    </row>
    <row r="56" spans="11:11" x14ac:dyDescent="0.25">
      <c r="K56" s="200"/>
    </row>
    <row r="57" spans="11:11" x14ac:dyDescent="0.25">
      <c r="K57" s="200"/>
    </row>
    <row r="58" spans="11:11" x14ac:dyDescent="0.25">
      <c r="K58" s="200"/>
    </row>
    <row r="59" spans="11:11" x14ac:dyDescent="0.25">
      <c r="K59" s="200"/>
    </row>
    <row r="60" spans="11:11" x14ac:dyDescent="0.25">
      <c r="K60" s="200"/>
    </row>
    <row r="61" spans="11:11" x14ac:dyDescent="0.25">
      <c r="K61" s="200"/>
    </row>
    <row r="62" spans="11:11" x14ac:dyDescent="0.25">
      <c r="K62" s="200"/>
    </row>
    <row r="63" spans="11:11" x14ac:dyDescent="0.25">
      <c r="K63" s="200"/>
    </row>
    <row r="64" spans="11:11" x14ac:dyDescent="0.25">
      <c r="K64" s="200"/>
    </row>
    <row r="65" spans="11:11" x14ac:dyDescent="0.25">
      <c r="K65" s="200"/>
    </row>
    <row r="66" spans="11:11" x14ac:dyDescent="0.25">
      <c r="K66" s="200"/>
    </row>
    <row r="67" spans="11:11" x14ac:dyDescent="0.25">
      <c r="K67" s="200"/>
    </row>
    <row r="68" spans="11:11" x14ac:dyDescent="0.25">
      <c r="K68" s="200"/>
    </row>
    <row r="69" spans="11:11" x14ac:dyDescent="0.25">
      <c r="K69" s="200"/>
    </row>
    <row r="70" spans="11:11" x14ac:dyDescent="0.25">
      <c r="K70" s="200"/>
    </row>
    <row r="71" spans="11:11" x14ac:dyDescent="0.25">
      <c r="K71" s="200"/>
    </row>
    <row r="72" spans="11:11" x14ac:dyDescent="0.25">
      <c r="K72" s="200"/>
    </row>
    <row r="73" spans="11:11" x14ac:dyDescent="0.25">
      <c r="K73" s="200"/>
    </row>
    <row r="74" spans="11:11" x14ac:dyDescent="0.25">
      <c r="K74" s="200"/>
    </row>
    <row r="75" spans="11:11" x14ac:dyDescent="0.25">
      <c r="K75" s="200"/>
    </row>
    <row r="76" spans="11:11" x14ac:dyDescent="0.25">
      <c r="K76" s="200"/>
    </row>
    <row r="77" spans="11:11" x14ac:dyDescent="0.25">
      <c r="K77" s="200"/>
    </row>
    <row r="78" spans="11:11" x14ac:dyDescent="0.25">
      <c r="K78" s="200"/>
    </row>
    <row r="79" spans="11:11" x14ac:dyDescent="0.25">
      <c r="K79" s="200"/>
    </row>
    <row r="80" spans="11:11" x14ac:dyDescent="0.25">
      <c r="K80" s="200"/>
    </row>
    <row r="81" spans="11:11" x14ac:dyDescent="0.25">
      <c r="K81" s="200"/>
    </row>
    <row r="82" spans="11:11" x14ac:dyDescent="0.25">
      <c r="K82" s="200"/>
    </row>
    <row r="83" spans="11:11" x14ac:dyDescent="0.25">
      <c r="K83" s="200"/>
    </row>
    <row r="84" spans="11:11" x14ac:dyDescent="0.25">
      <c r="K84" s="200"/>
    </row>
    <row r="85" spans="11:11" x14ac:dyDescent="0.25">
      <c r="K85" s="200"/>
    </row>
    <row r="86" spans="11:11" x14ac:dyDescent="0.25">
      <c r="K86" s="200"/>
    </row>
    <row r="87" spans="11:11" x14ac:dyDescent="0.25">
      <c r="K87" s="200"/>
    </row>
    <row r="88" spans="11:11" x14ac:dyDescent="0.25">
      <c r="K88" s="200"/>
    </row>
    <row r="89" spans="11:11" x14ac:dyDescent="0.25">
      <c r="K89" s="200"/>
    </row>
    <row r="90" spans="11:11" x14ac:dyDescent="0.25">
      <c r="K90" s="200"/>
    </row>
    <row r="91" spans="11:11" x14ac:dyDescent="0.25">
      <c r="K91" s="200"/>
    </row>
    <row r="92" spans="11:11" x14ac:dyDescent="0.25">
      <c r="K92" s="200"/>
    </row>
    <row r="93" spans="11:11" x14ac:dyDescent="0.25">
      <c r="K93" s="200"/>
    </row>
    <row r="94" spans="11:11" x14ac:dyDescent="0.25">
      <c r="K94" s="200"/>
    </row>
    <row r="95" spans="11:11" x14ac:dyDescent="0.25">
      <c r="K95" s="200"/>
    </row>
    <row r="96" spans="11:11" x14ac:dyDescent="0.25">
      <c r="K96" s="200"/>
    </row>
    <row r="97" spans="11:11" x14ac:dyDescent="0.25">
      <c r="K97" s="200"/>
    </row>
    <row r="98" spans="11:11" x14ac:dyDescent="0.25">
      <c r="K98" s="200"/>
    </row>
    <row r="99" spans="11:11" x14ac:dyDescent="0.25">
      <c r="K99" s="200"/>
    </row>
    <row r="100" spans="11:11" x14ac:dyDescent="0.25">
      <c r="K100" s="200"/>
    </row>
    <row r="101" spans="11:11" x14ac:dyDescent="0.25">
      <c r="K101" s="200"/>
    </row>
    <row r="102" spans="11:11" x14ac:dyDescent="0.25">
      <c r="K102" s="200"/>
    </row>
    <row r="103" spans="11:11" x14ac:dyDescent="0.25">
      <c r="K103" s="200"/>
    </row>
    <row r="104" spans="11:11" x14ac:dyDescent="0.25">
      <c r="K104" s="200"/>
    </row>
    <row r="105" spans="11:11" x14ac:dyDescent="0.25">
      <c r="K105" s="200"/>
    </row>
    <row r="106" spans="11:11" x14ac:dyDescent="0.25">
      <c r="K106" s="200"/>
    </row>
    <row r="107" spans="11:11" x14ac:dyDescent="0.25">
      <c r="K107" s="200"/>
    </row>
    <row r="108" spans="11:11" x14ac:dyDescent="0.25">
      <c r="K108" s="200"/>
    </row>
    <row r="109" spans="11:11" x14ac:dyDescent="0.25">
      <c r="K109" s="200"/>
    </row>
    <row r="110" spans="11:11" x14ac:dyDescent="0.25">
      <c r="K110" s="200"/>
    </row>
    <row r="111" spans="11:11" x14ac:dyDescent="0.25">
      <c r="K111" s="200"/>
    </row>
    <row r="112" spans="11:11" x14ac:dyDescent="0.25">
      <c r="K112" s="200"/>
    </row>
    <row r="113" spans="11:11" x14ac:dyDescent="0.25">
      <c r="K113" s="200"/>
    </row>
    <row r="114" spans="11:11" x14ac:dyDescent="0.25">
      <c r="K114" s="200"/>
    </row>
    <row r="115" spans="11:11" x14ac:dyDescent="0.25">
      <c r="K115" s="200"/>
    </row>
    <row r="116" spans="11:11" x14ac:dyDescent="0.25">
      <c r="K116" s="200"/>
    </row>
    <row r="117" spans="11:11" x14ac:dyDescent="0.25">
      <c r="K117" s="200"/>
    </row>
    <row r="118" spans="11:11" x14ac:dyDescent="0.25">
      <c r="K118" s="200"/>
    </row>
    <row r="119" spans="11:11" x14ac:dyDescent="0.25">
      <c r="K119" s="200"/>
    </row>
    <row r="120" spans="11:11" x14ac:dyDescent="0.25">
      <c r="K120" s="200"/>
    </row>
    <row r="121" spans="11:11" x14ac:dyDescent="0.25">
      <c r="K121" s="200"/>
    </row>
    <row r="122" spans="11:11" x14ac:dyDescent="0.25">
      <c r="K122" s="200"/>
    </row>
    <row r="123" spans="11:11" x14ac:dyDescent="0.25">
      <c r="K123" s="200"/>
    </row>
    <row r="124" spans="11:11" x14ac:dyDescent="0.25">
      <c r="K124" s="200"/>
    </row>
    <row r="125" spans="11:11" x14ac:dyDescent="0.25">
      <c r="K125" s="200"/>
    </row>
    <row r="126" spans="11:11" x14ac:dyDescent="0.25">
      <c r="K126" s="200"/>
    </row>
    <row r="127" spans="11:11" x14ac:dyDescent="0.25">
      <c r="K127" s="200"/>
    </row>
    <row r="128" spans="11:11" x14ac:dyDescent="0.25">
      <c r="K128" s="200"/>
    </row>
    <row r="129" spans="11:11" x14ac:dyDescent="0.25">
      <c r="K129" s="200"/>
    </row>
    <row r="130" spans="11:11" x14ac:dyDescent="0.25">
      <c r="K130" s="200"/>
    </row>
    <row r="131" spans="11:11" x14ac:dyDescent="0.25">
      <c r="K131" s="200"/>
    </row>
    <row r="132" spans="11:11" x14ac:dyDescent="0.25">
      <c r="K132" s="200"/>
    </row>
    <row r="133" spans="11:11" x14ac:dyDescent="0.25">
      <c r="K133" s="200"/>
    </row>
    <row r="134" spans="11:11" x14ac:dyDescent="0.25">
      <c r="K134" s="200"/>
    </row>
    <row r="135" spans="11:11" x14ac:dyDescent="0.25">
      <c r="K135" s="200"/>
    </row>
    <row r="136" spans="11:11" x14ac:dyDescent="0.25">
      <c r="K136" s="200"/>
    </row>
    <row r="137" spans="11:11" x14ac:dyDescent="0.25">
      <c r="K137" s="200"/>
    </row>
    <row r="138" spans="11:11" x14ac:dyDescent="0.25">
      <c r="K138" s="200"/>
    </row>
    <row r="139" spans="11:11" x14ac:dyDescent="0.25">
      <c r="K139" s="200"/>
    </row>
    <row r="140" spans="11:11" x14ac:dyDescent="0.25">
      <c r="K140" s="200"/>
    </row>
    <row r="141" spans="11:11" x14ac:dyDescent="0.25">
      <c r="K141" s="200"/>
    </row>
    <row r="142" spans="11:11" x14ac:dyDescent="0.25">
      <c r="K142" s="200"/>
    </row>
    <row r="143" spans="11:11" x14ac:dyDescent="0.25">
      <c r="K143" s="200"/>
    </row>
    <row r="144" spans="11:11" x14ac:dyDescent="0.25">
      <c r="K144" s="200"/>
    </row>
    <row r="145" spans="11:11" x14ac:dyDescent="0.25">
      <c r="K145" s="200"/>
    </row>
    <row r="146" spans="11:11" x14ac:dyDescent="0.25">
      <c r="K146" s="200"/>
    </row>
    <row r="147" spans="11:11" x14ac:dyDescent="0.25">
      <c r="K147" s="200"/>
    </row>
    <row r="148" spans="11:11" x14ac:dyDescent="0.25">
      <c r="K148" s="200"/>
    </row>
    <row r="149" spans="11:11" x14ac:dyDescent="0.25">
      <c r="K149" s="200"/>
    </row>
    <row r="150" spans="11:11" x14ac:dyDescent="0.25">
      <c r="K150" s="200"/>
    </row>
    <row r="151" spans="11:11" x14ac:dyDescent="0.25">
      <c r="K151" s="200"/>
    </row>
    <row r="152" spans="11:11" x14ac:dyDescent="0.25">
      <c r="K152" s="200"/>
    </row>
    <row r="153" spans="11:11" x14ac:dyDescent="0.25">
      <c r="K153" s="200"/>
    </row>
    <row r="154" spans="11:11" x14ac:dyDescent="0.25">
      <c r="K154" s="200"/>
    </row>
    <row r="155" spans="11:11" x14ac:dyDescent="0.25">
      <c r="K155" s="200"/>
    </row>
    <row r="156" spans="11:11" x14ac:dyDescent="0.25">
      <c r="K156" s="200"/>
    </row>
    <row r="157" spans="11:11" x14ac:dyDescent="0.25">
      <c r="K157" s="200"/>
    </row>
    <row r="158" spans="11:11" x14ac:dyDescent="0.25">
      <c r="K158" s="200"/>
    </row>
    <row r="159" spans="11:11" x14ac:dyDescent="0.25">
      <c r="K159" s="200"/>
    </row>
    <row r="160" spans="11:11" x14ac:dyDescent="0.25">
      <c r="K160" s="200"/>
    </row>
    <row r="161" spans="11:11" x14ac:dyDescent="0.25">
      <c r="K161" s="200"/>
    </row>
    <row r="162" spans="11:11" x14ac:dyDescent="0.25">
      <c r="K162" s="200"/>
    </row>
    <row r="163" spans="11:11" x14ac:dyDescent="0.25">
      <c r="K163" s="200"/>
    </row>
    <row r="164" spans="11:11" x14ac:dyDescent="0.25">
      <c r="K164" s="200"/>
    </row>
    <row r="165" spans="11:11" x14ac:dyDescent="0.25">
      <c r="K165" s="200"/>
    </row>
    <row r="166" spans="11:11" x14ac:dyDescent="0.25">
      <c r="K166" s="200"/>
    </row>
    <row r="167" spans="11:11" x14ac:dyDescent="0.25">
      <c r="K167" s="200"/>
    </row>
    <row r="168" spans="11:11" x14ac:dyDescent="0.25">
      <c r="K168" s="200"/>
    </row>
    <row r="169" spans="11:11" x14ac:dyDescent="0.25">
      <c r="K169" s="200"/>
    </row>
    <row r="170" spans="11:11" x14ac:dyDescent="0.25">
      <c r="K170" s="200"/>
    </row>
    <row r="171" spans="11:11" x14ac:dyDescent="0.25">
      <c r="K171" s="200"/>
    </row>
    <row r="172" spans="11:11" x14ac:dyDescent="0.25">
      <c r="K172" s="200"/>
    </row>
    <row r="173" spans="11:11" x14ac:dyDescent="0.25">
      <c r="K173" s="200"/>
    </row>
    <row r="174" spans="11:11" x14ac:dyDescent="0.25">
      <c r="K174" s="200"/>
    </row>
    <row r="175" spans="11:11" x14ac:dyDescent="0.25">
      <c r="K175" s="200"/>
    </row>
    <row r="176" spans="11:11" x14ac:dyDescent="0.25">
      <c r="K176" s="200"/>
    </row>
    <row r="177" spans="11:11" x14ac:dyDescent="0.25">
      <c r="K177" s="200"/>
    </row>
    <row r="178" spans="11:11" x14ac:dyDescent="0.25">
      <c r="K178" s="200"/>
    </row>
    <row r="179" spans="11:11" x14ac:dyDescent="0.25">
      <c r="K179" s="200"/>
    </row>
    <row r="180" spans="11:11" x14ac:dyDescent="0.25">
      <c r="K180" s="200"/>
    </row>
    <row r="181" spans="11:11" x14ac:dyDescent="0.25">
      <c r="K181" s="200"/>
    </row>
    <row r="182" spans="11:11" x14ac:dyDescent="0.25">
      <c r="K182" s="200"/>
    </row>
    <row r="183" spans="11:11" x14ac:dyDescent="0.25">
      <c r="K183" s="200"/>
    </row>
    <row r="184" spans="11:11" x14ac:dyDescent="0.25">
      <c r="K184" s="200"/>
    </row>
    <row r="185" spans="11:11" x14ac:dyDescent="0.25">
      <c r="K185" s="200"/>
    </row>
    <row r="186" spans="11:11" x14ac:dyDescent="0.25">
      <c r="K186" s="200"/>
    </row>
    <row r="187" spans="11:11" x14ac:dyDescent="0.25">
      <c r="K187" s="200"/>
    </row>
    <row r="188" spans="11:11" x14ac:dyDescent="0.25">
      <c r="K188" s="200"/>
    </row>
    <row r="189" spans="11:11" x14ac:dyDescent="0.25">
      <c r="K189" s="200"/>
    </row>
    <row r="190" spans="11:11" x14ac:dyDescent="0.25">
      <c r="K190" s="200"/>
    </row>
    <row r="191" spans="11:11" x14ac:dyDescent="0.25">
      <c r="K191" s="200"/>
    </row>
    <row r="192" spans="11:11" x14ac:dyDescent="0.25">
      <c r="K192" s="200"/>
    </row>
    <row r="193" spans="11:11" x14ac:dyDescent="0.25">
      <c r="K193" s="200"/>
    </row>
    <row r="194" spans="11:11" x14ac:dyDescent="0.25">
      <c r="K194" s="200"/>
    </row>
    <row r="195" spans="11:11" x14ac:dyDescent="0.25">
      <c r="K195" s="200"/>
    </row>
    <row r="196" spans="11:11" x14ac:dyDescent="0.25">
      <c r="K196" s="200"/>
    </row>
    <row r="197" spans="11:11" x14ac:dyDescent="0.25">
      <c r="K197" s="200"/>
    </row>
    <row r="198" spans="11:11" x14ac:dyDescent="0.25">
      <c r="K198" s="200"/>
    </row>
    <row r="199" spans="11:11" x14ac:dyDescent="0.25">
      <c r="K199" s="200"/>
    </row>
    <row r="200" spans="11:11" x14ac:dyDescent="0.25">
      <c r="K200" s="200"/>
    </row>
    <row r="201" spans="11:11" x14ac:dyDescent="0.25">
      <c r="K201" s="200"/>
    </row>
    <row r="202" spans="11:11" x14ac:dyDescent="0.25">
      <c r="K202" s="200"/>
    </row>
    <row r="203" spans="11:11" x14ac:dyDescent="0.25">
      <c r="K203" s="200"/>
    </row>
    <row r="204" spans="11:11" x14ac:dyDescent="0.25">
      <c r="K204" s="200"/>
    </row>
    <row r="205" spans="11:11" x14ac:dyDescent="0.25">
      <c r="K205" s="200"/>
    </row>
    <row r="206" spans="11:11" x14ac:dyDescent="0.25">
      <c r="K206" s="200"/>
    </row>
    <row r="207" spans="11:11" x14ac:dyDescent="0.25">
      <c r="K207" s="200"/>
    </row>
    <row r="208" spans="11:11" x14ac:dyDescent="0.25">
      <c r="K208" s="200"/>
    </row>
    <row r="209" spans="11:11" x14ac:dyDescent="0.25">
      <c r="K209" s="200"/>
    </row>
    <row r="210" spans="11:11" x14ac:dyDescent="0.25">
      <c r="K210" s="200"/>
    </row>
    <row r="211" spans="11:11" x14ac:dyDescent="0.25">
      <c r="K211" s="200"/>
    </row>
    <row r="212" spans="11:11" x14ac:dyDescent="0.25">
      <c r="K212" s="200"/>
    </row>
    <row r="213" spans="11:11" x14ac:dyDescent="0.25">
      <c r="K213" s="200"/>
    </row>
    <row r="214" spans="11:11" x14ac:dyDescent="0.25">
      <c r="K214" s="200"/>
    </row>
    <row r="215" spans="11:11" x14ac:dyDescent="0.25">
      <c r="K215" s="200"/>
    </row>
    <row r="216" spans="11:11" x14ac:dyDescent="0.25">
      <c r="K216" s="200"/>
    </row>
    <row r="217" spans="11:11" x14ac:dyDescent="0.25">
      <c r="K217" s="200"/>
    </row>
    <row r="218" spans="11:11" x14ac:dyDescent="0.25">
      <c r="K218" s="200"/>
    </row>
    <row r="219" spans="11:11" x14ac:dyDescent="0.25">
      <c r="K219" s="200"/>
    </row>
    <row r="220" spans="11:11" x14ac:dyDescent="0.25">
      <c r="K220" s="200"/>
    </row>
    <row r="221" spans="11:11" x14ac:dyDescent="0.25">
      <c r="K221" s="200"/>
    </row>
    <row r="222" spans="11:11" x14ac:dyDescent="0.25">
      <c r="K222" s="200"/>
    </row>
    <row r="223" spans="11:11" x14ac:dyDescent="0.25">
      <c r="K223" s="200"/>
    </row>
    <row r="224" spans="11:11" x14ac:dyDescent="0.25">
      <c r="K224" s="200"/>
    </row>
    <row r="225" spans="11:11" x14ac:dyDescent="0.25">
      <c r="K225" s="200"/>
    </row>
    <row r="226" spans="11:11" x14ac:dyDescent="0.25">
      <c r="K226" s="200"/>
    </row>
    <row r="227" spans="11:11" x14ac:dyDescent="0.25">
      <c r="K227" s="200"/>
    </row>
    <row r="228" spans="11:11" x14ac:dyDescent="0.25">
      <c r="K228" s="200"/>
    </row>
    <row r="229" spans="11:11" x14ac:dyDescent="0.25">
      <c r="K229" s="200"/>
    </row>
    <row r="230" spans="11:11" x14ac:dyDescent="0.25">
      <c r="K230" s="200"/>
    </row>
    <row r="231" spans="11:11" x14ac:dyDescent="0.25">
      <c r="K231" s="200"/>
    </row>
    <row r="232" spans="11:11" x14ac:dyDescent="0.25">
      <c r="K232" s="200"/>
    </row>
    <row r="233" spans="11:11" x14ac:dyDescent="0.25">
      <c r="K233" s="200"/>
    </row>
    <row r="234" spans="11:11" x14ac:dyDescent="0.25">
      <c r="K234" s="200"/>
    </row>
    <row r="235" spans="11:11" x14ac:dyDescent="0.25">
      <c r="K235" s="200"/>
    </row>
    <row r="236" spans="11:11" x14ac:dyDescent="0.25">
      <c r="K236" s="200"/>
    </row>
    <row r="237" spans="11:11" x14ac:dyDescent="0.25">
      <c r="K237" s="200"/>
    </row>
    <row r="238" spans="11:11" x14ac:dyDescent="0.25">
      <c r="K238" s="200"/>
    </row>
    <row r="239" spans="11:11" x14ac:dyDescent="0.25">
      <c r="K239" s="200"/>
    </row>
    <row r="240" spans="11:11" x14ac:dyDescent="0.25">
      <c r="K240" s="200"/>
    </row>
    <row r="241" spans="11:11" x14ac:dyDescent="0.25">
      <c r="K241" s="200"/>
    </row>
    <row r="242" spans="11:11" x14ac:dyDescent="0.25">
      <c r="K242" s="200"/>
    </row>
    <row r="243" spans="11:11" x14ac:dyDescent="0.25">
      <c r="K243" s="200"/>
    </row>
    <row r="244" spans="11:11" x14ac:dyDescent="0.25">
      <c r="K244" s="200"/>
    </row>
    <row r="245" spans="11:11" x14ac:dyDescent="0.25">
      <c r="K245" s="200"/>
    </row>
    <row r="246" spans="11:11" x14ac:dyDescent="0.25">
      <c r="K246" s="200"/>
    </row>
    <row r="247" spans="11:11" x14ac:dyDescent="0.25">
      <c r="K247" s="200"/>
    </row>
    <row r="248" spans="11:11" x14ac:dyDescent="0.25">
      <c r="K248" s="200"/>
    </row>
    <row r="249" spans="11:11" x14ac:dyDescent="0.25">
      <c r="K249" s="200"/>
    </row>
    <row r="250" spans="11:11" x14ac:dyDescent="0.25">
      <c r="K250" s="200"/>
    </row>
    <row r="251" spans="11:11" x14ac:dyDescent="0.25">
      <c r="K251" s="200"/>
    </row>
    <row r="252" spans="11:11" x14ac:dyDescent="0.25">
      <c r="K252" s="200"/>
    </row>
    <row r="253" spans="11:11" x14ac:dyDescent="0.25">
      <c r="K253" s="200"/>
    </row>
    <row r="254" spans="11:11" x14ac:dyDescent="0.25">
      <c r="K254" s="200"/>
    </row>
    <row r="255" spans="11:11" x14ac:dyDescent="0.25">
      <c r="K255" s="200"/>
    </row>
    <row r="256" spans="11:11" x14ac:dyDescent="0.25">
      <c r="K256" s="200"/>
    </row>
    <row r="257" spans="11:11" x14ac:dyDescent="0.25">
      <c r="K257" s="200"/>
    </row>
    <row r="258" spans="11:11" x14ac:dyDescent="0.25">
      <c r="K258" s="200"/>
    </row>
    <row r="259" spans="11:11" x14ac:dyDescent="0.25">
      <c r="K259" s="200"/>
    </row>
    <row r="260" spans="11:11" x14ac:dyDescent="0.25">
      <c r="K260" s="200"/>
    </row>
    <row r="261" spans="11:11" x14ac:dyDescent="0.25">
      <c r="K261" s="200"/>
    </row>
    <row r="262" spans="11:11" x14ac:dyDescent="0.25">
      <c r="K262" s="200"/>
    </row>
    <row r="263" spans="11:11" x14ac:dyDescent="0.25">
      <c r="K263" s="200"/>
    </row>
    <row r="264" spans="11:11" x14ac:dyDescent="0.25">
      <c r="K264" s="200"/>
    </row>
    <row r="265" spans="11:11" x14ac:dyDescent="0.25">
      <c r="K265" s="200"/>
    </row>
    <row r="266" spans="11:11" x14ac:dyDescent="0.25">
      <c r="K266" s="200"/>
    </row>
    <row r="267" spans="11:11" x14ac:dyDescent="0.25">
      <c r="K267" s="200"/>
    </row>
    <row r="268" spans="11:11" x14ac:dyDescent="0.25">
      <c r="K268" s="200"/>
    </row>
    <row r="269" spans="11:11" x14ac:dyDescent="0.25">
      <c r="K269" s="200"/>
    </row>
    <row r="270" spans="11:11" x14ac:dyDescent="0.25">
      <c r="K270" s="200"/>
    </row>
    <row r="271" spans="11:11" x14ac:dyDescent="0.25">
      <c r="K271" s="200"/>
    </row>
    <row r="272" spans="11:11" x14ac:dyDescent="0.25">
      <c r="K272" s="200"/>
    </row>
    <row r="273" spans="11:11" x14ac:dyDescent="0.25">
      <c r="K273" s="200"/>
    </row>
    <row r="274" spans="11:11" x14ac:dyDescent="0.25">
      <c r="K274" s="200"/>
    </row>
    <row r="275" spans="11:11" x14ac:dyDescent="0.25">
      <c r="K275" s="200"/>
    </row>
    <row r="276" spans="11:11" x14ac:dyDescent="0.25">
      <c r="K276" s="200"/>
    </row>
    <row r="277" spans="11:11" x14ac:dyDescent="0.25">
      <c r="K277" s="200"/>
    </row>
    <row r="278" spans="11:11" x14ac:dyDescent="0.25">
      <c r="K278" s="200"/>
    </row>
    <row r="279" spans="11:11" x14ac:dyDescent="0.25">
      <c r="K279" s="200"/>
    </row>
    <row r="280" spans="11:11" x14ac:dyDescent="0.25">
      <c r="K280" s="200"/>
    </row>
    <row r="281" spans="11:11" x14ac:dyDescent="0.25">
      <c r="K281" s="200"/>
    </row>
    <row r="282" spans="11:11" x14ac:dyDescent="0.25">
      <c r="K282" s="200"/>
    </row>
    <row r="283" spans="11:11" x14ac:dyDescent="0.25">
      <c r="K283" s="200"/>
    </row>
    <row r="284" spans="11:11" x14ac:dyDescent="0.25">
      <c r="K284" s="200"/>
    </row>
    <row r="285" spans="11:11" x14ac:dyDescent="0.25">
      <c r="K285" s="200"/>
    </row>
    <row r="286" spans="11:11" x14ac:dyDescent="0.25">
      <c r="K286" s="200"/>
    </row>
    <row r="287" spans="11:11" x14ac:dyDescent="0.25">
      <c r="K287" s="200"/>
    </row>
    <row r="288" spans="11:11" x14ac:dyDescent="0.25">
      <c r="K288" s="200"/>
    </row>
    <row r="289" spans="11:11" x14ac:dyDescent="0.25">
      <c r="K289" s="200"/>
    </row>
    <row r="290" spans="11:11" x14ac:dyDescent="0.25">
      <c r="K290" s="200"/>
    </row>
    <row r="291" spans="11:11" x14ac:dyDescent="0.25">
      <c r="K291" s="200"/>
    </row>
    <row r="292" spans="11:11" x14ac:dyDescent="0.25">
      <c r="K292" s="200"/>
    </row>
    <row r="293" spans="11:11" x14ac:dyDescent="0.25">
      <c r="K293" s="200"/>
    </row>
    <row r="294" spans="11:11" x14ac:dyDescent="0.25">
      <c r="K294" s="200"/>
    </row>
    <row r="295" spans="11:11" x14ac:dyDescent="0.25">
      <c r="K295" s="200"/>
    </row>
    <row r="296" spans="11:11" x14ac:dyDescent="0.25">
      <c r="K296" s="200"/>
    </row>
    <row r="297" spans="11:11" x14ac:dyDescent="0.25">
      <c r="K297" s="200"/>
    </row>
    <row r="298" spans="11:11" x14ac:dyDescent="0.25">
      <c r="K298" s="200"/>
    </row>
    <row r="299" spans="11:11" x14ac:dyDescent="0.25">
      <c r="K299" s="200"/>
    </row>
    <row r="300" spans="11:11" x14ac:dyDescent="0.25">
      <c r="K300" s="200"/>
    </row>
    <row r="301" spans="11:11" x14ac:dyDescent="0.25">
      <c r="K301" s="200"/>
    </row>
    <row r="302" spans="11:11" x14ac:dyDescent="0.25">
      <c r="K302" s="200"/>
    </row>
    <row r="303" spans="11:11" x14ac:dyDescent="0.25">
      <c r="K303" s="200"/>
    </row>
    <row r="304" spans="11:11" x14ac:dyDescent="0.25">
      <c r="K304" s="200"/>
    </row>
    <row r="305" spans="11:11" x14ac:dyDescent="0.25">
      <c r="K305" s="200"/>
    </row>
    <row r="306" spans="11:11" x14ac:dyDescent="0.25">
      <c r="K306" s="200"/>
    </row>
    <row r="307" spans="11:11" x14ac:dyDescent="0.25">
      <c r="K307" s="200"/>
    </row>
    <row r="308" spans="11:11" x14ac:dyDescent="0.25">
      <c r="K308" s="200"/>
    </row>
    <row r="309" spans="11:11" x14ac:dyDescent="0.25">
      <c r="K309" s="200"/>
    </row>
    <row r="310" spans="11:11" x14ac:dyDescent="0.25">
      <c r="K310" s="200"/>
    </row>
    <row r="311" spans="11:11" x14ac:dyDescent="0.25">
      <c r="K311" s="200"/>
    </row>
    <row r="312" spans="11:11" x14ac:dyDescent="0.25">
      <c r="K312" s="200"/>
    </row>
    <row r="313" spans="11:11" x14ac:dyDescent="0.25">
      <c r="K313" s="200"/>
    </row>
    <row r="314" spans="11:11" x14ac:dyDescent="0.25">
      <c r="K314" s="200"/>
    </row>
    <row r="315" spans="11:11" x14ac:dyDescent="0.25">
      <c r="K315" s="200"/>
    </row>
    <row r="316" spans="11:11" x14ac:dyDescent="0.25">
      <c r="K316" s="200"/>
    </row>
    <row r="317" spans="11:11" x14ac:dyDescent="0.25">
      <c r="K317" s="200"/>
    </row>
    <row r="318" spans="11:11" x14ac:dyDescent="0.25">
      <c r="K318" s="200"/>
    </row>
    <row r="319" spans="11:11" x14ac:dyDescent="0.25">
      <c r="K319" s="200"/>
    </row>
    <row r="320" spans="11:11" x14ac:dyDescent="0.25">
      <c r="K320" s="200"/>
    </row>
    <row r="321" spans="11:11" x14ac:dyDescent="0.25">
      <c r="K321" s="200"/>
    </row>
    <row r="322" spans="11:11" x14ac:dyDescent="0.25">
      <c r="K322" s="200"/>
    </row>
    <row r="323" spans="11:11" x14ac:dyDescent="0.25">
      <c r="K323" s="200"/>
    </row>
    <row r="324" spans="11:11" x14ac:dyDescent="0.25">
      <c r="K324" s="200"/>
    </row>
    <row r="325" spans="11:11" x14ac:dyDescent="0.25">
      <c r="K325" s="200"/>
    </row>
    <row r="326" spans="11:11" x14ac:dyDescent="0.25">
      <c r="K326" s="200"/>
    </row>
    <row r="327" spans="11:11" x14ac:dyDescent="0.25">
      <c r="K327" s="200"/>
    </row>
    <row r="328" spans="11:11" x14ac:dyDescent="0.25">
      <c r="K328" s="200"/>
    </row>
    <row r="329" spans="11:11" x14ac:dyDescent="0.25">
      <c r="K329" s="200"/>
    </row>
    <row r="330" spans="11:11" x14ac:dyDescent="0.25">
      <c r="K330" s="200"/>
    </row>
    <row r="331" spans="11:11" x14ac:dyDescent="0.25">
      <c r="K331" s="200"/>
    </row>
    <row r="332" spans="11:11" x14ac:dyDescent="0.25">
      <c r="K332" s="200"/>
    </row>
    <row r="333" spans="11:11" x14ac:dyDescent="0.25">
      <c r="K333" s="200"/>
    </row>
    <row r="334" spans="11:11" x14ac:dyDescent="0.25">
      <c r="K334" s="200"/>
    </row>
    <row r="335" spans="11:11" x14ac:dyDescent="0.25">
      <c r="K335" s="200"/>
    </row>
    <row r="336" spans="11:11" x14ac:dyDescent="0.25">
      <c r="K336" s="200"/>
    </row>
    <row r="337" spans="11:11" x14ac:dyDescent="0.25">
      <c r="K337" s="200"/>
    </row>
    <row r="338" spans="11:11" x14ac:dyDescent="0.25">
      <c r="K338" s="200"/>
    </row>
    <row r="339" spans="11:11" x14ac:dyDescent="0.25">
      <c r="K339" s="200"/>
    </row>
    <row r="340" spans="11:11" x14ac:dyDescent="0.25">
      <c r="K340" s="200"/>
    </row>
    <row r="341" spans="11:11" x14ac:dyDescent="0.25">
      <c r="K341" s="200"/>
    </row>
    <row r="342" spans="11:11" x14ac:dyDescent="0.25">
      <c r="K342" s="200"/>
    </row>
    <row r="343" spans="11:11" x14ac:dyDescent="0.25">
      <c r="K343" s="200"/>
    </row>
    <row r="344" spans="11:11" x14ac:dyDescent="0.25">
      <c r="K344" s="200"/>
    </row>
    <row r="345" spans="11:11" x14ac:dyDescent="0.25">
      <c r="K345" s="200"/>
    </row>
    <row r="346" spans="11:11" x14ac:dyDescent="0.25">
      <c r="K346" s="200"/>
    </row>
    <row r="347" spans="11:11" x14ac:dyDescent="0.25">
      <c r="K347" s="200"/>
    </row>
    <row r="348" spans="11:11" x14ac:dyDescent="0.25">
      <c r="K348" s="200"/>
    </row>
    <row r="349" spans="11:11" x14ac:dyDescent="0.25">
      <c r="K349" s="200"/>
    </row>
    <row r="350" spans="11:11" x14ac:dyDescent="0.25">
      <c r="K350" s="200"/>
    </row>
    <row r="351" spans="11:11" x14ac:dyDescent="0.25">
      <c r="K351" s="200"/>
    </row>
    <row r="352" spans="11:11" x14ac:dyDescent="0.25">
      <c r="K352" s="200"/>
    </row>
    <row r="353" spans="11:11" x14ac:dyDescent="0.25">
      <c r="K353" s="200"/>
    </row>
    <row r="354" spans="11:11" x14ac:dyDescent="0.25">
      <c r="K354" s="200"/>
    </row>
    <row r="355" spans="11:11" x14ac:dyDescent="0.25">
      <c r="K355" s="200"/>
    </row>
    <row r="356" spans="11:11" x14ac:dyDescent="0.25">
      <c r="K356" s="200"/>
    </row>
    <row r="357" spans="11:11" x14ac:dyDescent="0.25">
      <c r="K357" s="200"/>
    </row>
    <row r="358" spans="11:11" x14ac:dyDescent="0.25">
      <c r="K358" s="200"/>
    </row>
    <row r="359" spans="11:11" x14ac:dyDescent="0.25">
      <c r="K359" s="200"/>
    </row>
    <row r="360" spans="11:11" x14ac:dyDescent="0.25">
      <c r="K360" s="200"/>
    </row>
    <row r="361" spans="11:11" x14ac:dyDescent="0.25">
      <c r="K361" s="200"/>
    </row>
    <row r="362" spans="11:11" x14ac:dyDescent="0.25">
      <c r="K362" s="200"/>
    </row>
    <row r="363" spans="11:11" x14ac:dyDescent="0.25">
      <c r="K363" s="200"/>
    </row>
    <row r="364" spans="11:11" x14ac:dyDescent="0.25">
      <c r="K364" s="200"/>
    </row>
    <row r="365" spans="11:11" x14ac:dyDescent="0.25">
      <c r="K365" s="200"/>
    </row>
    <row r="366" spans="11:11" x14ac:dyDescent="0.25">
      <c r="K366" s="200"/>
    </row>
    <row r="367" spans="11:11" x14ac:dyDescent="0.25">
      <c r="K367" s="200"/>
    </row>
    <row r="368" spans="11:11" x14ac:dyDescent="0.25">
      <c r="K368" s="200"/>
    </row>
    <row r="369" spans="11:11" x14ac:dyDescent="0.25">
      <c r="K369" s="200"/>
    </row>
    <row r="370" spans="11:11" x14ac:dyDescent="0.25">
      <c r="K370" s="200"/>
    </row>
    <row r="371" spans="11:11" x14ac:dyDescent="0.25">
      <c r="K371" s="200"/>
    </row>
    <row r="372" spans="11:11" x14ac:dyDescent="0.25">
      <c r="K372" s="200"/>
    </row>
    <row r="373" spans="11:11" x14ac:dyDescent="0.25">
      <c r="K373" s="200"/>
    </row>
    <row r="374" spans="11:11" x14ac:dyDescent="0.25">
      <c r="K374" s="200"/>
    </row>
    <row r="375" spans="11:11" x14ac:dyDescent="0.25">
      <c r="K375" s="200"/>
    </row>
    <row r="376" spans="11:11" x14ac:dyDescent="0.25">
      <c r="K376" s="200"/>
    </row>
    <row r="377" spans="11:11" x14ac:dyDescent="0.25">
      <c r="K377" s="200"/>
    </row>
    <row r="378" spans="11:11" x14ac:dyDescent="0.25">
      <c r="K378" s="200"/>
    </row>
    <row r="379" spans="11:11" x14ac:dyDescent="0.25">
      <c r="K379" s="200"/>
    </row>
    <row r="380" spans="11:11" x14ac:dyDescent="0.25">
      <c r="K380" s="200"/>
    </row>
    <row r="381" spans="11:11" x14ac:dyDescent="0.25">
      <c r="K381" s="200"/>
    </row>
    <row r="382" spans="11:11" x14ac:dyDescent="0.25">
      <c r="K382" s="200"/>
    </row>
    <row r="383" spans="11:11" x14ac:dyDescent="0.25">
      <c r="K383" s="200"/>
    </row>
    <row r="384" spans="11:11" x14ac:dyDescent="0.25">
      <c r="K384" s="200"/>
    </row>
    <row r="385" spans="11:11" x14ac:dyDescent="0.25">
      <c r="K385" s="200"/>
    </row>
    <row r="386" spans="11:11" x14ac:dyDescent="0.25">
      <c r="K386" s="200"/>
    </row>
    <row r="387" spans="11:11" x14ac:dyDescent="0.25">
      <c r="K387" s="200"/>
    </row>
    <row r="388" spans="11:11" x14ac:dyDescent="0.25">
      <c r="K388" s="200"/>
    </row>
    <row r="389" spans="11:11" x14ac:dyDescent="0.25">
      <c r="K389" s="200"/>
    </row>
    <row r="390" spans="11:11" x14ac:dyDescent="0.25">
      <c r="K390" s="200"/>
    </row>
    <row r="391" spans="11:11" x14ac:dyDescent="0.25">
      <c r="K391" s="200"/>
    </row>
    <row r="392" spans="11:11" x14ac:dyDescent="0.25">
      <c r="K392" s="200"/>
    </row>
    <row r="393" spans="11:11" x14ac:dyDescent="0.25">
      <c r="K393" s="200"/>
    </row>
    <row r="394" spans="11:11" x14ac:dyDescent="0.25">
      <c r="K394" s="200"/>
    </row>
    <row r="395" spans="11:11" x14ac:dyDescent="0.25">
      <c r="K395" s="200"/>
    </row>
    <row r="396" spans="11:11" x14ac:dyDescent="0.25">
      <c r="K396" s="200"/>
    </row>
    <row r="397" spans="11:11" x14ac:dyDescent="0.25">
      <c r="K397" s="200"/>
    </row>
    <row r="398" spans="11:11" x14ac:dyDescent="0.25">
      <c r="K398" s="200"/>
    </row>
    <row r="399" spans="11:11" x14ac:dyDescent="0.25">
      <c r="K399" s="200"/>
    </row>
    <row r="400" spans="11:11" x14ac:dyDescent="0.25">
      <c r="K400" s="200"/>
    </row>
    <row r="401" spans="11:11" x14ac:dyDescent="0.25">
      <c r="K401" s="200"/>
    </row>
    <row r="402" spans="11:11" x14ac:dyDescent="0.25">
      <c r="K402" s="200"/>
    </row>
    <row r="403" spans="11:11" x14ac:dyDescent="0.25">
      <c r="K403" s="200"/>
    </row>
    <row r="404" spans="11:11" x14ac:dyDescent="0.25">
      <c r="K404" s="200"/>
    </row>
    <row r="405" spans="11:11" x14ac:dyDescent="0.25">
      <c r="K405" s="200"/>
    </row>
    <row r="406" spans="11:11" x14ac:dyDescent="0.25">
      <c r="K406" s="200"/>
    </row>
    <row r="407" spans="11:11" x14ac:dyDescent="0.25">
      <c r="K407" s="200"/>
    </row>
    <row r="408" spans="11:11" x14ac:dyDescent="0.25">
      <c r="K408" s="200"/>
    </row>
    <row r="409" spans="11:11" x14ac:dyDescent="0.25">
      <c r="K409" s="200"/>
    </row>
    <row r="410" spans="11:11" x14ac:dyDescent="0.25">
      <c r="K410" s="200"/>
    </row>
    <row r="411" spans="11:11" x14ac:dyDescent="0.25">
      <c r="K411" s="200"/>
    </row>
    <row r="412" spans="11:11" x14ac:dyDescent="0.25">
      <c r="K412" s="200"/>
    </row>
    <row r="413" spans="11:11" x14ac:dyDescent="0.25">
      <c r="K413" s="200"/>
    </row>
    <row r="414" spans="11:11" x14ac:dyDescent="0.25">
      <c r="K414" s="200"/>
    </row>
    <row r="415" spans="11:11" x14ac:dyDescent="0.25">
      <c r="K415" s="200"/>
    </row>
    <row r="416" spans="11:11" x14ac:dyDescent="0.25">
      <c r="K416" s="200"/>
    </row>
    <row r="417" spans="11:11" x14ac:dyDescent="0.25">
      <c r="K417" s="200"/>
    </row>
    <row r="418" spans="11:11" x14ac:dyDescent="0.25">
      <c r="K418" s="200"/>
    </row>
    <row r="419" spans="11:11" x14ac:dyDescent="0.25">
      <c r="K419" s="200"/>
    </row>
    <row r="420" spans="11:11" x14ac:dyDescent="0.25">
      <c r="K420" s="200"/>
    </row>
    <row r="421" spans="11:11" x14ac:dyDescent="0.25">
      <c r="K421" s="200"/>
    </row>
    <row r="422" spans="11:11" x14ac:dyDescent="0.25">
      <c r="K422" s="200"/>
    </row>
    <row r="423" spans="11:11" x14ac:dyDescent="0.25">
      <c r="K423" s="200"/>
    </row>
    <row r="424" spans="11:11" x14ac:dyDescent="0.25">
      <c r="K424" s="200"/>
    </row>
    <row r="425" spans="11:11" x14ac:dyDescent="0.25">
      <c r="K425" s="200"/>
    </row>
    <row r="426" spans="11:11" x14ac:dyDescent="0.25">
      <c r="K426" s="200"/>
    </row>
    <row r="427" spans="11:11" x14ac:dyDescent="0.25">
      <c r="K427" s="200"/>
    </row>
    <row r="428" spans="11:11" x14ac:dyDescent="0.25">
      <c r="K428" s="200"/>
    </row>
    <row r="429" spans="11:11" x14ac:dyDescent="0.25">
      <c r="K429" s="200"/>
    </row>
    <row r="430" spans="11:11" x14ac:dyDescent="0.25">
      <c r="K430" s="200"/>
    </row>
    <row r="431" spans="11:11" x14ac:dyDescent="0.25">
      <c r="K431" s="200"/>
    </row>
    <row r="432" spans="11:11" x14ac:dyDescent="0.25">
      <c r="K432" s="200"/>
    </row>
    <row r="433" spans="11:11" x14ac:dyDescent="0.25">
      <c r="K433" s="200"/>
    </row>
    <row r="434" spans="11:11" x14ac:dyDescent="0.25">
      <c r="K434" s="200"/>
    </row>
    <row r="435" spans="11:11" x14ac:dyDescent="0.25">
      <c r="K435" s="200"/>
    </row>
    <row r="436" spans="11:11" x14ac:dyDescent="0.25">
      <c r="K436" s="200"/>
    </row>
    <row r="437" spans="11:11" x14ac:dyDescent="0.25">
      <c r="K437" s="200"/>
    </row>
    <row r="438" spans="11:11" x14ac:dyDescent="0.25">
      <c r="K438" s="200"/>
    </row>
    <row r="439" spans="11:11" x14ac:dyDescent="0.25">
      <c r="K439" s="200"/>
    </row>
    <row r="440" spans="11:11" x14ac:dyDescent="0.25">
      <c r="K440" s="200"/>
    </row>
    <row r="441" spans="11:11" x14ac:dyDescent="0.25">
      <c r="K441" s="200"/>
    </row>
    <row r="442" spans="11:11" x14ac:dyDescent="0.25">
      <c r="K442" s="200"/>
    </row>
    <row r="443" spans="11:11" x14ac:dyDescent="0.25">
      <c r="K443" s="200"/>
    </row>
    <row r="444" spans="11:11" x14ac:dyDescent="0.25">
      <c r="K444" s="200"/>
    </row>
    <row r="445" spans="11:11" x14ac:dyDescent="0.25">
      <c r="K445" s="200"/>
    </row>
    <row r="446" spans="11:11" x14ac:dyDescent="0.25">
      <c r="K446" s="200"/>
    </row>
    <row r="447" spans="11:11" x14ac:dyDescent="0.25">
      <c r="K447" s="200"/>
    </row>
    <row r="448" spans="11:11" x14ac:dyDescent="0.25">
      <c r="K448" s="200"/>
    </row>
    <row r="449" spans="11:11" x14ac:dyDescent="0.25">
      <c r="K449" s="200"/>
    </row>
    <row r="450" spans="11:11" x14ac:dyDescent="0.25">
      <c r="K450" s="200"/>
    </row>
    <row r="451" spans="11:11" x14ac:dyDescent="0.25">
      <c r="K451" s="200"/>
    </row>
    <row r="452" spans="11:11" x14ac:dyDescent="0.25">
      <c r="K452" s="200"/>
    </row>
    <row r="453" spans="11:11" x14ac:dyDescent="0.25">
      <c r="K453" s="200"/>
    </row>
    <row r="454" spans="11:11" x14ac:dyDescent="0.25">
      <c r="K454" s="200"/>
    </row>
    <row r="455" spans="11:11" x14ac:dyDescent="0.25">
      <c r="K455" s="200"/>
    </row>
    <row r="456" spans="11:11" x14ac:dyDescent="0.25">
      <c r="K456" s="200"/>
    </row>
    <row r="457" spans="11:11" x14ac:dyDescent="0.25">
      <c r="K457" s="200"/>
    </row>
    <row r="458" spans="11:11" x14ac:dyDescent="0.25">
      <c r="K458" s="200"/>
    </row>
    <row r="459" spans="11:11" x14ac:dyDescent="0.25">
      <c r="K459" s="200"/>
    </row>
    <row r="460" spans="11:11" x14ac:dyDescent="0.25">
      <c r="K460" s="200"/>
    </row>
    <row r="461" spans="11:11" x14ac:dyDescent="0.25">
      <c r="K461" s="200"/>
    </row>
    <row r="462" spans="11:11" x14ac:dyDescent="0.25">
      <c r="K462" s="200"/>
    </row>
    <row r="463" spans="11:11" x14ac:dyDescent="0.25">
      <c r="K463" s="200"/>
    </row>
    <row r="464" spans="11:11" x14ac:dyDescent="0.25">
      <c r="K464" s="200"/>
    </row>
    <row r="465" spans="11:11" x14ac:dyDescent="0.25">
      <c r="K465" s="200"/>
    </row>
    <row r="466" spans="11:11" x14ac:dyDescent="0.25">
      <c r="K466" s="200"/>
    </row>
    <row r="467" spans="11:11" x14ac:dyDescent="0.25">
      <c r="K467" s="200"/>
    </row>
    <row r="468" spans="11:11" x14ac:dyDescent="0.25">
      <c r="K468" s="200"/>
    </row>
    <row r="469" spans="11:11" x14ac:dyDescent="0.25">
      <c r="K469" s="200"/>
    </row>
    <row r="470" spans="11:11" x14ac:dyDescent="0.25">
      <c r="K470" s="200"/>
    </row>
    <row r="471" spans="11:11" x14ac:dyDescent="0.25">
      <c r="K471" s="200"/>
    </row>
    <row r="472" spans="11:11" x14ac:dyDescent="0.25">
      <c r="K472" s="200"/>
    </row>
    <row r="473" spans="11:11" x14ac:dyDescent="0.25">
      <c r="K473" s="200"/>
    </row>
    <row r="474" spans="11:11" x14ac:dyDescent="0.25">
      <c r="K474" s="200"/>
    </row>
    <row r="475" spans="11:11" x14ac:dyDescent="0.25">
      <c r="K475" s="200"/>
    </row>
    <row r="476" spans="11:11" x14ac:dyDescent="0.25">
      <c r="K476" s="200"/>
    </row>
    <row r="477" spans="11:11" x14ac:dyDescent="0.25">
      <c r="K477" s="200"/>
    </row>
    <row r="478" spans="11:11" x14ac:dyDescent="0.25">
      <c r="K478" s="200"/>
    </row>
    <row r="479" spans="11:11" x14ac:dyDescent="0.25">
      <c r="K479" s="200"/>
    </row>
    <row r="480" spans="11:11" x14ac:dyDescent="0.25">
      <c r="K480" s="200"/>
    </row>
    <row r="481" spans="11:11" x14ac:dyDescent="0.25">
      <c r="K481" s="200"/>
    </row>
    <row r="482" spans="11:11" x14ac:dyDescent="0.25">
      <c r="K482" s="200"/>
    </row>
    <row r="483" spans="11:11" x14ac:dyDescent="0.25">
      <c r="K483" s="200"/>
    </row>
    <row r="484" spans="11:11" x14ac:dyDescent="0.25">
      <c r="K484" s="200"/>
    </row>
    <row r="485" spans="11:11" x14ac:dyDescent="0.25">
      <c r="K485" s="200"/>
    </row>
    <row r="486" spans="11:11" x14ac:dyDescent="0.25">
      <c r="K486" s="200"/>
    </row>
    <row r="487" spans="11:11" x14ac:dyDescent="0.25">
      <c r="K487" s="200"/>
    </row>
    <row r="488" spans="11:11" x14ac:dyDescent="0.25">
      <c r="K488" s="200"/>
    </row>
    <row r="489" spans="11:11" x14ac:dyDescent="0.25">
      <c r="K489" s="200"/>
    </row>
    <row r="490" spans="11:11" x14ac:dyDescent="0.25">
      <c r="K490" s="200"/>
    </row>
    <row r="491" spans="11:11" x14ac:dyDescent="0.25">
      <c r="K491" s="200"/>
    </row>
    <row r="492" spans="11:11" x14ac:dyDescent="0.25">
      <c r="K492" s="200"/>
    </row>
    <row r="493" spans="11:11" x14ac:dyDescent="0.25">
      <c r="K493" s="200"/>
    </row>
    <row r="494" spans="11:11" x14ac:dyDescent="0.25">
      <c r="K494" s="200"/>
    </row>
    <row r="495" spans="11:11" x14ac:dyDescent="0.25">
      <c r="K495" s="200"/>
    </row>
    <row r="496" spans="11:11" x14ac:dyDescent="0.25">
      <c r="K496" s="200"/>
    </row>
    <row r="497" spans="11:11" x14ac:dyDescent="0.25">
      <c r="K497" s="200"/>
    </row>
    <row r="498" spans="11:11" x14ac:dyDescent="0.25">
      <c r="K498" s="200"/>
    </row>
    <row r="499" spans="11:11" x14ac:dyDescent="0.25">
      <c r="K499" s="200"/>
    </row>
    <row r="500" spans="11:11" x14ac:dyDescent="0.25">
      <c r="K500" s="200"/>
    </row>
    <row r="501" spans="11:11" x14ac:dyDescent="0.25">
      <c r="K501" s="200"/>
    </row>
    <row r="502" spans="11:11" x14ac:dyDescent="0.25">
      <c r="K502" s="200"/>
    </row>
    <row r="503" spans="11:11" x14ac:dyDescent="0.25">
      <c r="K503" s="200"/>
    </row>
    <row r="504" spans="11:11" x14ac:dyDescent="0.25">
      <c r="K504" s="200"/>
    </row>
    <row r="505" spans="11:11" x14ac:dyDescent="0.25">
      <c r="K505" s="200"/>
    </row>
    <row r="506" spans="11:11" x14ac:dyDescent="0.25">
      <c r="K506" s="200"/>
    </row>
    <row r="507" spans="11:11" x14ac:dyDescent="0.25">
      <c r="K507" s="200"/>
    </row>
    <row r="508" spans="11:11" x14ac:dyDescent="0.25">
      <c r="K508" s="200"/>
    </row>
    <row r="509" spans="11:11" x14ac:dyDescent="0.25">
      <c r="K509" s="200"/>
    </row>
    <row r="510" spans="11:11" x14ac:dyDescent="0.25">
      <c r="K510" s="200"/>
    </row>
    <row r="511" spans="11:11" x14ac:dyDescent="0.25">
      <c r="K511" s="200"/>
    </row>
    <row r="512" spans="11:11" x14ac:dyDescent="0.25">
      <c r="K512" s="200"/>
    </row>
    <row r="513" spans="11:11" x14ac:dyDescent="0.25">
      <c r="K513" s="200"/>
    </row>
    <row r="514" spans="11:11" x14ac:dyDescent="0.25">
      <c r="K514" s="200"/>
    </row>
    <row r="515" spans="11:11" x14ac:dyDescent="0.25">
      <c r="K515" s="200"/>
    </row>
    <row r="516" spans="11:11" x14ac:dyDescent="0.25">
      <c r="K516" s="200"/>
    </row>
    <row r="517" spans="11:11" x14ac:dyDescent="0.25">
      <c r="K517" s="200"/>
    </row>
    <row r="518" spans="11:11" x14ac:dyDescent="0.25">
      <c r="K518" s="200"/>
    </row>
    <row r="519" spans="11:11" x14ac:dyDescent="0.25">
      <c r="K519" s="200"/>
    </row>
    <row r="520" spans="11:11" x14ac:dyDescent="0.25">
      <c r="K520" s="200"/>
    </row>
    <row r="521" spans="11:11" x14ac:dyDescent="0.25">
      <c r="K521" s="200"/>
    </row>
    <row r="522" spans="11:11" x14ac:dyDescent="0.25">
      <c r="K522" s="200"/>
    </row>
    <row r="523" spans="11:11" x14ac:dyDescent="0.25">
      <c r="K523" s="200"/>
    </row>
    <row r="524" spans="11:11" x14ac:dyDescent="0.25">
      <c r="K524" s="200"/>
    </row>
    <row r="525" spans="11:11" x14ac:dyDescent="0.25">
      <c r="K525" s="200"/>
    </row>
    <row r="526" spans="11:11" x14ac:dyDescent="0.25">
      <c r="K526" s="200"/>
    </row>
    <row r="527" spans="11:11" x14ac:dyDescent="0.25">
      <c r="K527" s="200"/>
    </row>
    <row r="528" spans="11:11" x14ac:dyDescent="0.25">
      <c r="K528" s="200"/>
    </row>
    <row r="529" spans="11:11" x14ac:dyDescent="0.25">
      <c r="K529" s="200"/>
    </row>
    <row r="530" spans="11:11" x14ac:dyDescent="0.25">
      <c r="K530" s="200"/>
    </row>
    <row r="531" spans="11:11" x14ac:dyDescent="0.25">
      <c r="K531" s="200"/>
    </row>
    <row r="532" spans="11:11" x14ac:dyDescent="0.25">
      <c r="K532" s="200"/>
    </row>
    <row r="533" spans="11:11" x14ac:dyDescent="0.25">
      <c r="K533" s="200"/>
    </row>
    <row r="534" spans="11:11" x14ac:dyDescent="0.25">
      <c r="K534" s="200"/>
    </row>
    <row r="535" spans="11:11" x14ac:dyDescent="0.25">
      <c r="K535" s="200"/>
    </row>
    <row r="536" spans="11:11" x14ac:dyDescent="0.25">
      <c r="K536" s="200"/>
    </row>
    <row r="537" spans="11:11" x14ac:dyDescent="0.25">
      <c r="K537" s="200"/>
    </row>
    <row r="538" spans="11:11" x14ac:dyDescent="0.25">
      <c r="K538" s="200"/>
    </row>
    <row r="539" spans="11:11" x14ac:dyDescent="0.25">
      <c r="K539" s="200"/>
    </row>
    <row r="540" spans="11:11" x14ac:dyDescent="0.25">
      <c r="K540" s="200"/>
    </row>
    <row r="541" spans="11:11" x14ac:dyDescent="0.25">
      <c r="K541" s="200"/>
    </row>
    <row r="542" spans="11:11" x14ac:dyDescent="0.25">
      <c r="K542" s="200"/>
    </row>
    <row r="543" spans="11:11" x14ac:dyDescent="0.25">
      <c r="K543" s="200"/>
    </row>
    <row r="544" spans="11:11" x14ac:dyDescent="0.25">
      <c r="K544" s="200"/>
    </row>
    <row r="545" spans="11:11" x14ac:dyDescent="0.25">
      <c r="K545" s="200"/>
    </row>
    <row r="546" spans="11:11" x14ac:dyDescent="0.25">
      <c r="K546" s="200"/>
    </row>
    <row r="547" spans="11:11" x14ac:dyDescent="0.25">
      <c r="K547" s="200"/>
    </row>
    <row r="548" spans="11:11" x14ac:dyDescent="0.25">
      <c r="K548" s="200"/>
    </row>
    <row r="549" spans="11:11" x14ac:dyDescent="0.25">
      <c r="K549" s="200"/>
    </row>
    <row r="550" spans="11:11" x14ac:dyDescent="0.25">
      <c r="K550" s="200"/>
    </row>
    <row r="551" spans="11:11" x14ac:dyDescent="0.25">
      <c r="K551" s="200"/>
    </row>
    <row r="552" spans="11:11" x14ac:dyDescent="0.25">
      <c r="K552" s="200"/>
    </row>
    <row r="553" spans="11:11" x14ac:dyDescent="0.25">
      <c r="K553" s="200"/>
    </row>
    <row r="554" spans="11:11" x14ac:dyDescent="0.25">
      <c r="K554" s="200"/>
    </row>
    <row r="555" spans="11:11" x14ac:dyDescent="0.25">
      <c r="K555" s="200"/>
    </row>
    <row r="556" spans="11:11" x14ac:dyDescent="0.25">
      <c r="K556" s="200"/>
    </row>
    <row r="557" spans="11:11" x14ac:dyDescent="0.25">
      <c r="K557" s="200"/>
    </row>
    <row r="558" spans="11:11" x14ac:dyDescent="0.25">
      <c r="K558" s="200"/>
    </row>
    <row r="559" spans="11:11" x14ac:dyDescent="0.25">
      <c r="K559" s="200"/>
    </row>
    <row r="560" spans="11:11" x14ac:dyDescent="0.25">
      <c r="K560" s="200"/>
    </row>
    <row r="561" spans="11:11" x14ac:dyDescent="0.25">
      <c r="K561" s="200"/>
    </row>
    <row r="562" spans="11:11" x14ac:dyDescent="0.25">
      <c r="K562" s="200"/>
    </row>
    <row r="563" spans="11:11" x14ac:dyDescent="0.25">
      <c r="K563" s="200"/>
    </row>
    <row r="564" spans="11:11" x14ac:dyDescent="0.25">
      <c r="K564" s="200"/>
    </row>
    <row r="565" spans="11:11" x14ac:dyDescent="0.25">
      <c r="K565" s="200"/>
    </row>
    <row r="566" spans="11:11" x14ac:dyDescent="0.25">
      <c r="K566" s="200"/>
    </row>
    <row r="567" spans="11:11" x14ac:dyDescent="0.25">
      <c r="K567" s="200"/>
    </row>
    <row r="568" spans="11:11" x14ac:dyDescent="0.25">
      <c r="K568" s="200"/>
    </row>
    <row r="569" spans="11:11" x14ac:dyDescent="0.25">
      <c r="K569" s="200"/>
    </row>
    <row r="570" spans="11:11" x14ac:dyDescent="0.25">
      <c r="K570" s="200"/>
    </row>
    <row r="571" spans="11:11" x14ac:dyDescent="0.25">
      <c r="K571" s="200"/>
    </row>
    <row r="572" spans="11:11" x14ac:dyDescent="0.25">
      <c r="K572" s="200"/>
    </row>
    <row r="573" spans="11:11" x14ac:dyDescent="0.25">
      <c r="K573" s="200"/>
    </row>
    <row r="574" spans="11:11" x14ac:dyDescent="0.25">
      <c r="K574" s="200"/>
    </row>
    <row r="575" spans="11:11" x14ac:dyDescent="0.25">
      <c r="K575" s="200"/>
    </row>
    <row r="576" spans="11:11" x14ac:dyDescent="0.25">
      <c r="K576" s="200"/>
    </row>
    <row r="577" spans="11:11" x14ac:dyDescent="0.25">
      <c r="K577" s="200"/>
    </row>
    <row r="578" spans="11:11" x14ac:dyDescent="0.25">
      <c r="K578" s="200"/>
    </row>
    <row r="579" spans="11:11" x14ac:dyDescent="0.25">
      <c r="K579" s="200"/>
    </row>
    <row r="580" spans="11:11" x14ac:dyDescent="0.25">
      <c r="K580" s="200"/>
    </row>
    <row r="581" spans="11:11" x14ac:dyDescent="0.25">
      <c r="K581" s="200"/>
    </row>
    <row r="582" spans="11:11" x14ac:dyDescent="0.25">
      <c r="K582" s="200"/>
    </row>
    <row r="583" spans="11:11" x14ac:dyDescent="0.25">
      <c r="K583" s="200"/>
    </row>
    <row r="584" spans="11:11" x14ac:dyDescent="0.25">
      <c r="K584" s="200"/>
    </row>
    <row r="585" spans="11:11" x14ac:dyDescent="0.25">
      <c r="K585" s="200"/>
    </row>
    <row r="586" spans="11:11" x14ac:dyDescent="0.25">
      <c r="K586" s="200"/>
    </row>
    <row r="587" spans="11:11" x14ac:dyDescent="0.25">
      <c r="K587" s="200"/>
    </row>
    <row r="588" spans="11:11" x14ac:dyDescent="0.25">
      <c r="K588" s="200"/>
    </row>
    <row r="589" spans="11:11" x14ac:dyDescent="0.25">
      <c r="K589" s="200"/>
    </row>
    <row r="590" spans="11:11" x14ac:dyDescent="0.25">
      <c r="K590" s="200"/>
    </row>
    <row r="591" spans="11:11" x14ac:dyDescent="0.25">
      <c r="K591" s="200"/>
    </row>
    <row r="592" spans="11:11" x14ac:dyDescent="0.25">
      <c r="K592" s="200"/>
    </row>
    <row r="593" spans="11:11" x14ac:dyDescent="0.25">
      <c r="K593" s="200"/>
    </row>
    <row r="594" spans="11:11" x14ac:dyDescent="0.25">
      <c r="K594" s="200"/>
    </row>
    <row r="595" spans="11:11" x14ac:dyDescent="0.25">
      <c r="K595" s="200"/>
    </row>
    <row r="596" spans="11:11" x14ac:dyDescent="0.25">
      <c r="K596" s="200"/>
    </row>
    <row r="597" spans="11:11" x14ac:dyDescent="0.25">
      <c r="K597" s="200"/>
    </row>
    <row r="598" spans="11:11" x14ac:dyDescent="0.25">
      <c r="K598" s="200"/>
    </row>
    <row r="599" spans="11:11" x14ac:dyDescent="0.25">
      <c r="K599" s="200"/>
    </row>
    <row r="600" spans="11:11" x14ac:dyDescent="0.25">
      <c r="K600" s="200"/>
    </row>
    <row r="601" spans="11:11" x14ac:dyDescent="0.25">
      <c r="K601" s="200"/>
    </row>
    <row r="602" spans="11:11" x14ac:dyDescent="0.25">
      <c r="K602" s="200"/>
    </row>
    <row r="603" spans="11:11" x14ac:dyDescent="0.25">
      <c r="K603" s="200"/>
    </row>
    <row r="604" spans="11:11" x14ac:dyDescent="0.25">
      <c r="K604" s="200"/>
    </row>
    <row r="605" spans="11:11" x14ac:dyDescent="0.25">
      <c r="K605" s="200"/>
    </row>
    <row r="606" spans="11:11" x14ac:dyDescent="0.25">
      <c r="K606" s="200"/>
    </row>
    <row r="607" spans="11:11" x14ac:dyDescent="0.25">
      <c r="K607" s="200"/>
    </row>
    <row r="608" spans="11:11" x14ac:dyDescent="0.25">
      <c r="K608" s="200"/>
    </row>
    <row r="609" spans="11:11" x14ac:dyDescent="0.25">
      <c r="K609" s="200"/>
    </row>
    <row r="610" spans="11:11" x14ac:dyDescent="0.25">
      <c r="K610" s="200"/>
    </row>
    <row r="611" spans="11:11" x14ac:dyDescent="0.25">
      <c r="K611" s="200"/>
    </row>
    <row r="612" spans="11:11" x14ac:dyDescent="0.25">
      <c r="K612" s="200"/>
    </row>
    <row r="613" spans="11:11" x14ac:dyDescent="0.25">
      <c r="K613" s="200"/>
    </row>
    <row r="614" spans="11:11" x14ac:dyDescent="0.25">
      <c r="K614" s="200"/>
    </row>
    <row r="615" spans="11:11" x14ac:dyDescent="0.25">
      <c r="K615" s="200"/>
    </row>
    <row r="616" spans="11:11" x14ac:dyDescent="0.25">
      <c r="K616" s="200"/>
    </row>
    <row r="617" spans="11:11" x14ac:dyDescent="0.25">
      <c r="K617" s="200"/>
    </row>
    <row r="618" spans="11:11" x14ac:dyDescent="0.25">
      <c r="K618" s="200"/>
    </row>
    <row r="619" spans="11:11" x14ac:dyDescent="0.25">
      <c r="K619" s="200"/>
    </row>
    <row r="620" spans="11:11" x14ac:dyDescent="0.25">
      <c r="K620" s="200"/>
    </row>
    <row r="621" spans="11:11" x14ac:dyDescent="0.25">
      <c r="K621" s="200"/>
    </row>
    <row r="622" spans="11:11" x14ac:dyDescent="0.25">
      <c r="K622" s="200"/>
    </row>
    <row r="623" spans="11:11" x14ac:dyDescent="0.25">
      <c r="K623" s="200"/>
    </row>
    <row r="624" spans="11:11" x14ac:dyDescent="0.25">
      <c r="K624" s="200"/>
    </row>
    <row r="625" spans="11:11" x14ac:dyDescent="0.25">
      <c r="K625" s="200"/>
    </row>
    <row r="626" spans="11:11" x14ac:dyDescent="0.25">
      <c r="K626" s="200"/>
    </row>
    <row r="627" spans="11:11" x14ac:dyDescent="0.25">
      <c r="K627" s="200"/>
    </row>
    <row r="628" spans="11:11" x14ac:dyDescent="0.25">
      <c r="K628" s="200"/>
    </row>
    <row r="629" spans="11:11" x14ac:dyDescent="0.25">
      <c r="K629" s="200"/>
    </row>
    <row r="630" spans="11:11" x14ac:dyDescent="0.25">
      <c r="K630" s="200"/>
    </row>
    <row r="631" spans="11:11" x14ac:dyDescent="0.25">
      <c r="K631" s="200"/>
    </row>
    <row r="632" spans="11:11" x14ac:dyDescent="0.25">
      <c r="K632" s="200"/>
    </row>
    <row r="633" spans="11:11" x14ac:dyDescent="0.25">
      <c r="K633" s="200"/>
    </row>
    <row r="634" spans="11:11" x14ac:dyDescent="0.25">
      <c r="K634" s="200"/>
    </row>
    <row r="635" spans="11:11" x14ac:dyDescent="0.25">
      <c r="K635" s="200"/>
    </row>
    <row r="636" spans="11:11" x14ac:dyDescent="0.25">
      <c r="K636" s="200"/>
    </row>
    <row r="637" spans="11:11" x14ac:dyDescent="0.25">
      <c r="K637" s="200"/>
    </row>
    <row r="638" spans="11:11" x14ac:dyDescent="0.25">
      <c r="K638" s="200"/>
    </row>
    <row r="639" spans="11:11" x14ac:dyDescent="0.25">
      <c r="K639" s="200"/>
    </row>
    <row r="640" spans="11:11" x14ac:dyDescent="0.25">
      <c r="K640" s="200"/>
    </row>
    <row r="641" spans="11:11" x14ac:dyDescent="0.25">
      <c r="K641" s="200"/>
    </row>
    <row r="642" spans="11:11" x14ac:dyDescent="0.25">
      <c r="K642" s="200"/>
    </row>
    <row r="643" spans="11:11" x14ac:dyDescent="0.25">
      <c r="K643" s="200"/>
    </row>
    <row r="644" spans="11:11" x14ac:dyDescent="0.25">
      <c r="K644" s="200"/>
    </row>
    <row r="645" spans="11:11" x14ac:dyDescent="0.25">
      <c r="K645" s="200"/>
    </row>
    <row r="646" spans="11:11" x14ac:dyDescent="0.25">
      <c r="K646" s="200"/>
    </row>
    <row r="647" spans="11:11" x14ac:dyDescent="0.25">
      <c r="K647" s="200"/>
    </row>
    <row r="648" spans="11:11" x14ac:dyDescent="0.25">
      <c r="K648" s="200"/>
    </row>
    <row r="649" spans="11:11" x14ac:dyDescent="0.25">
      <c r="K649" s="200"/>
    </row>
    <row r="650" spans="11:11" x14ac:dyDescent="0.25">
      <c r="K650" s="200"/>
    </row>
    <row r="651" spans="11:11" x14ac:dyDescent="0.25">
      <c r="K651" s="200"/>
    </row>
    <row r="652" spans="11:11" x14ac:dyDescent="0.25">
      <c r="K652" s="200"/>
    </row>
    <row r="653" spans="11:11" x14ac:dyDescent="0.25">
      <c r="K653" s="200"/>
    </row>
    <row r="654" spans="11:11" x14ac:dyDescent="0.25">
      <c r="K654" s="200"/>
    </row>
    <row r="655" spans="11:11" x14ac:dyDescent="0.25">
      <c r="K655" s="200"/>
    </row>
    <row r="656" spans="11:11" x14ac:dyDescent="0.25">
      <c r="K656" s="200"/>
    </row>
    <row r="657" spans="11:11" x14ac:dyDescent="0.25">
      <c r="K657" s="200"/>
    </row>
    <row r="658" spans="11:11" x14ac:dyDescent="0.25">
      <c r="K658" s="200"/>
    </row>
    <row r="659" spans="11:11" x14ac:dyDescent="0.25">
      <c r="K659" s="200"/>
    </row>
    <row r="660" spans="11:11" x14ac:dyDescent="0.25">
      <c r="K660" s="200"/>
    </row>
    <row r="661" spans="11:11" x14ac:dyDescent="0.25">
      <c r="K661" s="200"/>
    </row>
    <row r="662" spans="11:11" x14ac:dyDescent="0.25">
      <c r="K662" s="200"/>
    </row>
    <row r="663" spans="11:11" x14ac:dyDescent="0.25">
      <c r="K663" s="200"/>
    </row>
    <row r="664" spans="11:11" x14ac:dyDescent="0.25">
      <c r="K664" s="200"/>
    </row>
    <row r="665" spans="11:11" x14ac:dyDescent="0.25">
      <c r="K665" s="200"/>
    </row>
    <row r="666" spans="11:11" x14ac:dyDescent="0.25">
      <c r="K666" s="200"/>
    </row>
    <row r="667" spans="11:11" x14ac:dyDescent="0.25">
      <c r="K667" s="200"/>
    </row>
    <row r="668" spans="11:11" x14ac:dyDescent="0.25">
      <c r="K668" s="200"/>
    </row>
    <row r="669" spans="11:11" x14ac:dyDescent="0.25">
      <c r="K669" s="200"/>
    </row>
    <row r="670" spans="11:11" x14ac:dyDescent="0.25">
      <c r="K670" s="200"/>
    </row>
    <row r="671" spans="11:11" x14ac:dyDescent="0.25">
      <c r="K671" s="200"/>
    </row>
    <row r="672" spans="11:11" x14ac:dyDescent="0.25">
      <c r="K672" s="200"/>
    </row>
    <row r="673" spans="11:11" x14ac:dyDescent="0.25">
      <c r="K673" s="200"/>
    </row>
    <row r="674" spans="11:11" x14ac:dyDescent="0.25">
      <c r="K674" s="200"/>
    </row>
    <row r="675" spans="11:11" x14ac:dyDescent="0.25">
      <c r="K675" s="200"/>
    </row>
    <row r="676" spans="11:11" x14ac:dyDescent="0.25">
      <c r="K676" s="200"/>
    </row>
    <row r="677" spans="11:11" x14ac:dyDescent="0.25">
      <c r="K677" s="200"/>
    </row>
    <row r="678" spans="11:11" x14ac:dyDescent="0.25">
      <c r="K678" s="200"/>
    </row>
    <row r="679" spans="11:11" x14ac:dyDescent="0.25">
      <c r="K679" s="200"/>
    </row>
    <row r="680" spans="11:11" x14ac:dyDescent="0.25">
      <c r="K680" s="200"/>
    </row>
    <row r="681" spans="11:11" x14ac:dyDescent="0.25">
      <c r="K681" s="200"/>
    </row>
    <row r="682" spans="11:11" x14ac:dyDescent="0.25">
      <c r="K682" s="200"/>
    </row>
    <row r="683" spans="11:11" x14ac:dyDescent="0.25">
      <c r="K683" s="200"/>
    </row>
    <row r="684" spans="11:11" x14ac:dyDescent="0.25">
      <c r="K684" s="200"/>
    </row>
    <row r="685" spans="11:11" x14ac:dyDescent="0.25">
      <c r="K685" s="200"/>
    </row>
    <row r="686" spans="11:11" x14ac:dyDescent="0.25">
      <c r="K686" s="200"/>
    </row>
    <row r="687" spans="11:11" x14ac:dyDescent="0.25">
      <c r="K687" s="200"/>
    </row>
    <row r="688" spans="11:11" x14ac:dyDescent="0.25">
      <c r="K688" s="200"/>
    </row>
    <row r="689" spans="11:11" x14ac:dyDescent="0.25">
      <c r="K689" s="200"/>
    </row>
    <row r="690" spans="11:11" x14ac:dyDescent="0.25">
      <c r="K690" s="200"/>
    </row>
    <row r="691" spans="11:11" x14ac:dyDescent="0.25">
      <c r="K691" s="200"/>
    </row>
    <row r="692" spans="11:11" x14ac:dyDescent="0.25">
      <c r="K692" s="200"/>
    </row>
    <row r="693" spans="11:11" x14ac:dyDescent="0.25">
      <c r="K693" s="200"/>
    </row>
    <row r="694" spans="11:11" x14ac:dyDescent="0.25">
      <c r="K694" s="200"/>
    </row>
    <row r="695" spans="11:11" x14ac:dyDescent="0.25">
      <c r="K695" s="200"/>
    </row>
    <row r="696" spans="11:11" x14ac:dyDescent="0.25">
      <c r="K696" s="200"/>
    </row>
    <row r="697" spans="11:11" x14ac:dyDescent="0.25">
      <c r="K697" s="200"/>
    </row>
    <row r="698" spans="11:11" x14ac:dyDescent="0.25">
      <c r="K698" s="200"/>
    </row>
    <row r="699" spans="11:11" x14ac:dyDescent="0.25">
      <c r="K699" s="200"/>
    </row>
    <row r="700" spans="11:11" x14ac:dyDescent="0.25">
      <c r="K700" s="200"/>
    </row>
    <row r="701" spans="11:11" x14ac:dyDescent="0.25">
      <c r="K701" s="200"/>
    </row>
    <row r="702" spans="11:11" x14ac:dyDescent="0.25">
      <c r="K702" s="200"/>
    </row>
    <row r="703" spans="11:11" x14ac:dyDescent="0.25">
      <c r="K703" s="200"/>
    </row>
    <row r="704" spans="11:11" x14ac:dyDescent="0.25">
      <c r="K704" s="200"/>
    </row>
    <row r="705" spans="11:11" x14ac:dyDescent="0.25">
      <c r="K705" s="200"/>
    </row>
    <row r="706" spans="11:11" x14ac:dyDescent="0.25">
      <c r="K706" s="200"/>
    </row>
    <row r="707" spans="11:11" x14ac:dyDescent="0.25">
      <c r="K707" s="200"/>
    </row>
    <row r="708" spans="11:11" x14ac:dyDescent="0.25">
      <c r="K708" s="200"/>
    </row>
    <row r="709" spans="11:11" x14ac:dyDescent="0.25">
      <c r="K709" s="200"/>
    </row>
    <row r="710" spans="11:11" x14ac:dyDescent="0.25">
      <c r="K710" s="200"/>
    </row>
    <row r="711" spans="11:11" x14ac:dyDescent="0.25">
      <c r="K711" s="200"/>
    </row>
    <row r="712" spans="11:11" x14ac:dyDescent="0.25">
      <c r="K712" s="200"/>
    </row>
    <row r="713" spans="11:11" x14ac:dyDescent="0.25">
      <c r="K713" s="200"/>
    </row>
    <row r="714" spans="11:11" x14ac:dyDescent="0.25">
      <c r="K714" s="200"/>
    </row>
    <row r="715" spans="11:11" x14ac:dyDescent="0.25">
      <c r="K715" s="200"/>
    </row>
    <row r="716" spans="11:11" x14ac:dyDescent="0.25">
      <c r="K716" s="200"/>
    </row>
    <row r="717" spans="11:11" x14ac:dyDescent="0.25">
      <c r="K717" s="200"/>
    </row>
    <row r="718" spans="11:11" x14ac:dyDescent="0.25">
      <c r="K718" s="200"/>
    </row>
    <row r="719" spans="11:11" x14ac:dyDescent="0.25">
      <c r="K719" s="200"/>
    </row>
    <row r="720" spans="11:11" x14ac:dyDescent="0.25">
      <c r="K720" s="200"/>
    </row>
    <row r="721" spans="11:11" x14ac:dyDescent="0.25">
      <c r="K721" s="200"/>
    </row>
    <row r="722" spans="11:11" x14ac:dyDescent="0.25">
      <c r="K722" s="200"/>
    </row>
    <row r="723" spans="11:11" x14ac:dyDescent="0.25">
      <c r="K723" s="200"/>
    </row>
    <row r="724" spans="11:11" x14ac:dyDescent="0.25">
      <c r="K724" s="200"/>
    </row>
    <row r="725" spans="11:11" x14ac:dyDescent="0.25">
      <c r="K725" s="200"/>
    </row>
    <row r="726" spans="11:11" x14ac:dyDescent="0.25">
      <c r="K726" s="200"/>
    </row>
    <row r="727" spans="11:11" x14ac:dyDescent="0.25">
      <c r="K727" s="200"/>
    </row>
    <row r="728" spans="11:11" x14ac:dyDescent="0.25">
      <c r="K728" s="200"/>
    </row>
    <row r="729" spans="11:11" x14ac:dyDescent="0.25">
      <c r="K729" s="200"/>
    </row>
    <row r="730" spans="11:11" x14ac:dyDescent="0.25">
      <c r="K730" s="200"/>
    </row>
    <row r="731" spans="11:11" x14ac:dyDescent="0.25">
      <c r="K731" s="200"/>
    </row>
    <row r="732" spans="11:11" x14ac:dyDescent="0.25">
      <c r="K732" s="200"/>
    </row>
    <row r="733" spans="11:11" x14ac:dyDescent="0.25">
      <c r="K733" s="200"/>
    </row>
    <row r="734" spans="11:11" x14ac:dyDescent="0.25">
      <c r="K734" s="200"/>
    </row>
    <row r="735" spans="11:11" x14ac:dyDescent="0.25">
      <c r="K735" s="200"/>
    </row>
    <row r="736" spans="11:11" x14ac:dyDescent="0.25">
      <c r="K736" s="200"/>
    </row>
    <row r="737" spans="11:11" x14ac:dyDescent="0.25">
      <c r="K737" s="200"/>
    </row>
    <row r="738" spans="11:11" x14ac:dyDescent="0.25">
      <c r="K738" s="200"/>
    </row>
    <row r="739" spans="11:11" x14ac:dyDescent="0.25">
      <c r="K739" s="200"/>
    </row>
    <row r="740" spans="11:11" x14ac:dyDescent="0.25">
      <c r="K740" s="200"/>
    </row>
    <row r="741" spans="11:11" x14ac:dyDescent="0.25">
      <c r="K741" s="200"/>
    </row>
    <row r="742" spans="11:11" x14ac:dyDescent="0.25">
      <c r="K742" s="200"/>
    </row>
    <row r="743" spans="11:11" x14ac:dyDescent="0.25">
      <c r="K743" s="200"/>
    </row>
    <row r="744" spans="11:11" x14ac:dyDescent="0.25">
      <c r="K744" s="200"/>
    </row>
    <row r="745" spans="11:11" x14ac:dyDescent="0.25">
      <c r="K745" s="200"/>
    </row>
    <row r="746" spans="11:11" x14ac:dyDescent="0.25">
      <c r="K746" s="200"/>
    </row>
    <row r="747" spans="11:11" x14ac:dyDescent="0.25">
      <c r="K747" s="200"/>
    </row>
    <row r="748" spans="11:11" x14ac:dyDescent="0.25">
      <c r="K748" s="200"/>
    </row>
    <row r="749" spans="11:11" x14ac:dyDescent="0.25">
      <c r="K749" s="200"/>
    </row>
    <row r="750" spans="11:11" x14ac:dyDescent="0.25">
      <c r="K750" s="200"/>
    </row>
    <row r="751" spans="11:11" x14ac:dyDescent="0.25">
      <c r="K751" s="200"/>
    </row>
    <row r="752" spans="11:11" x14ac:dyDescent="0.25">
      <c r="K752" s="200"/>
    </row>
    <row r="753" spans="11:11" x14ac:dyDescent="0.25">
      <c r="K753" s="200"/>
    </row>
    <row r="754" spans="11:11" x14ac:dyDescent="0.25">
      <c r="K754" s="200"/>
    </row>
    <row r="755" spans="11:11" x14ac:dyDescent="0.25">
      <c r="K755" s="200"/>
    </row>
    <row r="756" spans="11:11" x14ac:dyDescent="0.25">
      <c r="K756" s="200"/>
    </row>
    <row r="757" spans="11:11" x14ac:dyDescent="0.25">
      <c r="K757" s="200"/>
    </row>
    <row r="758" spans="11:11" x14ac:dyDescent="0.25">
      <c r="K758" s="200"/>
    </row>
    <row r="759" spans="11:11" x14ac:dyDescent="0.25">
      <c r="K759" s="200"/>
    </row>
    <row r="760" spans="11:11" x14ac:dyDescent="0.25">
      <c r="K760" s="200"/>
    </row>
    <row r="761" spans="11:11" x14ac:dyDescent="0.25">
      <c r="K761" s="200"/>
    </row>
    <row r="762" spans="11:11" x14ac:dyDescent="0.25">
      <c r="K762" s="200"/>
    </row>
    <row r="763" spans="11:11" x14ac:dyDescent="0.25">
      <c r="K763" s="200"/>
    </row>
    <row r="764" spans="11:11" x14ac:dyDescent="0.25">
      <c r="K764" s="200"/>
    </row>
    <row r="765" spans="11:11" x14ac:dyDescent="0.25">
      <c r="K765" s="200"/>
    </row>
    <row r="766" spans="11:11" x14ac:dyDescent="0.25">
      <c r="K766" s="200"/>
    </row>
    <row r="767" spans="11:11" x14ac:dyDescent="0.25">
      <c r="K767" s="200"/>
    </row>
    <row r="768" spans="11:11" x14ac:dyDescent="0.25">
      <c r="K768" s="200"/>
    </row>
    <row r="769" spans="11:11" x14ac:dyDescent="0.25">
      <c r="K769" s="200"/>
    </row>
    <row r="770" spans="11:11" x14ac:dyDescent="0.25">
      <c r="K770" s="200"/>
    </row>
    <row r="771" spans="11:11" x14ac:dyDescent="0.25">
      <c r="K771" s="200"/>
    </row>
    <row r="772" spans="11:11" x14ac:dyDescent="0.25">
      <c r="K772" s="200"/>
    </row>
    <row r="773" spans="11:11" x14ac:dyDescent="0.25">
      <c r="K773" s="200"/>
    </row>
    <row r="774" spans="11:11" x14ac:dyDescent="0.25">
      <c r="K774" s="200"/>
    </row>
    <row r="775" spans="11:11" x14ac:dyDescent="0.25">
      <c r="K775" s="200"/>
    </row>
    <row r="776" spans="11:11" x14ac:dyDescent="0.25">
      <c r="K776" s="200"/>
    </row>
    <row r="777" spans="11:11" x14ac:dyDescent="0.25">
      <c r="K777" s="200"/>
    </row>
    <row r="778" spans="11:11" x14ac:dyDescent="0.25">
      <c r="K778" s="200"/>
    </row>
    <row r="779" spans="11:11" x14ac:dyDescent="0.25">
      <c r="K779" s="200"/>
    </row>
    <row r="780" spans="11:11" x14ac:dyDescent="0.25">
      <c r="K780" s="200"/>
    </row>
    <row r="781" spans="11:11" x14ac:dyDescent="0.25">
      <c r="K781" s="200"/>
    </row>
    <row r="782" spans="11:11" x14ac:dyDescent="0.25">
      <c r="K782" s="200"/>
    </row>
    <row r="783" spans="11:11" x14ac:dyDescent="0.25">
      <c r="K783" s="200"/>
    </row>
    <row r="784" spans="11:11" x14ac:dyDescent="0.25">
      <c r="K784" s="200"/>
    </row>
    <row r="785" spans="11:11" x14ac:dyDescent="0.25">
      <c r="K785" s="200"/>
    </row>
    <row r="786" spans="11:11" x14ac:dyDescent="0.25">
      <c r="K786" s="200"/>
    </row>
    <row r="787" spans="11:11" x14ac:dyDescent="0.25">
      <c r="K787" s="200"/>
    </row>
    <row r="788" spans="11:11" x14ac:dyDescent="0.25">
      <c r="K788" s="200"/>
    </row>
    <row r="789" spans="11:11" x14ac:dyDescent="0.25">
      <c r="K789" s="200"/>
    </row>
    <row r="790" spans="11:11" x14ac:dyDescent="0.25">
      <c r="K790" s="200"/>
    </row>
    <row r="791" spans="11:11" x14ac:dyDescent="0.25">
      <c r="K791" s="200"/>
    </row>
    <row r="792" spans="11:11" x14ac:dyDescent="0.25">
      <c r="K792" s="200"/>
    </row>
    <row r="793" spans="11:11" x14ac:dyDescent="0.25">
      <c r="K793" s="200"/>
    </row>
    <row r="794" spans="11:11" x14ac:dyDescent="0.25">
      <c r="K794" s="200"/>
    </row>
    <row r="795" spans="11:11" x14ac:dyDescent="0.25">
      <c r="K795" s="200"/>
    </row>
    <row r="796" spans="11:11" x14ac:dyDescent="0.25">
      <c r="K796" s="200"/>
    </row>
    <row r="797" spans="11:11" x14ac:dyDescent="0.25">
      <c r="K797" s="200"/>
    </row>
    <row r="798" spans="11:11" x14ac:dyDescent="0.25">
      <c r="K798" s="200"/>
    </row>
    <row r="799" spans="11:11" x14ac:dyDescent="0.25">
      <c r="K799" s="200"/>
    </row>
    <row r="800" spans="11:11" x14ac:dyDescent="0.25">
      <c r="K800" s="200"/>
    </row>
    <row r="801" spans="11:11" x14ac:dyDescent="0.25">
      <c r="K801" s="200"/>
    </row>
    <row r="802" spans="11:11" x14ac:dyDescent="0.25">
      <c r="K802" s="200"/>
    </row>
    <row r="803" spans="11:11" x14ac:dyDescent="0.25">
      <c r="K803" s="200"/>
    </row>
    <row r="804" spans="11:11" x14ac:dyDescent="0.25">
      <c r="K804" s="200"/>
    </row>
    <row r="805" spans="11:11" x14ac:dyDescent="0.25">
      <c r="K805" s="200"/>
    </row>
    <row r="806" spans="11:11" x14ac:dyDescent="0.25">
      <c r="K806" s="200"/>
    </row>
    <row r="807" spans="11:11" x14ac:dyDescent="0.25">
      <c r="K807" s="200"/>
    </row>
    <row r="808" spans="11:11" x14ac:dyDescent="0.25">
      <c r="K808" s="200"/>
    </row>
    <row r="809" spans="11:11" x14ac:dyDescent="0.25">
      <c r="K809" s="200"/>
    </row>
    <row r="810" spans="11:11" x14ac:dyDescent="0.25">
      <c r="K810" s="200"/>
    </row>
    <row r="811" spans="11:11" x14ac:dyDescent="0.25">
      <c r="K811" s="200"/>
    </row>
    <row r="812" spans="11:11" x14ac:dyDescent="0.25">
      <c r="K812" s="200"/>
    </row>
    <row r="813" spans="11:11" x14ac:dyDescent="0.25">
      <c r="K813" s="200"/>
    </row>
    <row r="814" spans="11:11" x14ac:dyDescent="0.25">
      <c r="K814" s="200"/>
    </row>
    <row r="815" spans="11:11" x14ac:dyDescent="0.25">
      <c r="K815" s="200"/>
    </row>
    <row r="816" spans="11:11" x14ac:dyDescent="0.25">
      <c r="K816" s="200"/>
    </row>
    <row r="817" spans="11:11" x14ac:dyDescent="0.25">
      <c r="K817" s="200"/>
    </row>
    <row r="818" spans="11:11" x14ac:dyDescent="0.25">
      <c r="K818" s="200"/>
    </row>
    <row r="819" spans="11:11" x14ac:dyDescent="0.25">
      <c r="K819" s="200"/>
    </row>
    <row r="820" spans="11:11" x14ac:dyDescent="0.25">
      <c r="K820" s="200"/>
    </row>
    <row r="821" spans="11:11" x14ac:dyDescent="0.25">
      <c r="K821" s="200"/>
    </row>
    <row r="822" spans="11:11" x14ac:dyDescent="0.25">
      <c r="K822" s="200"/>
    </row>
    <row r="823" spans="11:11" x14ac:dyDescent="0.25">
      <c r="K823" s="200"/>
    </row>
    <row r="824" spans="11:11" x14ac:dyDescent="0.25">
      <c r="K824" s="200"/>
    </row>
    <row r="825" spans="11:11" x14ac:dyDescent="0.25">
      <c r="K825" s="200"/>
    </row>
    <row r="826" spans="11:11" x14ac:dyDescent="0.25">
      <c r="K826" s="200"/>
    </row>
    <row r="827" spans="11:11" x14ac:dyDescent="0.25">
      <c r="K827" s="200"/>
    </row>
    <row r="828" spans="11:11" x14ac:dyDescent="0.25">
      <c r="K828" s="200"/>
    </row>
    <row r="829" spans="11:11" x14ac:dyDescent="0.25">
      <c r="K829" s="200"/>
    </row>
    <row r="830" spans="11:11" x14ac:dyDescent="0.25">
      <c r="K830" s="200"/>
    </row>
    <row r="831" spans="11:11" x14ac:dyDescent="0.25">
      <c r="K831" s="200"/>
    </row>
    <row r="832" spans="11:11" x14ac:dyDescent="0.25">
      <c r="K832" s="200"/>
    </row>
    <row r="833" spans="11:11" x14ac:dyDescent="0.25">
      <c r="K833" s="200"/>
    </row>
    <row r="834" spans="11:11" x14ac:dyDescent="0.25">
      <c r="K834" s="200"/>
    </row>
    <row r="835" spans="11:11" x14ac:dyDescent="0.25">
      <c r="K835" s="200"/>
    </row>
    <row r="836" spans="11:11" x14ac:dyDescent="0.25">
      <c r="K836" s="200"/>
    </row>
    <row r="837" spans="11:11" x14ac:dyDescent="0.25">
      <c r="K837" s="200"/>
    </row>
    <row r="838" spans="11:11" x14ac:dyDescent="0.25">
      <c r="K838" s="200"/>
    </row>
    <row r="839" spans="11:11" x14ac:dyDescent="0.25">
      <c r="K839" s="200"/>
    </row>
    <row r="840" spans="11:11" x14ac:dyDescent="0.25">
      <c r="K840" s="200"/>
    </row>
    <row r="841" spans="11:11" x14ac:dyDescent="0.25">
      <c r="K841" s="200"/>
    </row>
    <row r="842" spans="11:11" x14ac:dyDescent="0.25">
      <c r="K842" s="200"/>
    </row>
    <row r="843" spans="11:11" x14ac:dyDescent="0.25">
      <c r="K843" s="200"/>
    </row>
    <row r="844" spans="11:11" x14ac:dyDescent="0.25">
      <c r="K844" s="200"/>
    </row>
    <row r="845" spans="11:11" x14ac:dyDescent="0.25">
      <c r="K845" s="200"/>
    </row>
    <row r="846" spans="11:11" x14ac:dyDescent="0.25">
      <c r="K846" s="200"/>
    </row>
    <row r="847" spans="11:11" x14ac:dyDescent="0.25">
      <c r="K847" s="200"/>
    </row>
    <row r="848" spans="11:11" x14ac:dyDescent="0.25">
      <c r="K848" s="200"/>
    </row>
    <row r="849" spans="11:11" x14ac:dyDescent="0.25">
      <c r="K849" s="200"/>
    </row>
    <row r="850" spans="11:11" x14ac:dyDescent="0.25">
      <c r="K850" s="200"/>
    </row>
    <row r="851" spans="11:11" x14ac:dyDescent="0.25">
      <c r="K851" s="200"/>
    </row>
    <row r="852" spans="11:11" x14ac:dyDescent="0.25">
      <c r="K852" s="200"/>
    </row>
    <row r="853" spans="11:11" x14ac:dyDescent="0.25">
      <c r="K853" s="200"/>
    </row>
    <row r="854" spans="11:11" x14ac:dyDescent="0.25">
      <c r="K854" s="200"/>
    </row>
    <row r="855" spans="11:11" x14ac:dyDescent="0.25">
      <c r="K855" s="200"/>
    </row>
    <row r="856" spans="11:11" x14ac:dyDescent="0.25">
      <c r="K856" s="200"/>
    </row>
    <row r="857" spans="11:11" x14ac:dyDescent="0.25">
      <c r="K857" s="200"/>
    </row>
    <row r="858" spans="11:11" x14ac:dyDescent="0.25">
      <c r="K858" s="200"/>
    </row>
    <row r="859" spans="11:11" x14ac:dyDescent="0.25">
      <c r="K859" s="200"/>
    </row>
    <row r="860" spans="11:11" x14ac:dyDescent="0.25">
      <c r="K860" s="200"/>
    </row>
    <row r="861" spans="11:11" x14ac:dyDescent="0.25">
      <c r="K861" s="200"/>
    </row>
    <row r="862" spans="11:11" x14ac:dyDescent="0.25">
      <c r="K862" s="200"/>
    </row>
    <row r="863" spans="11:11" x14ac:dyDescent="0.25">
      <c r="K863" s="200"/>
    </row>
    <row r="864" spans="11:11" x14ac:dyDescent="0.25">
      <c r="K864" s="200"/>
    </row>
    <row r="865" spans="11:11" x14ac:dyDescent="0.25">
      <c r="K865" s="200"/>
    </row>
    <row r="866" spans="11:11" x14ac:dyDescent="0.25">
      <c r="K866" s="200"/>
    </row>
    <row r="867" spans="11:11" x14ac:dyDescent="0.25">
      <c r="K867" s="200"/>
    </row>
    <row r="868" spans="11:11" x14ac:dyDescent="0.25">
      <c r="K868" s="200"/>
    </row>
    <row r="869" spans="11:11" x14ac:dyDescent="0.25">
      <c r="K869" s="200"/>
    </row>
    <row r="870" spans="11:11" x14ac:dyDescent="0.25">
      <c r="K870" s="200"/>
    </row>
    <row r="871" spans="11:11" x14ac:dyDescent="0.25">
      <c r="K871" s="200"/>
    </row>
  </sheetData>
  <mergeCells count="20">
    <mergeCell ref="B1:K1"/>
    <mergeCell ref="J8:K8"/>
    <mergeCell ref="C18:E18"/>
    <mergeCell ref="B19:F19"/>
    <mergeCell ref="B20:H20"/>
    <mergeCell ref="B9:H9"/>
    <mergeCell ref="I9:J9"/>
    <mergeCell ref="C17:E17"/>
    <mergeCell ref="I2:J2"/>
    <mergeCell ref="B3:G3"/>
    <mergeCell ref="B7:F7"/>
    <mergeCell ref="B8:H8"/>
    <mergeCell ref="C16:E16"/>
    <mergeCell ref="C15:E15"/>
    <mergeCell ref="B21:F21"/>
    <mergeCell ref="C10:E10"/>
    <mergeCell ref="C11:F11"/>
    <mergeCell ref="C12:F12"/>
    <mergeCell ref="C13:F13"/>
    <mergeCell ref="C14:E14"/>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B0F0"/>
  </sheetPr>
  <dimension ref="B2:F17"/>
  <sheetViews>
    <sheetView zoomScale="112" zoomScaleNormal="112" workbookViewId="0">
      <selection activeCell="F17" sqref="F17"/>
    </sheetView>
  </sheetViews>
  <sheetFormatPr baseColWidth="10" defaultColWidth="11.5703125" defaultRowHeight="11.25" x14ac:dyDescent="0.2"/>
  <cols>
    <col min="1" max="1" width="11.5703125" style="313"/>
    <col min="2" max="2" width="16.7109375" style="313" customWidth="1"/>
    <col min="3" max="3" width="51.42578125" style="313" customWidth="1"/>
    <col min="4" max="4" width="15.5703125" style="313" customWidth="1"/>
    <col min="5" max="5" width="14.140625" style="313" customWidth="1"/>
    <col min="6" max="6" width="16.7109375" style="313" customWidth="1"/>
    <col min="7" max="16384" width="11.5703125" style="313"/>
  </cols>
  <sheetData>
    <row r="2" spans="2:6" ht="22.5" x14ac:dyDescent="0.2">
      <c r="B2" s="311" t="s">
        <v>375</v>
      </c>
      <c r="C2" s="311" t="s">
        <v>281</v>
      </c>
      <c r="D2" s="311" t="s">
        <v>376</v>
      </c>
      <c r="E2" s="311" t="s">
        <v>282</v>
      </c>
      <c r="F2" s="312" t="s">
        <v>283</v>
      </c>
    </row>
    <row r="3" spans="2:6" ht="112.5" x14ac:dyDescent="0.2">
      <c r="B3" s="314">
        <v>1</v>
      </c>
      <c r="C3" s="315" t="s">
        <v>371</v>
      </c>
      <c r="D3" s="317">
        <v>0.3</v>
      </c>
      <c r="E3" s="316" t="s">
        <v>266</v>
      </c>
      <c r="F3" s="318">
        <f>+'Flujo caja 2025'!N101</f>
        <v>366273392</v>
      </c>
    </row>
    <row r="4" spans="2:6" ht="180" x14ac:dyDescent="0.2">
      <c r="B4" s="314">
        <v>2</v>
      </c>
      <c r="C4" s="319" t="s">
        <v>372</v>
      </c>
      <c r="D4" s="321">
        <v>0.3</v>
      </c>
      <c r="E4" s="320" t="s">
        <v>278</v>
      </c>
      <c r="F4" s="322">
        <f>+'Flujo caja 2025'!P101</f>
        <v>366273392</v>
      </c>
    </row>
    <row r="5" spans="2:6" ht="191.25" x14ac:dyDescent="0.2">
      <c r="B5" s="314">
        <v>3</v>
      </c>
      <c r="C5" s="323" t="s">
        <v>374</v>
      </c>
      <c r="D5" s="324">
        <v>0.35</v>
      </c>
      <c r="E5" s="320" t="s">
        <v>278</v>
      </c>
      <c r="F5" s="325">
        <f>+'Flujo caja 2025'!Q101</f>
        <v>427318958</v>
      </c>
    </row>
    <row r="6" spans="2:6" x14ac:dyDescent="0.2">
      <c r="B6" s="514">
        <v>4</v>
      </c>
      <c r="C6" s="515" t="s">
        <v>369</v>
      </c>
      <c r="D6" s="518">
        <v>0.05</v>
      </c>
      <c r="E6" s="520" t="s">
        <v>278</v>
      </c>
      <c r="F6" s="512">
        <f>+'Flujo caja 2025'!W101</f>
        <v>61045566</v>
      </c>
    </row>
    <row r="7" spans="2:6" x14ac:dyDescent="0.2">
      <c r="B7" s="514"/>
      <c r="C7" s="516"/>
      <c r="D7" s="519"/>
      <c r="E7" s="521"/>
      <c r="F7" s="513"/>
    </row>
    <row r="8" spans="2:6" ht="14.45" customHeight="1" x14ac:dyDescent="0.2">
      <c r="B8" s="514"/>
      <c r="C8" s="516"/>
      <c r="D8" s="519"/>
      <c r="E8" s="521"/>
      <c r="F8" s="513"/>
    </row>
    <row r="9" spans="2:6" x14ac:dyDescent="0.2">
      <c r="B9" s="514"/>
      <c r="C9" s="516"/>
      <c r="D9" s="519"/>
      <c r="E9" s="521"/>
      <c r="F9" s="513"/>
    </row>
    <row r="10" spans="2:6" x14ac:dyDescent="0.2">
      <c r="B10" s="514"/>
      <c r="C10" s="516"/>
      <c r="D10" s="519"/>
      <c r="E10" s="521"/>
      <c r="F10" s="513"/>
    </row>
    <row r="11" spans="2:6" x14ac:dyDescent="0.2">
      <c r="B11" s="514"/>
      <c r="C11" s="516"/>
      <c r="D11" s="519"/>
      <c r="E11" s="521"/>
      <c r="F11" s="513"/>
    </row>
    <row r="12" spans="2:6" x14ac:dyDescent="0.2">
      <c r="B12" s="514"/>
      <c r="C12" s="516"/>
      <c r="D12" s="519"/>
      <c r="E12" s="521"/>
      <c r="F12" s="513"/>
    </row>
    <row r="13" spans="2:6" x14ac:dyDescent="0.2">
      <c r="B13" s="514"/>
      <c r="C13" s="516"/>
      <c r="D13" s="519"/>
      <c r="E13" s="521"/>
      <c r="F13" s="513"/>
    </row>
    <row r="14" spans="2:6" x14ac:dyDescent="0.2">
      <c r="B14" s="514"/>
      <c r="C14" s="516"/>
      <c r="D14" s="519"/>
      <c r="E14" s="521"/>
      <c r="F14" s="513"/>
    </row>
    <row r="15" spans="2:6" ht="9" customHeight="1" x14ac:dyDescent="0.2">
      <c r="B15" s="514"/>
      <c r="C15" s="516"/>
      <c r="D15" s="519"/>
      <c r="E15" s="521"/>
      <c r="F15" s="513"/>
    </row>
    <row r="16" spans="2:6" ht="11.25" hidden="1" customHeight="1" x14ac:dyDescent="0.2">
      <c r="B16" s="514"/>
      <c r="C16" s="517"/>
      <c r="D16" s="519"/>
      <c r="E16" s="521"/>
      <c r="F16" s="513"/>
    </row>
    <row r="17" spans="2:6" x14ac:dyDescent="0.2">
      <c r="B17" s="510" t="s">
        <v>284</v>
      </c>
      <c r="C17" s="511"/>
      <c r="D17" s="326">
        <f>SUM(D3:D16)</f>
        <v>1</v>
      </c>
      <c r="E17" s="312"/>
      <c r="F17" s="461">
        <f>SUM(F3:F16)</f>
        <v>1220911308</v>
      </c>
    </row>
  </sheetData>
  <mergeCells count="6">
    <mergeCell ref="B17:C17"/>
    <mergeCell ref="F6:F16"/>
    <mergeCell ref="B6:B16"/>
    <mergeCell ref="C6:C16"/>
    <mergeCell ref="D6:D16"/>
    <mergeCell ref="E6:E16"/>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C3:L29"/>
  <sheetViews>
    <sheetView zoomScaleNormal="100" workbookViewId="0">
      <selection activeCell="H12" sqref="H12"/>
    </sheetView>
  </sheetViews>
  <sheetFormatPr baseColWidth="10" defaultRowHeight="15" x14ac:dyDescent="0.25"/>
  <cols>
    <col min="3" max="3" width="19.7109375" bestFit="1" customWidth="1"/>
    <col min="5" max="5" width="12.7109375" bestFit="1" customWidth="1"/>
    <col min="6" max="6" width="13.42578125" bestFit="1" customWidth="1"/>
    <col min="8" max="8" width="12.7109375" bestFit="1" customWidth="1"/>
    <col min="10" max="10" width="12.7109375" bestFit="1" customWidth="1"/>
  </cols>
  <sheetData>
    <row r="3" spans="3:12" x14ac:dyDescent="0.25">
      <c r="C3" s="203" t="s">
        <v>286</v>
      </c>
      <c r="D3" s="203" t="s">
        <v>287</v>
      </c>
      <c r="E3" s="203" t="s">
        <v>288</v>
      </c>
      <c r="F3" s="203" t="s">
        <v>289</v>
      </c>
      <c r="G3" s="203" t="s">
        <v>290</v>
      </c>
      <c r="H3" s="203" t="s">
        <v>291</v>
      </c>
      <c r="I3" s="204"/>
      <c r="J3" s="204"/>
      <c r="K3" s="204"/>
      <c r="L3" s="204"/>
    </row>
    <row r="4" spans="3:12" x14ac:dyDescent="0.25">
      <c r="C4" s="204"/>
      <c r="D4" s="204"/>
      <c r="E4" s="204"/>
      <c r="F4" s="204" t="s">
        <v>292</v>
      </c>
      <c r="G4" s="204"/>
      <c r="H4" s="204"/>
      <c r="I4" s="204"/>
      <c r="J4" s="204"/>
      <c r="K4" s="204"/>
      <c r="L4" s="204"/>
    </row>
    <row r="5" spans="3:12" x14ac:dyDescent="0.25">
      <c r="C5" s="204"/>
      <c r="D5" s="204"/>
      <c r="E5" s="204"/>
      <c r="F5" s="204"/>
      <c r="G5" s="204"/>
      <c r="H5" s="204"/>
      <c r="I5" s="204"/>
      <c r="J5" s="204"/>
      <c r="K5" s="204"/>
      <c r="L5" s="204"/>
    </row>
    <row r="6" spans="3:12" x14ac:dyDescent="0.25">
      <c r="C6" s="204" t="s">
        <v>293</v>
      </c>
      <c r="D6" s="205">
        <v>0.2</v>
      </c>
      <c r="E6" s="206">
        <f>+'Presupuesto Inversión Directa'!H86</f>
        <v>1005225152.34</v>
      </c>
      <c r="F6" s="206">
        <f>+E6*D6</f>
        <v>201045030.46800002</v>
      </c>
      <c r="G6" s="207">
        <v>2.2499999999999999E-2</v>
      </c>
      <c r="H6" s="206">
        <f>+G6*F6</f>
        <v>4523513.1855300004</v>
      </c>
      <c r="I6" s="204"/>
      <c r="J6" s="207">
        <v>4.4999999999999997E-3</v>
      </c>
      <c r="K6" s="204"/>
      <c r="L6" s="204"/>
    </row>
    <row r="7" spans="3:12" x14ac:dyDescent="0.25">
      <c r="C7" s="204" t="s">
        <v>294</v>
      </c>
      <c r="D7" s="205">
        <v>0.05</v>
      </c>
      <c r="E7" s="206">
        <f>+E6</f>
        <v>1005225152.34</v>
      </c>
      <c r="F7" s="206">
        <f t="shared" ref="F7:F9" si="0">+E7*D7</f>
        <v>50261257.617000006</v>
      </c>
      <c r="G7" s="207">
        <v>2.2499999999999999E-2</v>
      </c>
      <c r="H7" s="206">
        <f t="shared" ref="H7:H9" si="1">+G7*F7</f>
        <v>1130878.2963825001</v>
      </c>
      <c r="I7" s="204"/>
      <c r="J7" s="207">
        <v>1.1000000000000001E-3</v>
      </c>
      <c r="K7" s="204"/>
      <c r="L7" s="204"/>
    </row>
    <row r="8" spans="3:12" x14ac:dyDescent="0.25">
      <c r="C8" s="204" t="s">
        <v>295</v>
      </c>
      <c r="D8" s="205">
        <v>0.2</v>
      </c>
      <c r="E8" s="206">
        <f>+E7</f>
        <v>1005225152.34</v>
      </c>
      <c r="F8" s="206">
        <f t="shared" si="0"/>
        <v>201045030.46800002</v>
      </c>
      <c r="G8" s="207">
        <v>2.2499999999999999E-2</v>
      </c>
      <c r="H8" s="206">
        <f t="shared" si="1"/>
        <v>4523513.1855300004</v>
      </c>
      <c r="I8" s="204"/>
      <c r="J8" s="207">
        <v>4.4999999999999997E-3</v>
      </c>
      <c r="K8" s="204"/>
      <c r="L8" s="204"/>
    </row>
    <row r="9" spans="3:12" x14ac:dyDescent="0.25">
      <c r="C9" s="204" t="s">
        <v>296</v>
      </c>
      <c r="D9" s="205">
        <v>0.25</v>
      </c>
      <c r="E9" s="206">
        <f>+E8</f>
        <v>1005225152.34</v>
      </c>
      <c r="F9" s="206">
        <f t="shared" si="0"/>
        <v>251306288.08500001</v>
      </c>
      <c r="G9" s="207">
        <v>1.7500000000000002E-2</v>
      </c>
      <c r="H9" s="206">
        <f t="shared" si="1"/>
        <v>4397860.041487501</v>
      </c>
      <c r="I9" s="204"/>
      <c r="J9" s="207">
        <v>3.0999999999999999E-3</v>
      </c>
      <c r="K9" s="204"/>
      <c r="L9" s="204"/>
    </row>
    <row r="10" spans="3:12" x14ac:dyDescent="0.25">
      <c r="C10" s="204"/>
      <c r="D10" s="204"/>
      <c r="E10" s="204"/>
      <c r="F10" s="207">
        <v>1.89E-2</v>
      </c>
      <c r="G10" s="204"/>
      <c r="H10" s="204"/>
      <c r="I10" s="204"/>
      <c r="J10" s="204"/>
      <c r="K10" s="204"/>
      <c r="L10" s="204"/>
    </row>
    <row r="11" spans="3:12" x14ac:dyDescent="0.25">
      <c r="C11" s="204"/>
      <c r="D11" s="204"/>
      <c r="E11" s="204"/>
      <c r="F11" s="204"/>
      <c r="G11" s="204"/>
      <c r="H11" s="208">
        <f>ROUND((SUM(H6:H10)),-3)</f>
        <v>14576000</v>
      </c>
      <c r="I11" s="204"/>
      <c r="J11" s="204"/>
      <c r="K11" s="204"/>
      <c r="L11" s="204">
        <v>19612040</v>
      </c>
    </row>
    <row r="12" spans="3:12" x14ac:dyDescent="0.25">
      <c r="C12" s="204"/>
      <c r="D12" s="204"/>
      <c r="E12" s="204"/>
      <c r="F12" s="204"/>
      <c r="G12" s="204"/>
      <c r="H12" s="207">
        <f>+H11/E9</f>
        <v>1.4500234068028891E-2</v>
      </c>
      <c r="I12" s="204"/>
      <c r="J12" s="204">
        <v>1.3249514E-2</v>
      </c>
      <c r="K12" s="204"/>
      <c r="L12" s="204"/>
    </row>
    <row r="13" spans="3:12" x14ac:dyDescent="0.25">
      <c r="C13" s="204"/>
      <c r="D13" s="204"/>
      <c r="E13" s="204"/>
      <c r="F13" s="204"/>
      <c r="G13" s="204"/>
      <c r="H13" s="204"/>
      <c r="I13" s="204"/>
      <c r="J13" s="204"/>
      <c r="K13" s="204"/>
      <c r="L13" s="204"/>
    </row>
    <row r="14" spans="3:12" x14ac:dyDescent="0.25">
      <c r="C14" s="204"/>
      <c r="D14" s="207">
        <v>2.0799999999999999E-2</v>
      </c>
      <c r="E14" s="204"/>
      <c r="F14" s="204"/>
      <c r="G14" s="204"/>
      <c r="H14" s="204"/>
      <c r="I14" s="204"/>
      <c r="J14" s="204"/>
      <c r="K14" s="204"/>
      <c r="L14" s="204"/>
    </row>
    <row r="15" spans="3:12" x14ac:dyDescent="0.25">
      <c r="C15" s="204"/>
      <c r="D15" s="204"/>
      <c r="E15" s="204"/>
      <c r="F15" s="204"/>
      <c r="G15" s="204"/>
      <c r="H15" s="204"/>
      <c r="I15" s="204"/>
      <c r="J15" s="204"/>
      <c r="K15" s="204"/>
      <c r="L15" s="204"/>
    </row>
    <row r="16" spans="3:12" x14ac:dyDescent="0.25">
      <c r="C16" s="204"/>
      <c r="D16" s="204"/>
      <c r="E16" s="204"/>
      <c r="F16" s="204"/>
      <c r="G16" s="204"/>
      <c r="H16" s="204"/>
      <c r="I16" s="204"/>
      <c r="J16" s="204"/>
      <c r="K16" s="204"/>
      <c r="L16" s="204"/>
    </row>
    <row r="17" spans="3:12" x14ac:dyDescent="0.25">
      <c r="C17" s="204"/>
      <c r="D17" s="204"/>
      <c r="E17" s="204"/>
      <c r="F17" s="204"/>
      <c r="G17" s="204"/>
      <c r="H17" s="204"/>
      <c r="I17" s="204"/>
      <c r="J17" s="204"/>
      <c r="K17" s="204"/>
      <c r="L17" s="204"/>
    </row>
    <row r="18" spans="3:12" x14ac:dyDescent="0.25">
      <c r="C18" s="204"/>
      <c r="D18" s="204"/>
      <c r="E18" s="204"/>
      <c r="F18" s="204"/>
      <c r="G18" s="206">
        <v>519575829</v>
      </c>
      <c r="H18" s="206">
        <v>103915166</v>
      </c>
      <c r="I18" s="204"/>
      <c r="J18" s="206">
        <v>2078303320</v>
      </c>
      <c r="K18" s="207">
        <v>1.1000000000000001E-3</v>
      </c>
      <c r="L18" s="204"/>
    </row>
    <row r="19" spans="3:12" x14ac:dyDescent="0.25">
      <c r="C19" s="204"/>
      <c r="D19" s="204"/>
      <c r="E19" s="204"/>
      <c r="F19" s="204"/>
      <c r="G19" s="206">
        <v>2314626</v>
      </c>
      <c r="H19" s="206">
        <v>415660663</v>
      </c>
      <c r="I19" s="204"/>
      <c r="J19" s="204"/>
      <c r="K19" s="204"/>
      <c r="L19" s="204"/>
    </row>
    <row r="20" spans="3:12" x14ac:dyDescent="0.25">
      <c r="C20" s="204"/>
      <c r="D20" s="204"/>
      <c r="E20" s="204"/>
      <c r="F20" s="204"/>
      <c r="G20" s="207">
        <v>4.4999999999999997E-3</v>
      </c>
      <c r="H20" s="206">
        <v>415660663</v>
      </c>
      <c r="I20" s="204"/>
      <c r="J20" s="204"/>
      <c r="K20" s="204"/>
      <c r="L20" s="204"/>
    </row>
    <row r="21" spans="3:12" x14ac:dyDescent="0.25">
      <c r="C21" s="204"/>
      <c r="D21" s="204"/>
      <c r="E21" s="204"/>
      <c r="F21" s="204"/>
      <c r="G21" s="204"/>
      <c r="H21" s="206">
        <v>415660663</v>
      </c>
      <c r="I21" s="204"/>
      <c r="J21" s="204"/>
      <c r="K21" s="204"/>
      <c r="L21" s="204"/>
    </row>
    <row r="22" spans="3:12" x14ac:dyDescent="0.25">
      <c r="C22" s="204"/>
      <c r="D22" s="204"/>
      <c r="E22" s="204"/>
      <c r="F22" s="204"/>
      <c r="G22" s="204"/>
      <c r="H22" s="206">
        <v>1350897155</v>
      </c>
      <c r="I22" s="204"/>
      <c r="J22" s="204"/>
      <c r="K22" s="204"/>
      <c r="L22" s="204"/>
    </row>
    <row r="23" spans="3:12" x14ac:dyDescent="0.25">
      <c r="C23" s="204"/>
      <c r="D23" s="204"/>
      <c r="E23" s="204"/>
      <c r="F23" s="204"/>
      <c r="G23" s="204"/>
      <c r="H23" s="206">
        <v>19239548</v>
      </c>
      <c r="I23" s="204"/>
      <c r="J23" s="204"/>
      <c r="K23" s="204"/>
      <c r="L23" s="204"/>
    </row>
    <row r="24" spans="3:12" x14ac:dyDescent="0.25">
      <c r="C24" s="204"/>
      <c r="D24" s="204"/>
      <c r="E24" s="204"/>
      <c r="F24" s="204"/>
      <c r="G24" s="204"/>
      <c r="H24" s="207">
        <v>1.4200000000000001E-2</v>
      </c>
      <c r="I24" s="204"/>
      <c r="J24" s="204"/>
      <c r="K24" s="204"/>
      <c r="L24" s="204"/>
    </row>
    <row r="27" spans="3:12" x14ac:dyDescent="0.25">
      <c r="F27" s="200">
        <v>1500000000</v>
      </c>
      <c r="G27" s="200">
        <v>22000000</v>
      </c>
    </row>
    <row r="28" spans="3:12" x14ac:dyDescent="0.25">
      <c r="G28">
        <f>+G27/F27</f>
        <v>1.4666666666666666E-2</v>
      </c>
    </row>
    <row r="29" spans="3:12" x14ac:dyDescent="0.25">
      <c r="F29" s="200">
        <f>+'Presupuesto Inversión Directa'!H88</f>
        <v>1264361307.381736</v>
      </c>
      <c r="G29">
        <f>+F29*G28</f>
        <v>18543965.841598794</v>
      </c>
    </row>
  </sheetData>
  <pageMargins left="0.7" right="0.7" top="0.75" bottom="0.75" header="0.3" footer="0.3"/>
  <pageSetup paperSize="0" orientation="portrait" horizontalDpi="0" verticalDpi="0" copie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K115"/>
  <sheetViews>
    <sheetView topLeftCell="A13" zoomScaleNormal="100" zoomScaleSheetLayoutView="70" workbookViewId="0">
      <selection activeCell="E22" sqref="E22"/>
    </sheetView>
  </sheetViews>
  <sheetFormatPr baseColWidth="10" defaultColWidth="11.5703125" defaultRowHeight="15" x14ac:dyDescent="0.25"/>
  <cols>
    <col min="1" max="1" width="11.5703125" style="257"/>
    <col min="2" max="2" width="48.7109375" style="259" customWidth="1"/>
    <col min="3" max="4" width="11.5703125" style="260"/>
    <col min="5" max="5" width="27" style="280" customWidth="1"/>
    <col min="6" max="6" width="26.140625" style="302" customWidth="1"/>
    <col min="7" max="7" width="33.7109375" style="237" customWidth="1"/>
    <col min="8" max="8" width="13.7109375" style="238" bestFit="1" customWidth="1"/>
    <col min="9" max="9" width="14.85546875" style="238" bestFit="1" customWidth="1"/>
    <col min="10" max="10" width="14.85546875" style="238" customWidth="1"/>
    <col min="11" max="11" width="14.85546875" style="238" bestFit="1" customWidth="1"/>
    <col min="12" max="16384" width="11.5703125" style="237"/>
  </cols>
  <sheetData>
    <row r="1" spans="1:11" ht="61.15" customHeight="1" thickBot="1" x14ac:dyDescent="0.3">
      <c r="A1" s="524" t="s">
        <v>308</v>
      </c>
      <c r="B1" s="525"/>
      <c r="C1" s="525"/>
      <c r="D1" s="525"/>
      <c r="E1" s="525"/>
      <c r="F1" s="526"/>
    </row>
    <row r="3" spans="1:11" ht="15.75" thickBot="1" x14ac:dyDescent="0.3">
      <c r="A3" s="527" t="s">
        <v>309</v>
      </c>
      <c r="B3" s="528"/>
      <c r="C3" s="528"/>
      <c r="D3" s="528"/>
      <c r="E3" s="528"/>
      <c r="F3" s="529"/>
    </row>
    <row r="5" spans="1:11" s="244" customFormat="1" ht="15.75" thickBot="1" x14ac:dyDescent="0.3">
      <c r="A5" s="239" t="s">
        <v>310</v>
      </c>
      <c r="B5" s="240" t="s">
        <v>311</v>
      </c>
      <c r="C5" s="241" t="s">
        <v>312</v>
      </c>
      <c r="D5" s="241" t="s">
        <v>232</v>
      </c>
      <c r="E5" s="242" t="s">
        <v>313</v>
      </c>
      <c r="F5" s="243" t="s">
        <v>314</v>
      </c>
      <c r="H5" s="245"/>
      <c r="I5" s="245"/>
      <c r="J5" s="245"/>
      <c r="K5" s="245"/>
    </row>
    <row r="6" spans="1:11" ht="15.75" thickBot="1" x14ac:dyDescent="0.3">
      <c r="A6" s="530" t="s">
        <v>315</v>
      </c>
      <c r="B6" s="530"/>
      <c r="C6" s="530"/>
      <c r="D6" s="530"/>
      <c r="E6" s="530"/>
      <c r="F6" s="530"/>
    </row>
    <row r="7" spans="1:11" x14ac:dyDescent="0.25">
      <c r="A7" s="246" t="s">
        <v>316</v>
      </c>
      <c r="B7" s="247" t="s">
        <v>317</v>
      </c>
      <c r="C7" s="248"/>
      <c r="D7" s="248"/>
      <c r="E7" s="249"/>
      <c r="F7" s="250">
        <f>ROUNDUP(SUM(F8:F11),0)</f>
        <v>2633137</v>
      </c>
      <c r="G7" s="251">
        <f>+F7+F13+F17+F20+F27</f>
        <v>146118285</v>
      </c>
    </row>
    <row r="8" spans="1:11" x14ac:dyDescent="0.25">
      <c r="A8" s="252">
        <v>1.1000000000000001</v>
      </c>
      <c r="B8" s="253" t="s">
        <v>318</v>
      </c>
      <c r="C8" s="254" t="s">
        <v>319</v>
      </c>
      <c r="D8" s="255">
        <f>'[3]Cantidad de obra 1 '!J18</f>
        <v>142.64600000000002</v>
      </c>
      <c r="E8" s="256">
        <f>'[3]APU 1'!N24*1.052</f>
        <v>7938.3920000000007</v>
      </c>
      <c r="F8" s="256">
        <f>ROUNDUP(D8*E8,0)</f>
        <v>1132380</v>
      </c>
      <c r="G8" s="237">
        <f>+G7*1.4052</f>
        <v>205325414.08199999</v>
      </c>
    </row>
    <row r="9" spans="1:11" x14ac:dyDescent="0.25">
      <c r="A9" s="252">
        <v>1.2</v>
      </c>
      <c r="B9" s="253" t="s">
        <v>320</v>
      </c>
      <c r="C9" s="254" t="s">
        <v>319</v>
      </c>
      <c r="D9" s="255">
        <f>'[3]Cantidad de obra 1 '!J31</f>
        <v>142.64600000000002</v>
      </c>
      <c r="E9" s="256">
        <f>'[3]APU 1'!N46*1.052</f>
        <v>8571.6959999999999</v>
      </c>
      <c r="F9" s="256">
        <f>ROUNDUP(D9*E9,0)</f>
        <v>1222719</v>
      </c>
    </row>
    <row r="10" spans="1:11" x14ac:dyDescent="0.25">
      <c r="A10" s="252">
        <v>1.3</v>
      </c>
      <c r="B10" s="253" t="s">
        <v>321</v>
      </c>
      <c r="C10" s="254" t="s">
        <v>322</v>
      </c>
      <c r="D10" s="255">
        <f>'[3]Cantidad de obra 1 '!J45</f>
        <v>28.529200000000003</v>
      </c>
      <c r="E10" s="256">
        <f>'[3]APU 1'!N68*1.052</f>
        <v>7765.8640000000005</v>
      </c>
      <c r="F10" s="256">
        <f>ROUNDUP(D10*E10,0)</f>
        <v>221554</v>
      </c>
    </row>
    <row r="11" spans="1:11" x14ac:dyDescent="0.25">
      <c r="A11" s="257">
        <v>1.4</v>
      </c>
      <c r="B11" s="258" t="s">
        <v>323</v>
      </c>
      <c r="C11" s="254" t="s">
        <v>322</v>
      </c>
      <c r="D11" s="255">
        <f>'[3]Cantidad de obra 1 '!J58</f>
        <v>28.529200000000003</v>
      </c>
      <c r="E11" s="256">
        <f>1882*1.052</f>
        <v>1979.864</v>
      </c>
      <c r="F11" s="256">
        <f>ROUNDUP(D11*E11,0)</f>
        <v>56484</v>
      </c>
    </row>
    <row r="12" spans="1:11" ht="15.75" thickBot="1" x14ac:dyDescent="0.3">
      <c r="E12" s="261"/>
      <c r="F12" s="262"/>
    </row>
    <row r="13" spans="1:11" x14ac:dyDescent="0.25">
      <c r="A13" s="246" t="s">
        <v>324</v>
      </c>
      <c r="B13" s="247" t="s">
        <v>325</v>
      </c>
      <c r="C13" s="248"/>
      <c r="D13" s="248"/>
      <c r="E13" s="263"/>
      <c r="F13" s="250">
        <f>SUM(F14:F16)</f>
        <v>27975224</v>
      </c>
    </row>
    <row r="14" spans="1:11" ht="30" x14ac:dyDescent="0.25">
      <c r="A14" s="252">
        <v>2.1</v>
      </c>
      <c r="B14" s="253" t="s">
        <v>326</v>
      </c>
      <c r="C14" s="254" t="s">
        <v>319</v>
      </c>
      <c r="D14" s="255">
        <f>'[3]Cantidad de obra 2'!J18</f>
        <v>142.64600000000002</v>
      </c>
      <c r="E14" s="256">
        <f t="array" ref="E14">'[3]APU 2'!N22:N22</f>
        <v>33939</v>
      </c>
      <c r="F14" s="256">
        <f t="shared" ref="F14:F16" si="0">ROUNDUP(D14*E14,0)</f>
        <v>4841263</v>
      </c>
    </row>
    <row r="15" spans="1:11" x14ac:dyDescent="0.25">
      <c r="A15" s="252">
        <v>2.2000000000000002</v>
      </c>
      <c r="B15" s="253" t="s">
        <v>327</v>
      </c>
      <c r="C15" s="254" t="s">
        <v>319</v>
      </c>
      <c r="D15" s="255">
        <f>'[3]Cantidad de obra 2'!J31</f>
        <v>142.64600000000002</v>
      </c>
      <c r="E15" s="256">
        <f t="array" ref="E15">'[3]APU 2'!N46:N46</f>
        <v>155311</v>
      </c>
      <c r="F15" s="256">
        <f t="shared" si="0"/>
        <v>22154493</v>
      </c>
    </row>
    <row r="16" spans="1:11" ht="30.75" thickBot="1" x14ac:dyDescent="0.3">
      <c r="A16" s="264">
        <v>2.2999999999999998</v>
      </c>
      <c r="B16" s="253" t="s">
        <v>328</v>
      </c>
      <c r="C16" s="254" t="s">
        <v>92</v>
      </c>
      <c r="D16" s="255">
        <f>'[3]Cantidad de obra 2'!J45</f>
        <v>128.38140000000001</v>
      </c>
      <c r="E16" s="256">
        <f>'[3]APU 2'!N69</f>
        <v>7629.3594277499997</v>
      </c>
      <c r="F16" s="256">
        <f t="shared" si="0"/>
        <v>979468</v>
      </c>
    </row>
    <row r="17" spans="1:8" x14ac:dyDescent="0.25">
      <c r="A17" s="246" t="s">
        <v>329</v>
      </c>
      <c r="B17" s="247" t="s">
        <v>330</v>
      </c>
      <c r="C17" s="248"/>
      <c r="D17" s="248"/>
      <c r="E17" s="263"/>
      <c r="F17" s="250">
        <f>ROUNDUP(SUM(F18:F19),0)</f>
        <v>103233303</v>
      </c>
    </row>
    <row r="18" spans="1:8" ht="240" x14ac:dyDescent="0.25">
      <c r="A18" s="252">
        <v>3.1</v>
      </c>
      <c r="B18" s="253" t="s">
        <v>331</v>
      </c>
      <c r="C18" s="254" t="s">
        <v>332</v>
      </c>
      <c r="D18" s="255">
        <v>2</v>
      </c>
      <c r="E18" s="457">
        <f>[3]INSUMOS!H10</f>
        <v>44698895</v>
      </c>
      <c r="F18" s="256">
        <f t="shared" ref="F18:F19" si="1">ROUNDUP(D18*E18,0)</f>
        <v>89397790</v>
      </c>
    </row>
    <row r="19" spans="1:8" ht="45" x14ac:dyDescent="0.25">
      <c r="A19" s="265">
        <v>3.2</v>
      </c>
      <c r="B19" s="458" t="s">
        <v>333</v>
      </c>
      <c r="C19" s="266" t="s">
        <v>332</v>
      </c>
      <c r="D19" s="267">
        <v>2</v>
      </c>
      <c r="E19" s="268">
        <f>[3]INSUMOS!H27</f>
        <v>6917756.0949999997</v>
      </c>
      <c r="F19" s="268">
        <f t="shared" si="1"/>
        <v>13835513</v>
      </c>
    </row>
    <row r="20" spans="1:8" x14ac:dyDescent="0.25">
      <c r="A20" s="269">
        <v>4</v>
      </c>
      <c r="B20" s="270" t="s">
        <v>334</v>
      </c>
      <c r="C20" s="269"/>
      <c r="D20" s="269"/>
      <c r="E20" s="271"/>
      <c r="F20" s="271">
        <f>SUM(F21:F24)</f>
        <v>11397778</v>
      </c>
    </row>
    <row r="21" spans="1:8" ht="30" x14ac:dyDescent="0.25">
      <c r="A21" s="252">
        <v>4.0999999999999996</v>
      </c>
      <c r="B21" s="253" t="s">
        <v>335</v>
      </c>
      <c r="C21" s="254" t="s">
        <v>336</v>
      </c>
      <c r="D21" s="254">
        <v>1</v>
      </c>
      <c r="E21" s="256">
        <f t="array" ref="E21">'[3]APU 4 '!N27:N27</f>
        <v>47708</v>
      </c>
      <c r="F21" s="256">
        <f t="shared" ref="F21:F24" si="2">ROUNDUP(D21*E21,0)</f>
        <v>47708</v>
      </c>
    </row>
    <row r="22" spans="1:8" x14ac:dyDescent="0.25">
      <c r="A22" s="252">
        <f>+A21+0.1</f>
        <v>4.1999999999999993</v>
      </c>
      <c r="B22" s="253" t="s">
        <v>337</v>
      </c>
      <c r="C22" s="254" t="s">
        <v>336</v>
      </c>
      <c r="D22" s="254">
        <v>1</v>
      </c>
      <c r="E22" s="256">
        <f>'[3]APU 4 '!N53</f>
        <v>9729405</v>
      </c>
      <c r="F22" s="256">
        <f t="shared" si="2"/>
        <v>9729405</v>
      </c>
    </row>
    <row r="23" spans="1:8" ht="30" x14ac:dyDescent="0.25">
      <c r="A23" s="252">
        <v>4.3</v>
      </c>
      <c r="B23" s="253" t="s">
        <v>338</v>
      </c>
      <c r="C23" s="254" t="s">
        <v>339</v>
      </c>
      <c r="D23" s="254">
        <v>2</v>
      </c>
      <c r="E23" s="256">
        <f>'[3]APU 4 '!M83</f>
        <v>761852.85652500018</v>
      </c>
      <c r="F23" s="256">
        <f t="shared" si="2"/>
        <v>1523706</v>
      </c>
      <c r="H23" s="237"/>
    </row>
    <row r="24" spans="1:8" ht="30" x14ac:dyDescent="0.25">
      <c r="A24" s="252">
        <v>4.4000000000000004</v>
      </c>
      <c r="B24" s="253" t="s">
        <v>340</v>
      </c>
      <c r="C24" s="254" t="s">
        <v>341</v>
      </c>
      <c r="D24" s="254">
        <v>1</v>
      </c>
      <c r="E24" s="256">
        <f>'[3]APU 4 '!M109</f>
        <v>96958.706212500008</v>
      </c>
      <c r="F24" s="256">
        <f t="shared" si="2"/>
        <v>96959</v>
      </c>
    </row>
    <row r="25" spans="1:8" x14ac:dyDescent="0.25">
      <c r="E25" s="261"/>
      <c r="F25" s="261"/>
    </row>
    <row r="26" spans="1:8" ht="15.75" thickBot="1" x14ac:dyDescent="0.3">
      <c r="E26" s="261"/>
      <c r="F26" s="261"/>
    </row>
    <row r="27" spans="1:8" x14ac:dyDescent="0.25">
      <c r="A27" s="246">
        <v>8</v>
      </c>
      <c r="B27" s="247" t="s">
        <v>342</v>
      </c>
      <c r="C27" s="248"/>
      <c r="D27" s="248"/>
      <c r="E27" s="263"/>
      <c r="F27" s="250">
        <f>ROUNDUP(F28,0)</f>
        <v>878843</v>
      </c>
    </row>
    <row r="28" spans="1:8" x14ac:dyDescent="0.25">
      <c r="A28" s="272">
        <v>8.1</v>
      </c>
      <c r="B28" s="273" t="s">
        <v>342</v>
      </c>
      <c r="C28" s="274" t="s">
        <v>319</v>
      </c>
      <c r="D28" s="274">
        <f>+D8</f>
        <v>142.64600000000002</v>
      </c>
      <c r="E28" s="275">
        <f>+'[6]APU 8'!J17</f>
        <v>6161</v>
      </c>
      <c r="F28" s="256">
        <f t="shared" ref="F28" si="3">ROUNDUP(D28*E28,0)</f>
        <v>878843</v>
      </c>
    </row>
    <row r="29" spans="1:8" x14ac:dyDescent="0.25">
      <c r="A29" s="276"/>
      <c r="B29" s="277"/>
      <c r="C29" s="278"/>
      <c r="D29" s="278"/>
      <c r="E29" s="279"/>
      <c r="F29" s="262"/>
    </row>
    <row r="30" spans="1:8" ht="15.75" thickBot="1" x14ac:dyDescent="0.3">
      <c r="A30" s="531" t="s">
        <v>164</v>
      </c>
      <c r="B30" s="531"/>
      <c r="C30" s="531"/>
      <c r="D30" s="531"/>
      <c r="E30" s="531"/>
      <c r="F30" s="531"/>
    </row>
    <row r="31" spans="1:8" x14ac:dyDescent="0.25">
      <c r="A31" s="246">
        <v>9</v>
      </c>
      <c r="B31" s="247" t="s">
        <v>317</v>
      </c>
      <c r="C31" s="248"/>
      <c r="D31" s="248"/>
      <c r="E31" s="249"/>
      <c r="F31" s="250">
        <f>ROUNDUP(SUM(F32:F34),0)</f>
        <v>3968743</v>
      </c>
      <c r="G31" s="251">
        <f>+F31+F36+F43</f>
        <v>27901798.521161899</v>
      </c>
    </row>
    <row r="32" spans="1:8" x14ac:dyDescent="0.25">
      <c r="A32" s="252">
        <v>9.1</v>
      </c>
      <c r="B32" s="253" t="s">
        <v>318</v>
      </c>
      <c r="C32" s="254" t="s">
        <v>319</v>
      </c>
      <c r="D32" s="255">
        <f>'[3]Cantidad de obra 9'!J18</f>
        <v>252.37470000000002</v>
      </c>
      <c r="E32" s="256">
        <f>'[3]APU 9'!N24</f>
        <v>7546</v>
      </c>
      <c r="F32" s="256">
        <f>ROUNDUP(D32*E32,0)</f>
        <v>1904420</v>
      </c>
      <c r="G32" s="237">
        <f>+G31*1.4052</f>
        <v>39207607.281936698</v>
      </c>
    </row>
    <row r="33" spans="1:7" x14ac:dyDescent="0.25">
      <c r="A33" s="252">
        <v>9.1999999999999993</v>
      </c>
      <c r="B33" s="253" t="s">
        <v>320</v>
      </c>
      <c r="C33" s="254" t="s">
        <v>319</v>
      </c>
      <c r="D33" s="255">
        <f>'[3]Cantidad de obra 9'!J37</f>
        <v>252.37470000000002</v>
      </c>
      <c r="E33" s="256">
        <f>'[3]APU 9'!N46</f>
        <v>8148</v>
      </c>
      <c r="F33" s="256">
        <f>ROUNDUP(D33*E33,0)</f>
        <v>2056350</v>
      </c>
    </row>
    <row r="34" spans="1:7" x14ac:dyDescent="0.25">
      <c r="A34" s="252">
        <v>9.3000000000000007</v>
      </c>
      <c r="B34" s="253" t="s">
        <v>321</v>
      </c>
      <c r="C34" s="254" t="s">
        <v>322</v>
      </c>
      <c r="D34" s="255">
        <f>'[3]Cantidad de obra 9'!J54</f>
        <v>1.08</v>
      </c>
      <c r="E34" s="256">
        <f>'[3]APU 9'!N68</f>
        <v>7382</v>
      </c>
      <c r="F34" s="256">
        <f>ROUNDUP(D34*E34,0)</f>
        <v>7973</v>
      </c>
    </row>
    <row r="35" spans="1:7" ht="15.75" thickBot="1" x14ac:dyDescent="0.3">
      <c r="F35" s="281"/>
    </row>
    <row r="36" spans="1:7" x14ac:dyDescent="0.25">
      <c r="A36" s="246">
        <v>10</v>
      </c>
      <c r="B36" s="247" t="s">
        <v>343</v>
      </c>
      <c r="C36" s="248"/>
      <c r="D36" s="248"/>
      <c r="E36" s="263"/>
      <c r="F36" s="250">
        <f>SUM(F37:F41)</f>
        <v>11154384.521161901</v>
      </c>
    </row>
    <row r="37" spans="1:7" x14ac:dyDescent="0.25">
      <c r="A37" s="252">
        <v>10.1</v>
      </c>
      <c r="B37" s="253" t="s">
        <v>344</v>
      </c>
      <c r="C37" s="254" t="s">
        <v>339</v>
      </c>
      <c r="D37" s="255">
        <f>'[3]Cantidad de obra 10'!J18</f>
        <v>40</v>
      </c>
      <c r="E37" s="256">
        <f>[3]INSUMOS!$H$29</f>
        <v>98663.692999999999</v>
      </c>
      <c r="F37" s="256">
        <f>D37*E37</f>
        <v>3946547.7199999997</v>
      </c>
    </row>
    <row r="38" spans="1:7" x14ac:dyDescent="0.25">
      <c r="A38" s="252">
        <v>10.3</v>
      </c>
      <c r="B38" s="253" t="s">
        <v>345</v>
      </c>
      <c r="C38" s="254" t="s">
        <v>339</v>
      </c>
      <c r="D38" s="255">
        <v>5</v>
      </c>
      <c r="E38" s="256">
        <f>[3]INSUMOS!$H$30</f>
        <v>271930.08600000001</v>
      </c>
      <c r="F38" s="256">
        <f t="shared" ref="F38:F41" si="4">D38*E38</f>
        <v>1359650.4300000002</v>
      </c>
    </row>
    <row r="39" spans="1:7" x14ac:dyDescent="0.25">
      <c r="A39" s="252">
        <v>10.4</v>
      </c>
      <c r="B39" s="253" t="s">
        <v>346</v>
      </c>
      <c r="C39" s="254" t="s">
        <v>339</v>
      </c>
      <c r="D39" s="255">
        <f>'[3]Cantidad de obra 10'!J75</f>
        <v>98</v>
      </c>
      <c r="E39" s="256">
        <f>[3]INSUMOS!$H$31</f>
        <v>10355.628999999999</v>
      </c>
      <c r="F39" s="256">
        <f t="shared" si="4"/>
        <v>1014851.6419999999</v>
      </c>
    </row>
    <row r="40" spans="1:7" x14ac:dyDescent="0.25">
      <c r="A40" s="252">
        <v>10.5</v>
      </c>
      <c r="B40" s="459" t="s">
        <v>347</v>
      </c>
      <c r="C40" s="254" t="s">
        <v>339</v>
      </c>
      <c r="D40" s="255">
        <f>'[3]Cantidad de obra 10'!J94/100</f>
        <v>2.5237470000000002</v>
      </c>
      <c r="E40" s="256">
        <f>[3]INSUMOS!$H$32</f>
        <v>1680644.7829999998</v>
      </c>
      <c r="F40" s="256">
        <f t="shared" si="4"/>
        <v>4241522.2291619005</v>
      </c>
    </row>
    <row r="41" spans="1:7" x14ac:dyDescent="0.25">
      <c r="A41" s="252">
        <v>10.6</v>
      </c>
      <c r="B41" s="253" t="s">
        <v>348</v>
      </c>
      <c r="C41" s="254" t="s">
        <v>339</v>
      </c>
      <c r="D41" s="255">
        <v>625</v>
      </c>
      <c r="E41" s="256">
        <f>[3]INSUMOS!$H$33</f>
        <v>946.9</v>
      </c>
      <c r="F41" s="256">
        <f t="shared" si="4"/>
        <v>591812.5</v>
      </c>
    </row>
    <row r="42" spans="1:7" ht="15.75" thickBot="1" x14ac:dyDescent="0.3">
      <c r="A42" s="282"/>
      <c r="B42" s="283"/>
      <c r="C42" s="284"/>
      <c r="D42" s="285"/>
      <c r="E42" s="286"/>
      <c r="F42" s="256"/>
    </row>
    <row r="43" spans="1:7" x14ac:dyDescent="0.25">
      <c r="A43" s="246">
        <v>11</v>
      </c>
      <c r="B43" s="247" t="s">
        <v>349</v>
      </c>
      <c r="C43" s="248"/>
      <c r="D43" s="248"/>
      <c r="E43" s="249"/>
      <c r="F43" s="250">
        <f>ROUNDUP(SUM(F44:F45),0)</f>
        <v>12778671</v>
      </c>
    </row>
    <row r="44" spans="1:7" x14ac:dyDescent="0.25">
      <c r="A44" s="252">
        <v>11.1</v>
      </c>
      <c r="B44" s="253" t="s">
        <v>350</v>
      </c>
      <c r="C44" s="254" t="s">
        <v>341</v>
      </c>
      <c r="D44" s="255">
        <f>'[3]Cantidad de obra 11'!J18</f>
        <v>98</v>
      </c>
      <c r="E44" s="256">
        <f>[3]INSUMOS!H35</f>
        <v>9348.1819999999989</v>
      </c>
      <c r="F44" s="256">
        <f>ROUNDUP(D44*E44,0)</f>
        <v>916122</v>
      </c>
    </row>
    <row r="45" spans="1:7" x14ac:dyDescent="0.25">
      <c r="A45" s="252">
        <v>11.2</v>
      </c>
      <c r="B45" s="253" t="s">
        <v>351</v>
      </c>
      <c r="C45" s="254" t="s">
        <v>339</v>
      </c>
      <c r="D45" s="255">
        <f>'[3]Cantidad de obra 11'!J37</f>
        <v>490</v>
      </c>
      <c r="E45" s="256">
        <f>[3]INSUMOS!H36</f>
        <v>24209.282999999999</v>
      </c>
      <c r="F45" s="256">
        <f>ROUNDUP(D45*E45,0)</f>
        <v>11862549</v>
      </c>
    </row>
    <row r="46" spans="1:7" ht="15.75" thickBot="1" x14ac:dyDescent="0.3">
      <c r="A46" s="532" t="s">
        <v>352</v>
      </c>
      <c r="B46" s="532"/>
      <c r="C46" s="532"/>
      <c r="D46" s="532"/>
      <c r="E46" s="532"/>
      <c r="F46" s="532"/>
    </row>
    <row r="47" spans="1:7" x14ac:dyDescent="0.25">
      <c r="A47" s="246">
        <v>11</v>
      </c>
      <c r="B47" s="247" t="s">
        <v>353</v>
      </c>
      <c r="C47" s="248"/>
      <c r="D47" s="248"/>
      <c r="E47" s="249"/>
      <c r="F47" s="250">
        <f>ROUNDUP(SUM(F48:F49),0)</f>
        <v>61028869</v>
      </c>
      <c r="G47" s="237">
        <f>+F47*1.4056</f>
        <v>85782178.266399994</v>
      </c>
    </row>
    <row r="48" spans="1:7" x14ac:dyDescent="0.25">
      <c r="A48" s="252">
        <v>11.1</v>
      </c>
      <c r="B48" s="253" t="s">
        <v>354</v>
      </c>
      <c r="C48" s="254" t="s">
        <v>322</v>
      </c>
      <c r="D48" s="255">
        <f>'[3]Cantidad de obra 12'!J18</f>
        <v>445</v>
      </c>
      <c r="E48" s="256">
        <f>'[3]APU 12'!N31*1.052</f>
        <v>136036.22400000002</v>
      </c>
      <c r="F48" s="256">
        <f>ROUNDUP(D48*E48,0)</f>
        <v>60536120</v>
      </c>
    </row>
    <row r="49" spans="1:11" ht="30" x14ac:dyDescent="0.25">
      <c r="A49" s="252">
        <v>11.2</v>
      </c>
      <c r="B49" s="253" t="s">
        <v>355</v>
      </c>
      <c r="C49" s="254" t="s">
        <v>322</v>
      </c>
      <c r="D49" s="255">
        <f>'[3]Cantidad de obra 12'!J37</f>
        <v>66.75</v>
      </c>
      <c r="E49" s="256">
        <f>'[3]APU 12'!N53</f>
        <v>7382</v>
      </c>
      <c r="F49" s="256">
        <f>ROUNDUP(D49*E49,0)</f>
        <v>492749</v>
      </c>
    </row>
    <row r="50" spans="1:11" ht="15.75" thickBot="1" x14ac:dyDescent="0.3">
      <c r="A50" s="287"/>
      <c r="D50" s="288"/>
      <c r="E50" s="261"/>
      <c r="F50" s="289"/>
      <c r="H50" s="238" t="s">
        <v>113</v>
      </c>
      <c r="I50" s="238" t="s">
        <v>114</v>
      </c>
      <c r="J50" s="238" t="s">
        <v>356</v>
      </c>
    </row>
    <row r="51" spans="1:11" x14ac:dyDescent="0.25">
      <c r="D51" s="533" t="s">
        <v>357</v>
      </c>
      <c r="E51" s="534"/>
      <c r="F51" s="290">
        <f>F43+F36+F31+F27+F20+F17+F13+F7+F47</f>
        <v>235048952.52116191</v>
      </c>
      <c r="G51" s="237">
        <f>199434380</f>
        <v>199434380</v>
      </c>
      <c r="H51" s="300">
        <f>+F43+F36+F31</f>
        <v>27901798.521161899</v>
      </c>
      <c r="I51" s="300">
        <f>+F27+F20+F17+F13+F7</f>
        <v>146118285</v>
      </c>
      <c r="J51" s="300">
        <f>+F47</f>
        <v>61028869</v>
      </c>
      <c r="K51" s="300">
        <f>SUM(H51:J51)</f>
        <v>235048952.52116191</v>
      </c>
    </row>
    <row r="52" spans="1:11" x14ac:dyDescent="0.25">
      <c r="D52" s="291" t="s">
        <v>358</v>
      </c>
      <c r="E52" s="292">
        <f>[3]AIU!I34</f>
        <v>0.19280720981916943</v>
      </c>
      <c r="F52" s="293">
        <f>$F$51*E52</f>
        <v>45319132.706523657</v>
      </c>
      <c r="G52" s="294">
        <f>G51-F51</f>
        <v>-35614572.521161914</v>
      </c>
      <c r="H52" s="300">
        <f>+$H$51*E52</f>
        <v>5379667.9218018539</v>
      </c>
      <c r="I52" s="300">
        <f>+$I$51*E52</f>
        <v>28172658.834412199</v>
      </c>
      <c r="J52" s="300">
        <f>+$J$51*E52</f>
        <v>11766805.950309604</v>
      </c>
      <c r="K52" s="300">
        <f t="shared" ref="K52:K55" si="5">SUM(H52:J52)</f>
        <v>45319132.706523657</v>
      </c>
    </row>
    <row r="53" spans="1:11" x14ac:dyDescent="0.25">
      <c r="D53" s="291" t="s">
        <v>359</v>
      </c>
      <c r="E53" s="292">
        <v>0.03</v>
      </c>
      <c r="F53" s="293">
        <f>$F$51*E53</f>
        <v>7051468.5756348567</v>
      </c>
      <c r="H53" s="300">
        <f>+$H$51*E53</f>
        <v>837053.95563485695</v>
      </c>
      <c r="I53" s="300">
        <f>+$I$51*E53</f>
        <v>4383548.55</v>
      </c>
      <c r="J53" s="300">
        <f t="shared" ref="J53:J54" si="6">+$J$51*E53</f>
        <v>1830866.0699999998</v>
      </c>
      <c r="K53" s="300">
        <f t="shared" si="5"/>
        <v>7051468.5756348558</v>
      </c>
    </row>
    <row r="54" spans="1:11" x14ac:dyDescent="0.25">
      <c r="D54" s="291" t="s">
        <v>360</v>
      </c>
      <c r="E54" s="292">
        <v>0.05</v>
      </c>
      <c r="F54" s="293">
        <f>$F$51*E54</f>
        <v>11752447.626058096</v>
      </c>
      <c r="H54" s="300">
        <f>+$H$51*E54</f>
        <v>1395089.9260580949</v>
      </c>
      <c r="I54" s="300">
        <f>+$I$51*E54</f>
        <v>7305914.25</v>
      </c>
      <c r="J54" s="300">
        <f t="shared" si="6"/>
        <v>3051443.45</v>
      </c>
      <c r="K54" s="300">
        <f t="shared" si="5"/>
        <v>11752447.626058094</v>
      </c>
    </row>
    <row r="55" spans="1:11" x14ac:dyDescent="0.25">
      <c r="D55" s="295" t="s">
        <v>361</v>
      </c>
      <c r="E55" s="296">
        <v>0.19</v>
      </c>
      <c r="F55" s="293">
        <f>$F$52*E55</f>
        <v>8610635.2142394949</v>
      </c>
      <c r="H55" s="300">
        <f>+$H$52*E55</f>
        <v>1022136.9051423522</v>
      </c>
      <c r="I55" s="300">
        <f>+$I$52*E55</f>
        <v>5352805.1785383178</v>
      </c>
      <c r="J55" s="300">
        <f>+$J$52*E55</f>
        <v>2235693.1305588246</v>
      </c>
      <c r="K55" s="300">
        <f t="shared" si="5"/>
        <v>8610635.2142394949</v>
      </c>
    </row>
    <row r="56" spans="1:11" ht="15.75" thickBot="1" x14ac:dyDescent="0.3">
      <c r="D56" s="297" t="s">
        <v>362</v>
      </c>
      <c r="E56" s="298">
        <f>+E52+E53+E54</f>
        <v>0.27280720981916945</v>
      </c>
      <c r="F56" s="293">
        <f>SUM(F52:F55)</f>
        <v>72733684.122456104</v>
      </c>
      <c r="H56" s="300"/>
      <c r="I56" s="300"/>
      <c r="J56" s="300"/>
      <c r="K56" s="300"/>
    </row>
    <row r="57" spans="1:11" ht="15.75" thickBot="1" x14ac:dyDescent="0.3">
      <c r="F57" s="262"/>
      <c r="H57" s="300"/>
      <c r="I57" s="300"/>
      <c r="J57" s="300"/>
      <c r="K57" s="300"/>
    </row>
    <row r="58" spans="1:11" ht="15.75" thickBot="1" x14ac:dyDescent="0.3">
      <c r="D58" s="522" t="s">
        <v>363</v>
      </c>
      <c r="E58" s="523"/>
      <c r="F58" s="299">
        <f>ROUNDUP(SUM(F51+F56),0)</f>
        <v>307782637</v>
      </c>
      <c r="G58" s="237">
        <v>280252476</v>
      </c>
      <c r="H58" s="460">
        <f>ROUND((SUM(H51:H57)),0)</f>
        <v>36535747</v>
      </c>
      <c r="I58" s="460">
        <f>ROUND((SUM(I51:I57)),0)</f>
        <v>191333212</v>
      </c>
      <c r="J58" s="460">
        <f>ROUND((SUM(J51:J57)),0)</f>
        <v>79913678</v>
      </c>
      <c r="K58" s="460">
        <f>ROUND((SUM(K51:K57)),0)</f>
        <v>307782637</v>
      </c>
    </row>
    <row r="59" spans="1:11" x14ac:dyDescent="0.25">
      <c r="F59" s="262"/>
      <c r="G59" s="251">
        <f>G58-F58</f>
        <v>-27530161</v>
      </c>
      <c r="H59" s="300"/>
      <c r="I59" s="300">
        <f>ROUND((+I58/2),0)</f>
        <v>95666606</v>
      </c>
      <c r="J59" s="300"/>
      <c r="K59" s="300"/>
    </row>
    <row r="60" spans="1:11" x14ac:dyDescent="0.25">
      <c r="F60" s="262"/>
    </row>
    <row r="61" spans="1:11" ht="15.75" thickBot="1" x14ac:dyDescent="0.3">
      <c r="F61" s="262"/>
    </row>
    <row r="62" spans="1:11" ht="15.75" thickBot="1" x14ac:dyDescent="0.3">
      <c r="D62" s="522" t="s">
        <v>364</v>
      </c>
      <c r="E62" s="523"/>
      <c r="F62" s="299">
        <f>ROUNDUP(F58,0)</f>
        <v>307782637</v>
      </c>
    </row>
    <row r="64" spans="1:11" x14ac:dyDescent="0.25">
      <c r="F64" s="301"/>
    </row>
    <row r="85" spans="1:11" ht="39" customHeight="1" x14ac:dyDescent="0.25"/>
    <row r="86" spans="1:11" ht="34.9" customHeight="1" x14ac:dyDescent="0.25"/>
    <row r="87" spans="1:11" ht="39.6" customHeight="1" x14ac:dyDescent="0.25"/>
    <row r="88" spans="1:11" ht="34.9" customHeight="1" x14ac:dyDescent="0.25"/>
    <row r="92" spans="1:11" s="303" customFormat="1" x14ac:dyDescent="0.25">
      <c r="A92" s="257"/>
      <c r="B92" s="259"/>
      <c r="C92" s="260"/>
      <c r="D92" s="260"/>
      <c r="E92" s="280"/>
      <c r="F92" s="302"/>
      <c r="H92" s="304"/>
      <c r="I92" s="304"/>
      <c r="J92" s="304"/>
      <c r="K92" s="304"/>
    </row>
    <row r="100" ht="32.450000000000003" customHeight="1" x14ac:dyDescent="0.25"/>
    <row r="101" ht="45.6" customHeight="1" x14ac:dyDescent="0.25"/>
    <row r="102" ht="45.6" customHeight="1" x14ac:dyDescent="0.25"/>
    <row r="103" ht="12.6" customHeight="1" x14ac:dyDescent="0.25"/>
    <row r="104" ht="28.9" customHeight="1" x14ac:dyDescent="0.25"/>
    <row r="115" ht="28.15" customHeight="1" x14ac:dyDescent="0.25"/>
  </sheetData>
  <mergeCells count="8">
    <mergeCell ref="D58:E58"/>
    <mergeCell ref="D62:E62"/>
    <mergeCell ref="A1:F1"/>
    <mergeCell ref="A3:F3"/>
    <mergeCell ref="A6:F6"/>
    <mergeCell ref="A30:F30"/>
    <mergeCell ref="A46:F46"/>
    <mergeCell ref="D51:E51"/>
  </mergeCells>
  <pageMargins left="0.7" right="0.7" top="0.75" bottom="0.75" header="0.3" footer="0.3"/>
  <pageSetup paperSize="9" scale="70" orientation="portrait" horizontalDpi="1200" verticalDpi="1200" r:id="rId1"/>
  <rowBreaks count="1" manualBreakCount="1">
    <brk id="82"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B0F0"/>
  </sheetPr>
  <dimension ref="A1:IV240"/>
  <sheetViews>
    <sheetView zoomScale="59" zoomScaleNormal="59" workbookViewId="0">
      <pane xSplit="8" ySplit="15" topLeftCell="I138" activePane="bottomRight" state="frozen"/>
      <selection pane="topRight" activeCell="I1" sqref="I1"/>
      <selection pane="bottomLeft" activeCell="A16" sqref="A16"/>
      <selection pane="bottomRight" activeCell="G142" sqref="G142"/>
    </sheetView>
  </sheetViews>
  <sheetFormatPr baseColWidth="10" defaultColWidth="11.42578125" defaultRowHeight="18" x14ac:dyDescent="0.25"/>
  <cols>
    <col min="1" max="1" width="4.85546875" style="12" customWidth="1"/>
    <col min="2" max="2" width="37.42578125" style="64" bestFit="1" customWidth="1"/>
    <col min="3" max="3" width="13" style="64" bestFit="1" customWidth="1"/>
    <col min="4" max="4" width="12" style="64" bestFit="1" customWidth="1"/>
    <col min="5" max="5" width="2.140625" style="64" customWidth="1"/>
    <col min="6" max="6" width="30.7109375" style="64" bestFit="1" customWidth="1"/>
    <col min="7" max="7" width="28.7109375" style="81" bestFit="1" customWidth="1"/>
    <col min="8" max="8" width="27" style="64" bestFit="1" customWidth="1"/>
    <col min="9" max="9" width="28.7109375" style="199" bestFit="1" customWidth="1"/>
    <col min="10" max="10" width="17.5703125" style="64" bestFit="1" customWidth="1"/>
    <col min="11" max="11" width="28.7109375" style="64" bestFit="1" customWidth="1"/>
    <col min="12" max="12" width="17.140625" style="64" bestFit="1" customWidth="1"/>
    <col min="13" max="13" width="28.7109375" style="64" bestFit="1" customWidth="1"/>
    <col min="14" max="14" width="17.140625" style="64" bestFit="1" customWidth="1"/>
    <col min="15" max="15" width="28.7109375" style="64" bestFit="1" customWidth="1"/>
    <col min="16" max="16" width="19" style="64" bestFit="1" customWidth="1"/>
    <col min="17" max="17" width="28.7109375" style="64" bestFit="1" customWidth="1"/>
    <col min="18" max="18" width="17.140625" style="64" bestFit="1" customWidth="1"/>
    <col min="19" max="19" width="28.7109375" style="64" bestFit="1" customWidth="1"/>
    <col min="20" max="20" width="17.140625" style="64" bestFit="1" customWidth="1"/>
    <col min="21" max="21" width="28.7109375" style="64" bestFit="1" customWidth="1"/>
    <col min="22" max="22" width="16.85546875" style="64" customWidth="1"/>
    <col min="23" max="23" width="28.7109375" style="64" bestFit="1" customWidth="1"/>
    <col min="24" max="24" width="17.140625" style="64" bestFit="1" customWidth="1"/>
    <col min="25" max="25" width="28.7109375" style="64" bestFit="1" customWidth="1"/>
    <col min="26" max="26" width="17.140625" style="64" bestFit="1" customWidth="1"/>
    <col min="27" max="27" width="28.7109375" style="64" bestFit="1" customWidth="1"/>
    <col min="28" max="28" width="17.140625" style="64" bestFit="1" customWidth="1"/>
    <col min="29" max="29" width="28.7109375" style="64" bestFit="1" customWidth="1"/>
    <col min="30" max="30" width="17.140625" style="64" bestFit="1" customWidth="1"/>
    <col min="31" max="31" width="28.7109375" style="64" bestFit="1" customWidth="1"/>
    <col min="32" max="32" width="17.140625" style="12" bestFit="1" customWidth="1"/>
    <col min="33" max="33" width="28.7109375" style="17" bestFit="1" customWidth="1"/>
    <col min="34" max="34" width="26.7109375" style="17" bestFit="1" customWidth="1"/>
    <col min="35" max="16384" width="11.42578125" style="17"/>
  </cols>
  <sheetData>
    <row r="1" spans="1:256" ht="15" customHeight="1" x14ac:dyDescent="0.25">
      <c r="B1" s="13"/>
      <c r="C1" s="13"/>
      <c r="D1" s="13"/>
      <c r="E1" s="13"/>
      <c r="F1" s="13"/>
      <c r="G1" s="14"/>
      <c r="H1" s="13"/>
      <c r="I1" s="180"/>
      <c r="J1" s="13"/>
      <c r="K1" s="13"/>
      <c r="L1" s="13"/>
      <c r="M1" s="13"/>
      <c r="N1" s="13"/>
      <c r="O1" s="13"/>
      <c r="P1" s="13"/>
      <c r="Q1" s="13"/>
      <c r="R1" s="13"/>
      <c r="S1" s="13"/>
      <c r="T1" s="13"/>
      <c r="U1" s="13"/>
      <c r="V1" s="13"/>
      <c r="W1" s="13"/>
      <c r="X1" s="13"/>
      <c r="Y1" s="13"/>
      <c r="Z1" s="13"/>
      <c r="AA1" s="13"/>
      <c r="AB1" s="13"/>
      <c r="AC1" s="13"/>
      <c r="AD1" s="13"/>
      <c r="AE1" s="13"/>
      <c r="AF1" s="15"/>
      <c r="AG1" s="16"/>
      <c r="AH1" s="16"/>
      <c r="AI1" s="16"/>
      <c r="AJ1" s="16"/>
      <c r="AK1" s="16"/>
      <c r="AL1" s="16"/>
      <c r="AM1" s="16"/>
      <c r="AN1" s="16"/>
      <c r="AO1" s="16"/>
      <c r="AP1" s="16"/>
      <c r="AQ1" s="16"/>
      <c r="AR1" s="16"/>
      <c r="AS1" s="16"/>
      <c r="AT1" s="16"/>
      <c r="AU1" s="16"/>
      <c r="AV1" s="16"/>
      <c r="AW1" s="16"/>
      <c r="AX1" s="16"/>
      <c r="AY1" s="16"/>
      <c r="AZ1" s="16"/>
      <c r="BA1" s="16"/>
      <c r="BB1" s="16"/>
      <c r="BC1" s="16"/>
      <c r="BD1" s="16"/>
      <c r="BE1" s="16"/>
      <c r="BF1" s="16"/>
      <c r="BG1" s="16"/>
      <c r="BH1" s="16"/>
      <c r="BI1" s="16"/>
      <c r="BJ1" s="16"/>
      <c r="BK1" s="16"/>
      <c r="BL1" s="16"/>
      <c r="BM1" s="16"/>
      <c r="BN1" s="16"/>
      <c r="BO1" s="16"/>
      <c r="BP1" s="16"/>
      <c r="BQ1" s="16"/>
      <c r="BR1" s="16"/>
      <c r="BS1" s="16"/>
      <c r="BT1" s="16"/>
      <c r="BU1" s="16"/>
      <c r="BV1" s="16"/>
      <c r="BW1" s="16"/>
      <c r="BX1" s="16"/>
      <c r="BY1" s="16"/>
      <c r="BZ1" s="16"/>
      <c r="CA1" s="16"/>
      <c r="CB1" s="16"/>
      <c r="CC1" s="16"/>
      <c r="CD1" s="16"/>
      <c r="CE1" s="16"/>
      <c r="CF1" s="16"/>
      <c r="CG1" s="16"/>
      <c r="CH1" s="16"/>
      <c r="CI1" s="16"/>
      <c r="CJ1" s="16"/>
      <c r="CK1" s="16"/>
      <c r="CL1" s="16"/>
      <c r="CM1" s="16"/>
      <c r="CN1" s="16"/>
      <c r="CO1" s="16"/>
      <c r="CP1" s="16"/>
      <c r="CQ1" s="16"/>
      <c r="CR1" s="16"/>
      <c r="CS1" s="16"/>
      <c r="CT1" s="16"/>
      <c r="CU1" s="16"/>
      <c r="CV1" s="16"/>
      <c r="CW1" s="16"/>
      <c r="CX1" s="16"/>
      <c r="CY1" s="16"/>
      <c r="CZ1" s="16"/>
      <c r="DA1" s="16"/>
      <c r="DB1" s="16"/>
      <c r="DC1" s="16"/>
      <c r="DD1" s="16"/>
      <c r="DE1" s="16"/>
      <c r="DF1" s="16"/>
      <c r="DG1" s="16"/>
      <c r="DH1" s="16"/>
      <c r="DI1" s="16"/>
      <c r="DJ1" s="16"/>
      <c r="DK1" s="16"/>
      <c r="DL1" s="16"/>
      <c r="DM1" s="16"/>
      <c r="DN1" s="16"/>
      <c r="DO1" s="16"/>
      <c r="DP1" s="16"/>
      <c r="DQ1" s="16"/>
      <c r="DR1" s="16"/>
      <c r="DS1" s="16"/>
      <c r="DT1" s="16"/>
      <c r="DU1" s="16"/>
      <c r="DV1" s="16"/>
      <c r="DW1" s="16"/>
      <c r="DX1" s="16"/>
      <c r="DY1" s="16"/>
      <c r="DZ1" s="16"/>
      <c r="EA1" s="16"/>
      <c r="EB1" s="16"/>
      <c r="EC1" s="16"/>
      <c r="ED1" s="16"/>
      <c r="EE1" s="16"/>
      <c r="EF1" s="16"/>
      <c r="EG1" s="16"/>
      <c r="EH1" s="16"/>
      <c r="EI1" s="16"/>
      <c r="EJ1" s="16"/>
      <c r="EK1" s="16"/>
      <c r="EL1" s="16"/>
      <c r="EM1" s="16"/>
      <c r="EN1" s="16"/>
      <c r="EO1" s="16"/>
      <c r="EP1" s="16"/>
      <c r="EQ1" s="16"/>
      <c r="ER1" s="16"/>
      <c r="ES1" s="16"/>
      <c r="ET1" s="16"/>
      <c r="EU1" s="16"/>
      <c r="EV1" s="16"/>
      <c r="EW1" s="16"/>
      <c r="EX1" s="16"/>
      <c r="EY1" s="16"/>
      <c r="EZ1" s="16"/>
      <c r="FA1" s="16"/>
      <c r="FB1" s="16"/>
      <c r="FC1" s="16"/>
      <c r="FD1" s="16"/>
      <c r="FE1" s="16"/>
      <c r="FF1" s="16"/>
      <c r="FG1" s="16"/>
      <c r="FH1" s="16"/>
      <c r="FI1" s="16"/>
      <c r="FJ1" s="16"/>
      <c r="FK1" s="16"/>
      <c r="FL1" s="16"/>
      <c r="FM1" s="16"/>
      <c r="FN1" s="16"/>
      <c r="FO1" s="16"/>
      <c r="FP1" s="16"/>
      <c r="FQ1" s="16"/>
      <c r="FR1" s="16"/>
      <c r="FS1" s="16"/>
      <c r="FT1" s="16"/>
      <c r="FU1" s="16"/>
      <c r="FV1" s="16"/>
      <c r="FW1" s="16"/>
      <c r="FX1" s="16"/>
      <c r="FY1" s="16"/>
      <c r="FZ1" s="16"/>
      <c r="GA1" s="16"/>
      <c r="GB1" s="16"/>
      <c r="GC1" s="16"/>
      <c r="GD1" s="16"/>
      <c r="GE1" s="16"/>
      <c r="GF1" s="16"/>
      <c r="GG1" s="16"/>
      <c r="GH1" s="16"/>
      <c r="GI1" s="16"/>
      <c r="GJ1" s="16"/>
      <c r="GK1" s="16"/>
      <c r="GL1" s="16"/>
      <c r="GM1" s="16"/>
      <c r="GN1" s="16"/>
      <c r="GO1" s="16"/>
      <c r="GP1" s="16"/>
      <c r="GQ1" s="16"/>
      <c r="GR1" s="16"/>
      <c r="GS1" s="16"/>
      <c r="GT1" s="16"/>
      <c r="GU1" s="16"/>
      <c r="GV1" s="16"/>
      <c r="GW1" s="16"/>
      <c r="GX1" s="16"/>
      <c r="GY1" s="16"/>
      <c r="GZ1" s="16"/>
      <c r="HA1" s="16"/>
      <c r="HB1" s="16"/>
      <c r="HC1" s="16"/>
      <c r="HD1" s="16"/>
      <c r="HE1" s="16"/>
      <c r="HF1" s="16"/>
      <c r="HG1" s="16"/>
      <c r="HH1" s="16"/>
      <c r="HI1" s="16"/>
      <c r="HJ1" s="16"/>
      <c r="HK1" s="16"/>
      <c r="HL1" s="16"/>
      <c r="HM1" s="16"/>
      <c r="HN1" s="16"/>
      <c r="HO1" s="16"/>
      <c r="HP1" s="16"/>
      <c r="HQ1" s="16"/>
      <c r="HR1" s="16"/>
      <c r="HS1" s="16"/>
      <c r="HT1" s="16"/>
      <c r="HU1" s="16"/>
      <c r="HV1" s="16"/>
      <c r="HW1" s="16"/>
      <c r="HX1" s="16"/>
      <c r="HY1" s="16"/>
      <c r="HZ1" s="16"/>
      <c r="IA1" s="16"/>
      <c r="IB1" s="16"/>
      <c r="IC1" s="16"/>
      <c r="ID1" s="16"/>
      <c r="IE1" s="16"/>
      <c r="IF1" s="16"/>
      <c r="IG1" s="16"/>
      <c r="IH1" s="16"/>
      <c r="II1" s="16"/>
      <c r="IJ1" s="16"/>
      <c r="IK1" s="16"/>
      <c r="IL1" s="16"/>
      <c r="IM1" s="16"/>
      <c r="IN1" s="16"/>
      <c r="IO1" s="16"/>
      <c r="IP1" s="16"/>
      <c r="IQ1" s="16"/>
      <c r="IR1" s="16"/>
      <c r="IS1" s="16"/>
      <c r="IT1" s="16"/>
      <c r="IU1" s="16"/>
      <c r="IV1" s="16"/>
    </row>
    <row r="2" spans="1:256" x14ac:dyDescent="0.25">
      <c r="A2" s="18"/>
      <c r="B2" s="18"/>
      <c r="C2" s="18"/>
      <c r="D2" s="18"/>
      <c r="E2" s="18"/>
      <c r="F2" s="18"/>
      <c r="G2" s="19"/>
      <c r="H2" s="18"/>
      <c r="I2" s="181"/>
      <c r="J2" s="18"/>
      <c r="K2" s="18"/>
      <c r="L2" s="18"/>
      <c r="M2" s="18"/>
      <c r="N2" s="18"/>
      <c r="O2" s="18"/>
      <c r="P2" s="18"/>
      <c r="Q2" s="18"/>
      <c r="R2" s="18"/>
      <c r="S2" s="15"/>
      <c r="T2" s="15"/>
      <c r="U2" s="15"/>
      <c r="V2" s="15"/>
      <c r="W2" s="15"/>
      <c r="X2" s="15"/>
      <c r="Y2" s="15"/>
      <c r="Z2" s="15"/>
      <c r="AA2" s="15"/>
      <c r="AB2" s="15"/>
      <c r="AC2" s="15"/>
      <c r="AD2" s="15"/>
      <c r="AE2" s="15"/>
      <c r="AF2" s="15"/>
      <c r="AG2" s="16"/>
      <c r="AH2" s="16"/>
      <c r="AI2" s="16"/>
      <c r="AJ2" s="16"/>
      <c r="AK2" s="16"/>
      <c r="AL2" s="16"/>
      <c r="AM2" s="16"/>
      <c r="AN2" s="16"/>
      <c r="AO2" s="16"/>
      <c r="AP2" s="16"/>
      <c r="AQ2" s="16"/>
      <c r="AR2" s="16"/>
      <c r="AS2" s="16"/>
      <c r="AT2" s="16"/>
      <c r="AU2" s="16"/>
      <c r="AV2" s="16"/>
      <c r="AW2" s="16"/>
      <c r="AX2" s="16"/>
      <c r="AY2" s="16"/>
      <c r="AZ2" s="16"/>
      <c r="BA2" s="16"/>
      <c r="BB2" s="16"/>
      <c r="BC2" s="16"/>
      <c r="BD2" s="16"/>
      <c r="BE2" s="16"/>
      <c r="BF2" s="16"/>
      <c r="BG2" s="16"/>
      <c r="BH2" s="16"/>
      <c r="BI2" s="16"/>
      <c r="BJ2" s="16"/>
      <c r="BK2" s="16"/>
      <c r="BL2" s="16"/>
      <c r="BM2" s="16"/>
      <c r="BN2" s="16"/>
      <c r="BO2" s="16"/>
      <c r="BP2" s="16"/>
      <c r="BQ2" s="16"/>
      <c r="BR2" s="16"/>
      <c r="BS2" s="16"/>
      <c r="BT2" s="16"/>
      <c r="BU2" s="16"/>
      <c r="BV2" s="16"/>
      <c r="BW2" s="16"/>
      <c r="BX2" s="16"/>
      <c r="BY2" s="16"/>
      <c r="BZ2" s="16"/>
      <c r="CA2" s="16"/>
      <c r="CB2" s="16"/>
      <c r="CC2" s="16"/>
      <c r="CD2" s="16"/>
      <c r="CE2" s="16"/>
      <c r="CF2" s="16"/>
      <c r="CG2" s="16"/>
      <c r="CH2" s="16"/>
      <c r="CI2" s="16"/>
      <c r="CJ2" s="16"/>
      <c r="CK2" s="16"/>
      <c r="CL2" s="16"/>
      <c r="CM2" s="16"/>
      <c r="CN2" s="16"/>
      <c r="CO2" s="16"/>
      <c r="CP2" s="16"/>
      <c r="CQ2" s="16"/>
      <c r="CR2" s="16"/>
      <c r="CS2" s="16"/>
      <c r="CT2" s="16"/>
      <c r="CU2" s="16"/>
      <c r="CV2" s="16"/>
      <c r="CW2" s="16"/>
      <c r="CX2" s="16"/>
      <c r="CY2" s="16"/>
      <c r="CZ2" s="16"/>
      <c r="DA2" s="16"/>
      <c r="DB2" s="16"/>
      <c r="DC2" s="16"/>
      <c r="DD2" s="16"/>
      <c r="DE2" s="16"/>
      <c r="DF2" s="16"/>
      <c r="DG2" s="16"/>
      <c r="DH2" s="16"/>
      <c r="DI2" s="16"/>
      <c r="DJ2" s="16"/>
      <c r="DK2" s="16"/>
      <c r="DL2" s="16"/>
      <c r="DM2" s="16"/>
      <c r="DN2" s="16"/>
      <c r="DO2" s="16"/>
      <c r="DP2" s="16"/>
      <c r="DQ2" s="16"/>
      <c r="DR2" s="16"/>
      <c r="DS2" s="16"/>
      <c r="DT2" s="16"/>
      <c r="DU2" s="16"/>
      <c r="DV2" s="16"/>
      <c r="DW2" s="16"/>
      <c r="DX2" s="16"/>
      <c r="DY2" s="16"/>
      <c r="DZ2" s="16"/>
      <c r="EA2" s="16"/>
      <c r="EB2" s="16"/>
      <c r="EC2" s="16"/>
      <c r="ED2" s="16"/>
      <c r="EE2" s="16"/>
      <c r="EF2" s="16"/>
      <c r="EG2" s="16"/>
      <c r="EH2" s="16"/>
      <c r="EI2" s="16"/>
      <c r="EJ2" s="16"/>
      <c r="EK2" s="16"/>
      <c r="EL2" s="16"/>
      <c r="EM2" s="16"/>
      <c r="EN2" s="16"/>
      <c r="EO2" s="16"/>
      <c r="EP2" s="16"/>
      <c r="EQ2" s="16"/>
      <c r="ER2" s="16"/>
      <c r="ES2" s="16"/>
      <c r="ET2" s="16"/>
      <c r="EU2" s="16"/>
      <c r="EV2" s="16"/>
      <c r="EW2" s="16"/>
      <c r="EX2" s="16"/>
      <c r="EY2" s="16"/>
      <c r="EZ2" s="16"/>
      <c r="FA2" s="16"/>
      <c r="FB2" s="16"/>
      <c r="FC2" s="16"/>
      <c r="FD2" s="16"/>
      <c r="FE2" s="16"/>
      <c r="FF2" s="16"/>
      <c r="FG2" s="16"/>
      <c r="FH2" s="16"/>
      <c r="FI2" s="16"/>
      <c r="FJ2" s="16"/>
      <c r="FK2" s="16"/>
      <c r="FL2" s="16"/>
      <c r="FM2" s="16"/>
      <c r="FN2" s="16"/>
      <c r="FO2" s="16"/>
      <c r="FP2" s="16"/>
      <c r="FQ2" s="16"/>
      <c r="FR2" s="16"/>
      <c r="FS2" s="16"/>
      <c r="FT2" s="16"/>
      <c r="FU2" s="16"/>
      <c r="FV2" s="16"/>
      <c r="FW2" s="16"/>
      <c r="FX2" s="16"/>
      <c r="FY2" s="16"/>
      <c r="FZ2" s="16"/>
      <c r="GA2" s="16"/>
      <c r="GB2" s="16"/>
      <c r="GC2" s="16"/>
      <c r="GD2" s="16"/>
      <c r="GE2" s="16"/>
      <c r="GF2" s="16"/>
      <c r="GG2" s="16"/>
      <c r="GH2" s="16"/>
      <c r="GI2" s="16"/>
      <c r="GJ2" s="16"/>
      <c r="GK2" s="16"/>
      <c r="GL2" s="16"/>
      <c r="GM2" s="16"/>
      <c r="GN2" s="16"/>
      <c r="GO2" s="16"/>
      <c r="GP2" s="16"/>
      <c r="GQ2" s="16"/>
      <c r="GR2" s="16"/>
      <c r="GS2" s="16"/>
      <c r="GT2" s="16"/>
      <c r="GU2" s="16"/>
      <c r="GV2" s="16"/>
      <c r="GW2" s="16"/>
      <c r="GX2" s="16"/>
      <c r="GY2" s="16"/>
      <c r="GZ2" s="16"/>
      <c r="HA2" s="16"/>
      <c r="HB2" s="16"/>
      <c r="HC2" s="16"/>
      <c r="HD2" s="16"/>
      <c r="HE2" s="16"/>
      <c r="HF2" s="16"/>
      <c r="HG2" s="16"/>
      <c r="HH2" s="16"/>
      <c r="HI2" s="16"/>
      <c r="HJ2" s="16"/>
      <c r="HK2" s="16"/>
      <c r="HL2" s="16"/>
      <c r="HM2" s="16"/>
      <c r="HN2" s="16"/>
      <c r="HO2" s="16"/>
      <c r="HP2" s="16"/>
      <c r="HQ2" s="16"/>
      <c r="HR2" s="16"/>
      <c r="HS2" s="16"/>
      <c r="HT2" s="16"/>
      <c r="HU2" s="16"/>
      <c r="HV2" s="16"/>
      <c r="HW2" s="16"/>
      <c r="HX2" s="16"/>
      <c r="HY2" s="16"/>
      <c r="HZ2" s="16"/>
      <c r="IA2" s="16"/>
      <c r="IB2" s="16"/>
      <c r="IC2" s="16"/>
      <c r="ID2" s="16"/>
      <c r="IE2" s="16"/>
      <c r="IF2" s="16"/>
      <c r="IG2" s="16"/>
      <c r="IH2" s="16"/>
      <c r="II2" s="16"/>
      <c r="IJ2" s="16"/>
      <c r="IK2" s="16"/>
      <c r="IL2" s="16"/>
      <c r="IM2" s="16"/>
      <c r="IN2" s="16"/>
      <c r="IO2" s="16"/>
      <c r="IP2" s="16"/>
      <c r="IQ2" s="16"/>
      <c r="IR2" s="16"/>
      <c r="IS2" s="16"/>
      <c r="IT2" s="16"/>
      <c r="IU2" s="16"/>
      <c r="IV2" s="16"/>
    </row>
    <row r="3" spans="1:256" ht="35.25" customHeight="1" x14ac:dyDescent="0.25">
      <c r="A3" s="15"/>
      <c r="B3" s="535" t="s">
        <v>0</v>
      </c>
      <c r="C3" s="536"/>
      <c r="D3" s="537" t="s">
        <v>1</v>
      </c>
      <c r="E3" s="538"/>
      <c r="F3" s="538"/>
      <c r="G3" s="20"/>
      <c r="H3" s="21" t="s">
        <v>2</v>
      </c>
      <c r="I3" s="538" t="s">
        <v>3</v>
      </c>
      <c r="J3" s="538"/>
      <c r="K3" s="15"/>
      <c r="L3" s="535" t="s">
        <v>4</v>
      </c>
      <c r="M3" s="536"/>
      <c r="N3" s="539"/>
      <c r="O3" s="540"/>
      <c r="P3" s="540"/>
      <c r="Q3" s="541"/>
      <c r="R3" s="12"/>
      <c r="S3" s="22"/>
      <c r="T3" s="22"/>
      <c r="U3" s="22"/>
      <c r="V3" s="22"/>
      <c r="W3" s="22"/>
      <c r="X3" s="22"/>
      <c r="Y3" s="22"/>
      <c r="Z3" s="22"/>
      <c r="AA3" s="22"/>
      <c r="AB3" s="22"/>
      <c r="AC3" s="22"/>
      <c r="AD3" s="22"/>
      <c r="AE3" s="22"/>
      <c r="AF3" s="22"/>
      <c r="AG3" s="22"/>
      <c r="AH3" s="22"/>
      <c r="AI3" s="16"/>
      <c r="AJ3" s="16"/>
      <c r="AK3" s="16"/>
      <c r="AL3" s="16"/>
      <c r="AM3" s="16"/>
      <c r="AN3" s="16"/>
      <c r="AO3" s="16"/>
      <c r="AP3" s="16"/>
      <c r="AQ3" s="16"/>
      <c r="AR3" s="16"/>
      <c r="AS3" s="16"/>
      <c r="AT3" s="16"/>
      <c r="AU3" s="16"/>
      <c r="AV3" s="16"/>
      <c r="AW3" s="16"/>
      <c r="AX3" s="16"/>
      <c r="AY3" s="16"/>
      <c r="AZ3" s="16"/>
      <c r="BA3" s="16"/>
      <c r="BB3" s="16"/>
      <c r="BC3" s="16"/>
      <c r="BD3" s="16"/>
      <c r="BE3" s="16"/>
      <c r="BF3" s="16"/>
      <c r="BG3" s="16"/>
      <c r="BH3" s="16"/>
      <c r="BI3" s="16"/>
      <c r="BJ3" s="16"/>
      <c r="BK3" s="16"/>
      <c r="BL3" s="16"/>
      <c r="BM3" s="16"/>
      <c r="BN3" s="16"/>
      <c r="BO3" s="16"/>
      <c r="BP3" s="16"/>
      <c r="BQ3" s="16"/>
      <c r="BR3" s="16"/>
      <c r="BS3" s="16"/>
      <c r="BT3" s="16"/>
      <c r="BU3" s="16"/>
      <c r="BV3" s="16"/>
      <c r="BW3" s="16"/>
      <c r="BX3" s="16"/>
      <c r="BY3" s="16"/>
      <c r="BZ3" s="16"/>
      <c r="CA3" s="16"/>
      <c r="CB3" s="16"/>
      <c r="CC3" s="16"/>
      <c r="CD3" s="16"/>
      <c r="CE3" s="16"/>
      <c r="CF3" s="16"/>
      <c r="CG3" s="16"/>
      <c r="CH3" s="16"/>
      <c r="CI3" s="16"/>
      <c r="CJ3" s="16"/>
      <c r="CK3" s="16"/>
      <c r="CL3" s="16"/>
      <c r="CM3" s="16"/>
      <c r="CN3" s="16"/>
      <c r="CO3" s="16"/>
      <c r="CP3" s="16"/>
      <c r="CQ3" s="16"/>
      <c r="CR3" s="16"/>
      <c r="CS3" s="16"/>
      <c r="CT3" s="16"/>
      <c r="CU3" s="16"/>
      <c r="CV3" s="16"/>
      <c r="CW3" s="16"/>
      <c r="CX3" s="16"/>
      <c r="CY3" s="16"/>
      <c r="CZ3" s="16"/>
      <c r="DA3" s="16"/>
      <c r="DB3" s="16"/>
      <c r="DC3" s="16"/>
      <c r="DD3" s="16"/>
      <c r="DE3" s="16"/>
      <c r="DF3" s="16"/>
      <c r="DG3" s="16"/>
      <c r="DH3" s="16"/>
      <c r="DI3" s="16"/>
      <c r="DJ3" s="16"/>
      <c r="DK3" s="16"/>
      <c r="DL3" s="16"/>
      <c r="DM3" s="16"/>
      <c r="DN3" s="16"/>
      <c r="DO3" s="16"/>
      <c r="DP3" s="16"/>
      <c r="DQ3" s="16"/>
      <c r="DR3" s="16"/>
      <c r="DS3" s="16"/>
      <c r="DT3" s="16"/>
      <c r="DU3" s="16"/>
      <c r="DV3" s="16"/>
      <c r="DW3" s="16"/>
      <c r="DX3" s="16"/>
      <c r="DY3" s="16"/>
      <c r="DZ3" s="16"/>
      <c r="EA3" s="16"/>
      <c r="EB3" s="16"/>
      <c r="EC3" s="16"/>
      <c r="ED3" s="16"/>
      <c r="EE3" s="16"/>
      <c r="EF3" s="16"/>
      <c r="EG3" s="16"/>
      <c r="EH3" s="16"/>
      <c r="EI3" s="16"/>
      <c r="EJ3" s="16"/>
      <c r="EK3" s="16"/>
      <c r="EL3" s="16"/>
      <c r="EM3" s="16"/>
      <c r="EN3" s="16"/>
      <c r="EO3" s="16"/>
      <c r="EP3" s="16"/>
      <c r="EQ3" s="16"/>
      <c r="ER3" s="16"/>
      <c r="ES3" s="16"/>
      <c r="ET3" s="16"/>
      <c r="EU3" s="16"/>
      <c r="EV3" s="16"/>
      <c r="EW3" s="16"/>
      <c r="EX3" s="16"/>
      <c r="EY3" s="16"/>
      <c r="EZ3" s="16"/>
      <c r="FA3" s="16"/>
      <c r="FB3" s="16"/>
      <c r="FC3" s="16"/>
      <c r="FD3" s="16"/>
      <c r="FE3" s="16"/>
      <c r="FF3" s="16"/>
      <c r="FG3" s="16"/>
      <c r="FH3" s="16"/>
      <c r="FI3" s="16"/>
      <c r="FJ3" s="16"/>
      <c r="FK3" s="16"/>
      <c r="FL3" s="16"/>
      <c r="FM3" s="16"/>
      <c r="FN3" s="16"/>
      <c r="FO3" s="16"/>
      <c r="FP3" s="16"/>
      <c r="FQ3" s="16"/>
      <c r="FR3" s="16"/>
      <c r="FS3" s="16"/>
      <c r="FT3" s="16"/>
      <c r="FU3" s="16"/>
      <c r="FV3" s="16"/>
      <c r="FW3" s="16"/>
      <c r="FX3" s="16"/>
      <c r="FY3" s="16"/>
      <c r="FZ3" s="16"/>
      <c r="GA3" s="16"/>
      <c r="GB3" s="16"/>
      <c r="GC3" s="16"/>
      <c r="GD3" s="16"/>
      <c r="GE3" s="16"/>
      <c r="GF3" s="16"/>
      <c r="GG3" s="16"/>
      <c r="GH3" s="16"/>
      <c r="GI3" s="16"/>
      <c r="GJ3" s="16"/>
      <c r="GK3" s="16"/>
      <c r="GL3" s="16"/>
      <c r="GM3" s="16"/>
      <c r="GN3" s="16"/>
      <c r="GO3" s="16"/>
      <c r="GP3" s="16"/>
      <c r="GQ3" s="16"/>
      <c r="GR3" s="16"/>
      <c r="GS3" s="16"/>
      <c r="GT3" s="16"/>
      <c r="GU3" s="16"/>
      <c r="GV3" s="16"/>
      <c r="GW3" s="16"/>
      <c r="GX3" s="16"/>
      <c r="GY3" s="16"/>
      <c r="GZ3" s="16"/>
      <c r="HA3" s="16"/>
      <c r="HB3" s="16"/>
      <c r="HC3" s="16"/>
      <c r="HD3" s="16"/>
      <c r="HE3" s="16"/>
      <c r="HF3" s="16"/>
      <c r="HG3" s="16"/>
      <c r="HH3" s="16"/>
      <c r="HI3" s="16"/>
      <c r="HJ3" s="16"/>
      <c r="HK3" s="16"/>
      <c r="HL3" s="16"/>
      <c r="HM3" s="16"/>
      <c r="HN3" s="16"/>
      <c r="HO3" s="16"/>
      <c r="HP3" s="16"/>
      <c r="HQ3" s="16"/>
      <c r="HR3" s="16"/>
      <c r="HS3" s="16"/>
      <c r="HT3" s="16"/>
      <c r="HU3" s="16"/>
      <c r="HV3" s="16"/>
      <c r="HW3" s="16"/>
      <c r="HX3" s="16"/>
      <c r="HY3" s="16"/>
      <c r="HZ3" s="16"/>
      <c r="IA3" s="16"/>
      <c r="IB3" s="16"/>
      <c r="IC3" s="16"/>
      <c r="ID3" s="16"/>
      <c r="IE3" s="16"/>
      <c r="IF3" s="16"/>
      <c r="IG3" s="16"/>
      <c r="IH3" s="16"/>
      <c r="II3" s="16"/>
      <c r="IJ3" s="16"/>
      <c r="IK3" s="16"/>
      <c r="IL3" s="16"/>
      <c r="IM3" s="16"/>
      <c r="IN3" s="16"/>
      <c r="IO3" s="16"/>
      <c r="IP3" s="16"/>
      <c r="IQ3" s="16"/>
      <c r="IR3" s="16"/>
      <c r="IS3" s="16"/>
      <c r="IT3" s="16"/>
      <c r="IU3" s="16"/>
      <c r="IV3" s="16"/>
    </row>
    <row r="4" spans="1:256" x14ac:dyDescent="0.25">
      <c r="A4" s="15"/>
      <c r="B4" s="15"/>
      <c r="C4" s="15"/>
      <c r="D4" s="15"/>
      <c r="E4" s="15"/>
      <c r="F4" s="15"/>
      <c r="G4" s="23"/>
      <c r="H4" s="15"/>
      <c r="I4" s="182"/>
      <c r="J4" s="15"/>
      <c r="K4" s="15"/>
      <c r="L4" s="15"/>
      <c r="M4" s="15"/>
      <c r="N4" s="15"/>
      <c r="O4" s="15"/>
      <c r="P4" s="15"/>
      <c r="Q4" s="22"/>
      <c r="R4" s="22"/>
      <c r="S4" s="22"/>
      <c r="T4" s="22"/>
      <c r="U4" s="22"/>
      <c r="V4" s="22"/>
      <c r="W4" s="22"/>
      <c r="X4" s="22"/>
      <c r="Y4" s="22"/>
      <c r="Z4" s="22"/>
      <c r="AA4" s="22"/>
      <c r="AB4" s="22"/>
      <c r="AC4" s="22"/>
      <c r="AD4" s="22"/>
      <c r="AE4" s="22"/>
      <c r="AF4" s="22"/>
      <c r="AG4" s="22"/>
      <c r="AH4" s="22"/>
      <c r="AI4" s="16"/>
      <c r="AJ4" s="16"/>
      <c r="AK4" s="16"/>
      <c r="AL4" s="16"/>
      <c r="AM4" s="16"/>
      <c r="AN4" s="16"/>
      <c r="AO4" s="16"/>
      <c r="AP4" s="16"/>
      <c r="AQ4" s="16"/>
      <c r="AR4" s="16"/>
      <c r="AS4" s="16"/>
      <c r="AT4" s="16"/>
      <c r="AU4" s="16"/>
      <c r="AV4" s="16"/>
      <c r="AW4" s="16"/>
      <c r="AX4" s="16"/>
      <c r="AY4" s="16"/>
      <c r="AZ4" s="16"/>
      <c r="BA4" s="16"/>
      <c r="BB4" s="16"/>
      <c r="BC4" s="16"/>
      <c r="BD4" s="16"/>
      <c r="BE4" s="16"/>
      <c r="BF4" s="16"/>
      <c r="BG4" s="16"/>
      <c r="BH4" s="16"/>
      <c r="BI4" s="16"/>
      <c r="BJ4" s="16"/>
      <c r="BK4" s="16"/>
      <c r="BL4" s="16"/>
      <c r="BM4" s="16"/>
      <c r="BN4" s="16"/>
      <c r="BO4" s="16"/>
      <c r="BP4" s="16"/>
      <c r="BQ4" s="16"/>
      <c r="BR4" s="16"/>
      <c r="BS4" s="16"/>
      <c r="BT4" s="16"/>
      <c r="BU4" s="16"/>
      <c r="BV4" s="16"/>
      <c r="BW4" s="16"/>
      <c r="BX4" s="16"/>
      <c r="BY4" s="16"/>
      <c r="BZ4" s="16"/>
      <c r="CA4" s="16"/>
      <c r="CB4" s="16"/>
      <c r="CC4" s="16"/>
      <c r="CD4" s="16"/>
      <c r="CE4" s="16"/>
      <c r="CF4" s="16"/>
      <c r="CG4" s="16"/>
      <c r="CH4" s="16"/>
      <c r="CI4" s="16"/>
      <c r="CJ4" s="16"/>
      <c r="CK4" s="16"/>
      <c r="CL4" s="16"/>
      <c r="CM4" s="16"/>
      <c r="CN4" s="16"/>
      <c r="CO4" s="16"/>
      <c r="CP4" s="16"/>
      <c r="CQ4" s="16"/>
      <c r="CR4" s="16"/>
      <c r="CS4" s="16"/>
      <c r="CT4" s="16"/>
      <c r="CU4" s="16"/>
      <c r="CV4" s="16"/>
      <c r="CW4" s="16"/>
      <c r="CX4" s="16"/>
      <c r="CY4" s="16"/>
      <c r="CZ4" s="16"/>
      <c r="DA4" s="16"/>
      <c r="DB4" s="16"/>
      <c r="DC4" s="16"/>
      <c r="DD4" s="16"/>
      <c r="DE4" s="16"/>
      <c r="DF4" s="16"/>
      <c r="DG4" s="16"/>
      <c r="DH4" s="16"/>
      <c r="DI4" s="16"/>
      <c r="DJ4" s="16"/>
      <c r="DK4" s="16"/>
      <c r="DL4" s="16"/>
      <c r="DM4" s="16"/>
      <c r="DN4" s="16"/>
      <c r="DO4" s="16"/>
      <c r="DP4" s="16"/>
      <c r="DQ4" s="16"/>
      <c r="DR4" s="16"/>
      <c r="DS4" s="16"/>
      <c r="DT4" s="16"/>
      <c r="DU4" s="16"/>
      <c r="DV4" s="16"/>
      <c r="DW4" s="16"/>
      <c r="DX4" s="16"/>
      <c r="DY4" s="16"/>
      <c r="DZ4" s="16"/>
      <c r="EA4" s="16"/>
      <c r="EB4" s="16"/>
      <c r="EC4" s="16"/>
      <c r="ED4" s="16"/>
      <c r="EE4" s="16"/>
      <c r="EF4" s="16"/>
      <c r="EG4" s="16"/>
      <c r="EH4" s="16"/>
      <c r="EI4" s="16"/>
      <c r="EJ4" s="16"/>
      <c r="EK4" s="16"/>
      <c r="EL4" s="16"/>
      <c r="EM4" s="16"/>
      <c r="EN4" s="16"/>
      <c r="EO4" s="16"/>
      <c r="EP4" s="16"/>
      <c r="EQ4" s="16"/>
      <c r="ER4" s="16"/>
      <c r="ES4" s="16"/>
      <c r="ET4" s="16"/>
      <c r="EU4" s="16"/>
      <c r="EV4" s="16"/>
      <c r="EW4" s="16"/>
      <c r="EX4" s="16"/>
      <c r="EY4" s="16"/>
      <c r="EZ4" s="16"/>
      <c r="FA4" s="16"/>
      <c r="FB4" s="16"/>
      <c r="FC4" s="16"/>
      <c r="FD4" s="16"/>
      <c r="FE4" s="16"/>
      <c r="FF4" s="16"/>
      <c r="FG4" s="16"/>
      <c r="FH4" s="16"/>
      <c r="FI4" s="16"/>
      <c r="FJ4" s="16"/>
      <c r="FK4" s="16"/>
      <c r="FL4" s="16"/>
      <c r="FM4" s="16"/>
      <c r="FN4" s="16"/>
      <c r="FO4" s="16"/>
      <c r="FP4" s="16"/>
      <c r="FQ4" s="16"/>
      <c r="FR4" s="16"/>
      <c r="FS4" s="16"/>
      <c r="FT4" s="16"/>
      <c r="FU4" s="16"/>
      <c r="FV4" s="16"/>
      <c r="FW4" s="16"/>
      <c r="FX4" s="16"/>
      <c r="FY4" s="16"/>
      <c r="FZ4" s="16"/>
      <c r="GA4" s="16"/>
      <c r="GB4" s="16"/>
      <c r="GC4" s="16"/>
      <c r="GD4" s="16"/>
      <c r="GE4" s="16"/>
      <c r="GF4" s="16"/>
      <c r="GG4" s="16"/>
      <c r="GH4" s="16"/>
      <c r="GI4" s="16"/>
      <c r="GJ4" s="16"/>
      <c r="GK4" s="16"/>
      <c r="GL4" s="16"/>
      <c r="GM4" s="16"/>
      <c r="GN4" s="16"/>
      <c r="GO4" s="16"/>
      <c r="GP4" s="16"/>
      <c r="GQ4" s="16"/>
      <c r="GR4" s="16"/>
      <c r="GS4" s="16"/>
      <c r="GT4" s="16"/>
      <c r="GU4" s="16"/>
      <c r="GV4" s="16"/>
      <c r="GW4" s="16"/>
      <c r="GX4" s="16"/>
      <c r="GY4" s="16"/>
      <c r="GZ4" s="16"/>
      <c r="HA4" s="16"/>
      <c r="HB4" s="16"/>
      <c r="HC4" s="16"/>
      <c r="HD4" s="16"/>
      <c r="HE4" s="16"/>
      <c r="HF4" s="16"/>
      <c r="HG4" s="16"/>
      <c r="HH4" s="16"/>
      <c r="HI4" s="16"/>
      <c r="HJ4" s="16"/>
      <c r="HK4" s="16"/>
      <c r="HL4" s="16"/>
      <c r="HM4" s="16"/>
      <c r="HN4" s="16"/>
      <c r="HO4" s="16"/>
      <c r="HP4" s="16"/>
      <c r="HQ4" s="16"/>
      <c r="HR4" s="16"/>
      <c r="HS4" s="16"/>
      <c r="HT4" s="16"/>
      <c r="HU4" s="16"/>
      <c r="HV4" s="16"/>
      <c r="HW4" s="16"/>
      <c r="HX4" s="16"/>
      <c r="HY4" s="16"/>
      <c r="HZ4" s="16"/>
      <c r="IA4" s="16"/>
      <c r="IB4" s="16"/>
      <c r="IC4" s="16"/>
      <c r="ID4" s="16"/>
      <c r="IE4" s="16"/>
      <c r="IF4" s="16"/>
      <c r="IG4" s="16"/>
      <c r="IH4" s="16"/>
      <c r="II4" s="16"/>
      <c r="IJ4" s="16"/>
      <c r="IK4" s="16"/>
      <c r="IL4" s="16"/>
      <c r="IM4" s="16"/>
      <c r="IN4" s="16"/>
      <c r="IO4" s="16"/>
      <c r="IP4" s="16"/>
      <c r="IQ4" s="16"/>
      <c r="IR4" s="16"/>
      <c r="IS4" s="16"/>
      <c r="IT4" s="16"/>
      <c r="IU4" s="16"/>
      <c r="IV4" s="16"/>
    </row>
    <row r="5" spans="1:256" s="27" customFormat="1" ht="34.5" customHeight="1" x14ac:dyDescent="0.25">
      <c r="A5" s="24"/>
      <c r="B5" s="542" t="s">
        <v>5</v>
      </c>
      <c r="C5" s="543"/>
      <c r="D5" s="539" t="s">
        <v>6</v>
      </c>
      <c r="E5" s="540"/>
      <c r="F5" s="541"/>
      <c r="G5" s="20"/>
      <c r="H5" s="21" t="s">
        <v>7</v>
      </c>
      <c r="I5" s="539" t="s">
        <v>6</v>
      </c>
      <c r="J5" s="540"/>
      <c r="K5" s="15"/>
      <c r="L5" s="544" t="s">
        <v>8</v>
      </c>
      <c r="M5" s="545"/>
      <c r="N5" s="539" t="s">
        <v>9</v>
      </c>
      <c r="O5" s="541"/>
      <c r="P5" s="24"/>
      <c r="Q5" s="25"/>
      <c r="R5" s="25"/>
      <c r="S5" s="22"/>
      <c r="T5" s="22"/>
      <c r="U5" s="22"/>
      <c r="V5" s="22"/>
      <c r="W5" s="22"/>
      <c r="X5" s="22"/>
      <c r="Y5" s="22"/>
      <c r="Z5" s="22"/>
      <c r="AA5" s="22"/>
      <c r="AB5" s="22"/>
      <c r="AC5" s="22"/>
      <c r="AD5" s="22"/>
      <c r="AE5" s="22"/>
      <c r="AF5" s="22"/>
      <c r="AG5" s="22"/>
      <c r="AH5" s="22"/>
      <c r="AI5" s="26"/>
      <c r="AJ5" s="26"/>
      <c r="AK5" s="26"/>
      <c r="AL5" s="26"/>
      <c r="AM5" s="26"/>
      <c r="AN5" s="26"/>
      <c r="AO5" s="26"/>
      <c r="AP5" s="26"/>
      <c r="AQ5" s="26"/>
      <c r="AR5" s="26"/>
      <c r="AS5" s="26"/>
      <c r="AT5" s="26"/>
      <c r="AU5" s="26"/>
      <c r="AV5" s="26"/>
      <c r="AW5" s="26"/>
      <c r="AX5" s="26"/>
      <c r="AY5" s="26"/>
      <c r="AZ5" s="26"/>
      <c r="BA5" s="26"/>
      <c r="BB5" s="26"/>
      <c r="BC5" s="26"/>
      <c r="BD5" s="26"/>
      <c r="BE5" s="26"/>
      <c r="BF5" s="26"/>
      <c r="BG5" s="26"/>
      <c r="BH5" s="26"/>
      <c r="BI5" s="26"/>
      <c r="BJ5" s="26"/>
      <c r="BK5" s="26"/>
      <c r="BL5" s="26"/>
      <c r="BM5" s="26"/>
      <c r="BN5" s="26"/>
      <c r="BO5" s="26"/>
      <c r="BP5" s="26"/>
      <c r="BQ5" s="26"/>
      <c r="BR5" s="26"/>
      <c r="BS5" s="26"/>
      <c r="BT5" s="26"/>
      <c r="BU5" s="26"/>
      <c r="BV5" s="26"/>
      <c r="BW5" s="26"/>
      <c r="BX5" s="26"/>
      <c r="BY5" s="26"/>
      <c r="BZ5" s="26"/>
      <c r="CA5" s="26"/>
      <c r="CB5" s="26"/>
      <c r="CC5" s="26"/>
      <c r="CD5" s="26"/>
      <c r="CE5" s="26"/>
      <c r="CF5" s="26"/>
      <c r="CG5" s="26"/>
      <c r="CH5" s="26"/>
      <c r="CI5" s="26"/>
      <c r="CJ5" s="26"/>
      <c r="CK5" s="26"/>
      <c r="CL5" s="26"/>
      <c r="CM5" s="26"/>
      <c r="CN5" s="26"/>
      <c r="CO5" s="26"/>
      <c r="CP5" s="26"/>
      <c r="CQ5" s="26"/>
      <c r="CR5" s="26"/>
      <c r="CS5" s="26"/>
      <c r="CT5" s="26"/>
      <c r="CU5" s="26"/>
      <c r="CV5" s="26"/>
      <c r="CW5" s="26"/>
      <c r="CX5" s="26"/>
      <c r="CY5" s="26"/>
      <c r="CZ5" s="26"/>
      <c r="DA5" s="26"/>
      <c r="DB5" s="26"/>
      <c r="DC5" s="26"/>
      <c r="DD5" s="26"/>
      <c r="DE5" s="26"/>
      <c r="DF5" s="26"/>
      <c r="DG5" s="26"/>
      <c r="DH5" s="26"/>
      <c r="DI5" s="26"/>
      <c r="DJ5" s="26"/>
      <c r="DK5" s="26"/>
      <c r="DL5" s="26"/>
      <c r="DM5" s="26"/>
      <c r="DN5" s="26"/>
      <c r="DO5" s="26"/>
      <c r="DP5" s="26"/>
      <c r="DQ5" s="26"/>
      <c r="DR5" s="26"/>
      <c r="DS5" s="26"/>
      <c r="DT5" s="26"/>
      <c r="DU5" s="26"/>
      <c r="DV5" s="26"/>
      <c r="DW5" s="26"/>
      <c r="DX5" s="26"/>
      <c r="DY5" s="26"/>
      <c r="DZ5" s="26"/>
      <c r="EA5" s="26"/>
      <c r="EB5" s="26"/>
      <c r="EC5" s="26"/>
      <c r="ED5" s="26"/>
      <c r="EE5" s="26"/>
      <c r="EF5" s="26"/>
      <c r="EG5" s="26"/>
      <c r="EH5" s="26"/>
      <c r="EI5" s="26"/>
      <c r="EJ5" s="26"/>
      <c r="EK5" s="26"/>
      <c r="EL5" s="26"/>
      <c r="EM5" s="26"/>
      <c r="EN5" s="26"/>
      <c r="EO5" s="26"/>
      <c r="EP5" s="26"/>
      <c r="EQ5" s="26"/>
      <c r="ER5" s="26"/>
      <c r="ES5" s="26"/>
      <c r="ET5" s="26"/>
      <c r="EU5" s="26"/>
      <c r="EV5" s="26"/>
      <c r="EW5" s="26"/>
      <c r="EX5" s="26"/>
      <c r="EY5" s="26"/>
      <c r="EZ5" s="26"/>
      <c r="FA5" s="26"/>
      <c r="FB5" s="26"/>
      <c r="FC5" s="26"/>
      <c r="FD5" s="26"/>
      <c r="FE5" s="26"/>
      <c r="FF5" s="26"/>
      <c r="FG5" s="26"/>
      <c r="FH5" s="26"/>
      <c r="FI5" s="26"/>
      <c r="FJ5" s="26"/>
      <c r="FK5" s="26"/>
      <c r="FL5" s="26"/>
      <c r="FM5" s="26"/>
      <c r="FN5" s="26"/>
      <c r="FO5" s="26"/>
      <c r="FP5" s="26"/>
      <c r="FQ5" s="26"/>
      <c r="FR5" s="26"/>
      <c r="FS5" s="26"/>
      <c r="FT5" s="26"/>
      <c r="FU5" s="26"/>
      <c r="FV5" s="26"/>
      <c r="FW5" s="26"/>
      <c r="FX5" s="26"/>
      <c r="FY5" s="26"/>
      <c r="FZ5" s="26"/>
      <c r="GA5" s="26"/>
      <c r="GB5" s="26"/>
      <c r="GC5" s="26"/>
      <c r="GD5" s="26"/>
      <c r="GE5" s="26"/>
      <c r="GF5" s="26"/>
      <c r="GG5" s="26"/>
      <c r="GH5" s="26"/>
      <c r="GI5" s="26"/>
      <c r="GJ5" s="26"/>
      <c r="GK5" s="26"/>
      <c r="GL5" s="26"/>
      <c r="GM5" s="26"/>
      <c r="GN5" s="26"/>
      <c r="GO5" s="26"/>
      <c r="GP5" s="26"/>
      <c r="GQ5" s="26"/>
      <c r="GR5" s="26"/>
      <c r="GS5" s="26"/>
      <c r="GT5" s="26"/>
      <c r="GU5" s="26"/>
      <c r="GV5" s="26"/>
      <c r="GW5" s="26"/>
      <c r="GX5" s="26"/>
      <c r="GY5" s="26"/>
      <c r="GZ5" s="26"/>
      <c r="HA5" s="26"/>
      <c r="HB5" s="26"/>
      <c r="HC5" s="26"/>
      <c r="HD5" s="26"/>
      <c r="HE5" s="26"/>
      <c r="HF5" s="26"/>
      <c r="HG5" s="26"/>
      <c r="HH5" s="26"/>
      <c r="HI5" s="26"/>
      <c r="HJ5" s="26"/>
      <c r="HK5" s="26"/>
      <c r="HL5" s="26"/>
      <c r="HM5" s="26"/>
      <c r="HN5" s="26"/>
      <c r="HO5" s="26"/>
      <c r="HP5" s="26"/>
      <c r="HQ5" s="26"/>
      <c r="HR5" s="26"/>
      <c r="HS5" s="26"/>
      <c r="HT5" s="26"/>
      <c r="HU5" s="26"/>
      <c r="HV5" s="26"/>
      <c r="HW5" s="26"/>
      <c r="HX5" s="26"/>
      <c r="HY5" s="26"/>
      <c r="HZ5" s="26"/>
      <c r="IA5" s="26"/>
      <c r="IB5" s="26"/>
      <c r="IC5" s="26"/>
      <c r="ID5" s="26"/>
      <c r="IE5" s="26"/>
      <c r="IF5" s="26"/>
      <c r="IG5" s="26"/>
      <c r="IH5" s="26"/>
      <c r="II5" s="26"/>
      <c r="IJ5" s="26"/>
      <c r="IK5" s="26"/>
      <c r="IL5" s="26"/>
      <c r="IM5" s="26"/>
      <c r="IN5" s="26"/>
      <c r="IO5" s="26"/>
      <c r="IP5" s="26"/>
      <c r="IQ5" s="26"/>
      <c r="IR5" s="26"/>
      <c r="IS5" s="26"/>
      <c r="IT5" s="26"/>
      <c r="IU5" s="26"/>
      <c r="IV5" s="26"/>
    </row>
    <row r="6" spans="1:256" x14ac:dyDescent="0.25">
      <c r="A6" s="15"/>
      <c r="B6" s="28"/>
      <c r="C6" s="15"/>
      <c r="D6" s="15"/>
      <c r="E6" s="15"/>
      <c r="F6" s="15"/>
      <c r="G6" s="23"/>
      <c r="H6" s="15"/>
      <c r="I6" s="182"/>
      <c r="J6" s="15"/>
      <c r="K6" s="15"/>
      <c r="L6" s="15"/>
      <c r="M6" s="15"/>
      <c r="N6" s="15"/>
      <c r="O6" s="15"/>
      <c r="P6" s="15"/>
      <c r="Q6" s="29"/>
      <c r="R6" s="29"/>
      <c r="S6" s="29"/>
      <c r="T6" s="29"/>
      <c r="U6" s="29"/>
      <c r="V6" s="29"/>
      <c r="W6" s="29"/>
      <c r="X6" s="29"/>
      <c r="Y6" s="29"/>
      <c r="Z6" s="29"/>
      <c r="AA6" s="29"/>
      <c r="AB6" s="29"/>
      <c r="AC6" s="29"/>
      <c r="AD6" s="29"/>
      <c r="AE6" s="29"/>
      <c r="AF6" s="15"/>
      <c r="AG6" s="16"/>
      <c r="AH6" s="16"/>
      <c r="AI6" s="16"/>
      <c r="AJ6" s="16"/>
      <c r="AK6" s="16"/>
      <c r="AL6" s="16"/>
      <c r="AM6" s="16"/>
      <c r="AN6" s="16"/>
      <c r="AO6" s="16"/>
      <c r="AP6" s="16"/>
      <c r="AQ6" s="16"/>
      <c r="AR6" s="16"/>
      <c r="AS6" s="16"/>
      <c r="AT6" s="16"/>
      <c r="AU6" s="16"/>
      <c r="AV6" s="16"/>
      <c r="AW6" s="16"/>
      <c r="AX6" s="16"/>
      <c r="AY6" s="16"/>
      <c r="AZ6" s="16"/>
      <c r="BA6" s="16"/>
      <c r="BB6" s="16"/>
      <c r="BC6" s="16"/>
      <c r="BD6" s="16"/>
      <c r="BE6" s="16"/>
      <c r="BF6" s="16"/>
      <c r="BG6" s="16"/>
      <c r="BH6" s="16"/>
      <c r="BI6" s="16"/>
      <c r="BJ6" s="16"/>
      <c r="BK6" s="16"/>
      <c r="BL6" s="16"/>
      <c r="BM6" s="16"/>
      <c r="BN6" s="16"/>
      <c r="BO6" s="16"/>
      <c r="BP6" s="16"/>
      <c r="BQ6" s="16"/>
      <c r="BR6" s="16"/>
      <c r="BS6" s="16"/>
      <c r="BT6" s="16"/>
      <c r="BU6" s="16"/>
      <c r="BV6" s="16"/>
      <c r="BW6" s="16"/>
      <c r="BX6" s="16"/>
      <c r="BY6" s="16"/>
      <c r="BZ6" s="16"/>
      <c r="CA6" s="16"/>
      <c r="CB6" s="16"/>
      <c r="CC6" s="16"/>
      <c r="CD6" s="16"/>
      <c r="CE6" s="16"/>
      <c r="CF6" s="16"/>
      <c r="CG6" s="16"/>
      <c r="CH6" s="16"/>
      <c r="CI6" s="16"/>
      <c r="CJ6" s="16"/>
      <c r="CK6" s="16"/>
      <c r="CL6" s="16"/>
      <c r="CM6" s="16"/>
      <c r="CN6" s="16"/>
      <c r="CO6" s="16"/>
      <c r="CP6" s="16"/>
      <c r="CQ6" s="16"/>
      <c r="CR6" s="16"/>
      <c r="CS6" s="16"/>
      <c r="CT6" s="16"/>
      <c r="CU6" s="16"/>
      <c r="CV6" s="16"/>
      <c r="CW6" s="16"/>
      <c r="CX6" s="16"/>
      <c r="CY6" s="16"/>
      <c r="CZ6" s="16"/>
      <c r="DA6" s="16"/>
      <c r="DB6" s="16"/>
      <c r="DC6" s="16"/>
      <c r="DD6" s="16"/>
      <c r="DE6" s="16"/>
      <c r="DF6" s="16"/>
      <c r="DG6" s="16"/>
      <c r="DH6" s="16"/>
      <c r="DI6" s="16"/>
      <c r="DJ6" s="16"/>
      <c r="DK6" s="16"/>
      <c r="DL6" s="16"/>
      <c r="DM6" s="16"/>
      <c r="DN6" s="16"/>
      <c r="DO6" s="16"/>
      <c r="DP6" s="16"/>
      <c r="DQ6" s="16"/>
      <c r="DR6" s="16"/>
      <c r="DS6" s="16"/>
      <c r="DT6" s="16"/>
      <c r="DU6" s="16"/>
      <c r="DV6" s="16"/>
      <c r="DW6" s="16"/>
      <c r="DX6" s="16"/>
      <c r="DY6" s="16"/>
      <c r="DZ6" s="16"/>
      <c r="EA6" s="16"/>
      <c r="EB6" s="16"/>
      <c r="EC6" s="16"/>
      <c r="ED6" s="16"/>
      <c r="EE6" s="16"/>
      <c r="EF6" s="16"/>
      <c r="EG6" s="16"/>
      <c r="EH6" s="16"/>
      <c r="EI6" s="16"/>
      <c r="EJ6" s="16"/>
      <c r="EK6" s="16"/>
      <c r="EL6" s="16"/>
      <c r="EM6" s="16"/>
      <c r="EN6" s="16"/>
      <c r="EO6" s="16"/>
      <c r="EP6" s="16"/>
      <c r="EQ6" s="16"/>
      <c r="ER6" s="16"/>
      <c r="ES6" s="16"/>
      <c r="ET6" s="16"/>
      <c r="EU6" s="16"/>
      <c r="EV6" s="16"/>
      <c r="EW6" s="16"/>
      <c r="EX6" s="16"/>
      <c r="EY6" s="16"/>
      <c r="EZ6" s="16"/>
      <c r="FA6" s="16"/>
      <c r="FB6" s="16"/>
      <c r="FC6" s="16"/>
      <c r="FD6" s="16"/>
      <c r="FE6" s="16"/>
      <c r="FF6" s="16"/>
      <c r="FG6" s="16"/>
      <c r="FH6" s="16"/>
      <c r="FI6" s="16"/>
      <c r="FJ6" s="16"/>
      <c r="FK6" s="16"/>
      <c r="FL6" s="16"/>
      <c r="FM6" s="16"/>
      <c r="FN6" s="16"/>
      <c r="FO6" s="16"/>
      <c r="FP6" s="16"/>
      <c r="FQ6" s="16"/>
      <c r="FR6" s="16"/>
      <c r="FS6" s="16"/>
      <c r="FT6" s="16"/>
      <c r="FU6" s="16"/>
      <c r="FV6" s="16"/>
      <c r="FW6" s="16"/>
      <c r="FX6" s="16"/>
      <c r="FY6" s="16"/>
      <c r="FZ6" s="16"/>
      <c r="GA6" s="16"/>
      <c r="GB6" s="16"/>
      <c r="GC6" s="16"/>
      <c r="GD6" s="16"/>
      <c r="GE6" s="16"/>
      <c r="GF6" s="16"/>
      <c r="GG6" s="16"/>
      <c r="GH6" s="16"/>
      <c r="GI6" s="16"/>
      <c r="GJ6" s="16"/>
      <c r="GK6" s="16"/>
      <c r="GL6" s="16"/>
      <c r="GM6" s="16"/>
      <c r="GN6" s="16"/>
      <c r="GO6" s="16"/>
      <c r="GP6" s="16"/>
      <c r="GQ6" s="16"/>
      <c r="GR6" s="16"/>
      <c r="GS6" s="16"/>
      <c r="GT6" s="16"/>
      <c r="GU6" s="16"/>
      <c r="GV6" s="16"/>
      <c r="GW6" s="16"/>
      <c r="GX6" s="16"/>
      <c r="GY6" s="16"/>
      <c r="GZ6" s="16"/>
      <c r="HA6" s="16"/>
      <c r="HB6" s="16"/>
      <c r="HC6" s="16"/>
      <c r="HD6" s="16"/>
      <c r="HE6" s="16"/>
      <c r="HF6" s="16"/>
      <c r="HG6" s="16"/>
      <c r="HH6" s="16"/>
      <c r="HI6" s="16"/>
      <c r="HJ6" s="16"/>
      <c r="HK6" s="16"/>
      <c r="HL6" s="16"/>
      <c r="HM6" s="16"/>
      <c r="HN6" s="16"/>
      <c r="HO6" s="16"/>
      <c r="HP6" s="16"/>
      <c r="HQ6" s="16"/>
      <c r="HR6" s="16"/>
      <c r="HS6" s="16"/>
      <c r="HT6" s="16"/>
      <c r="HU6" s="16"/>
      <c r="HV6" s="16"/>
      <c r="HW6" s="16"/>
      <c r="HX6" s="16"/>
      <c r="HY6" s="16"/>
      <c r="HZ6" s="16"/>
      <c r="IA6" s="16"/>
      <c r="IB6" s="16"/>
      <c r="IC6" s="16"/>
      <c r="ID6" s="16"/>
      <c r="IE6" s="16"/>
      <c r="IF6" s="16"/>
      <c r="IG6" s="16"/>
      <c r="IH6" s="16"/>
      <c r="II6" s="16"/>
      <c r="IJ6" s="16"/>
      <c r="IK6" s="16"/>
      <c r="IL6" s="16"/>
      <c r="IM6" s="16"/>
      <c r="IN6" s="16"/>
      <c r="IO6" s="16"/>
      <c r="IP6" s="16"/>
      <c r="IQ6" s="16"/>
      <c r="IR6" s="16"/>
      <c r="IS6" s="16"/>
      <c r="IT6" s="16"/>
      <c r="IU6" s="16"/>
      <c r="IV6" s="16"/>
    </row>
    <row r="7" spans="1:256" ht="36" x14ac:dyDescent="0.25">
      <c r="A7" s="15"/>
      <c r="B7" s="542" t="s">
        <v>10</v>
      </c>
      <c r="C7" s="546"/>
      <c r="D7" s="539"/>
      <c r="E7" s="540"/>
      <c r="F7" s="541"/>
      <c r="G7" s="30"/>
      <c r="H7" s="31" t="s">
        <v>11</v>
      </c>
      <c r="I7" s="538"/>
      <c r="J7" s="538"/>
      <c r="K7" s="15"/>
      <c r="L7" s="542" t="s">
        <v>12</v>
      </c>
      <c r="M7" s="546"/>
      <c r="N7" s="539"/>
      <c r="O7" s="541"/>
      <c r="P7" s="15"/>
      <c r="Q7" s="29"/>
      <c r="R7" s="32"/>
      <c r="S7" s="29"/>
      <c r="T7" s="29"/>
      <c r="U7" s="29"/>
      <c r="V7" s="29"/>
      <c r="W7" s="29"/>
      <c r="X7" s="29"/>
      <c r="Y7" s="29"/>
      <c r="Z7" s="29"/>
      <c r="AA7" s="29"/>
      <c r="AB7" s="29"/>
      <c r="AC7" s="29"/>
      <c r="AD7" s="29"/>
      <c r="AE7" s="29"/>
      <c r="AF7" s="15"/>
      <c r="AG7" s="16"/>
      <c r="AH7" s="16"/>
      <c r="AI7" s="16"/>
      <c r="AJ7" s="16"/>
      <c r="AK7" s="16"/>
      <c r="AL7" s="16"/>
      <c r="AM7" s="16"/>
      <c r="AN7" s="16"/>
      <c r="AO7" s="16"/>
      <c r="AP7" s="16"/>
      <c r="AQ7" s="16"/>
      <c r="AR7" s="16"/>
      <c r="AS7" s="16"/>
      <c r="AT7" s="16"/>
      <c r="AU7" s="16"/>
      <c r="AV7" s="16"/>
      <c r="AW7" s="16"/>
      <c r="AX7" s="16"/>
      <c r="AY7" s="16"/>
      <c r="AZ7" s="16"/>
      <c r="BA7" s="16"/>
      <c r="BB7" s="16"/>
      <c r="BC7" s="16"/>
      <c r="BD7" s="16"/>
      <c r="BE7" s="16"/>
      <c r="BF7" s="16"/>
      <c r="BG7" s="16"/>
      <c r="BH7" s="16"/>
      <c r="BI7" s="16"/>
      <c r="BJ7" s="16"/>
      <c r="BK7" s="16"/>
      <c r="BL7" s="16"/>
      <c r="BM7" s="16"/>
      <c r="BN7" s="16"/>
      <c r="BO7" s="16"/>
      <c r="BP7" s="16"/>
      <c r="BQ7" s="16"/>
      <c r="BR7" s="16"/>
      <c r="BS7" s="16"/>
      <c r="BT7" s="16"/>
      <c r="BU7" s="16"/>
      <c r="BV7" s="16"/>
      <c r="BW7" s="16"/>
      <c r="BX7" s="16"/>
      <c r="BY7" s="16"/>
      <c r="BZ7" s="16"/>
      <c r="CA7" s="16"/>
      <c r="CB7" s="16"/>
      <c r="CC7" s="16"/>
      <c r="CD7" s="16"/>
      <c r="CE7" s="16"/>
      <c r="CF7" s="16"/>
      <c r="CG7" s="16"/>
      <c r="CH7" s="16"/>
      <c r="CI7" s="16"/>
      <c r="CJ7" s="16"/>
      <c r="CK7" s="16"/>
      <c r="CL7" s="16"/>
      <c r="CM7" s="16"/>
      <c r="CN7" s="16"/>
      <c r="CO7" s="16"/>
      <c r="CP7" s="16"/>
      <c r="CQ7" s="16"/>
      <c r="CR7" s="16"/>
      <c r="CS7" s="16"/>
      <c r="CT7" s="16"/>
      <c r="CU7" s="16"/>
      <c r="CV7" s="16"/>
      <c r="CW7" s="16"/>
      <c r="CX7" s="16"/>
      <c r="CY7" s="16"/>
      <c r="CZ7" s="16"/>
      <c r="DA7" s="16"/>
      <c r="DB7" s="16"/>
      <c r="DC7" s="16"/>
      <c r="DD7" s="16"/>
      <c r="DE7" s="16"/>
      <c r="DF7" s="16"/>
      <c r="DG7" s="16"/>
      <c r="DH7" s="16"/>
      <c r="DI7" s="16"/>
      <c r="DJ7" s="16"/>
      <c r="DK7" s="16"/>
      <c r="DL7" s="16"/>
      <c r="DM7" s="16"/>
      <c r="DN7" s="16"/>
      <c r="DO7" s="16"/>
      <c r="DP7" s="16"/>
      <c r="DQ7" s="16"/>
      <c r="DR7" s="16"/>
      <c r="DS7" s="16"/>
      <c r="DT7" s="16"/>
      <c r="DU7" s="16"/>
      <c r="DV7" s="16"/>
      <c r="DW7" s="16"/>
      <c r="DX7" s="16"/>
      <c r="DY7" s="16"/>
      <c r="DZ7" s="16"/>
      <c r="EA7" s="16"/>
      <c r="EB7" s="16"/>
      <c r="EC7" s="16"/>
      <c r="ED7" s="16"/>
      <c r="EE7" s="16"/>
      <c r="EF7" s="16"/>
      <c r="EG7" s="16"/>
      <c r="EH7" s="16"/>
      <c r="EI7" s="16"/>
      <c r="EJ7" s="16"/>
      <c r="EK7" s="16"/>
      <c r="EL7" s="16"/>
      <c r="EM7" s="16"/>
      <c r="EN7" s="16"/>
      <c r="EO7" s="16"/>
      <c r="EP7" s="16"/>
      <c r="EQ7" s="16"/>
      <c r="ER7" s="16"/>
      <c r="ES7" s="16"/>
      <c r="ET7" s="16"/>
      <c r="EU7" s="16"/>
      <c r="EV7" s="16"/>
      <c r="EW7" s="16"/>
      <c r="EX7" s="16"/>
      <c r="EY7" s="16"/>
      <c r="EZ7" s="16"/>
      <c r="FA7" s="16"/>
      <c r="FB7" s="16"/>
      <c r="FC7" s="16"/>
      <c r="FD7" s="16"/>
      <c r="FE7" s="16"/>
      <c r="FF7" s="16"/>
      <c r="FG7" s="16"/>
      <c r="FH7" s="16"/>
      <c r="FI7" s="16"/>
      <c r="FJ7" s="16"/>
      <c r="FK7" s="16"/>
      <c r="FL7" s="16"/>
      <c r="FM7" s="16"/>
      <c r="FN7" s="16"/>
      <c r="FO7" s="16"/>
      <c r="FP7" s="16"/>
      <c r="FQ7" s="16"/>
      <c r="FR7" s="16"/>
      <c r="FS7" s="16"/>
      <c r="FT7" s="16"/>
      <c r="FU7" s="16"/>
      <c r="FV7" s="16"/>
      <c r="FW7" s="16"/>
      <c r="FX7" s="16"/>
      <c r="FY7" s="16"/>
      <c r="FZ7" s="16"/>
      <c r="GA7" s="16"/>
      <c r="GB7" s="16"/>
      <c r="GC7" s="16"/>
      <c r="GD7" s="16"/>
      <c r="GE7" s="16"/>
      <c r="GF7" s="16"/>
      <c r="GG7" s="16"/>
      <c r="GH7" s="16"/>
      <c r="GI7" s="16"/>
      <c r="GJ7" s="16"/>
      <c r="GK7" s="16"/>
      <c r="GL7" s="16"/>
      <c r="GM7" s="16"/>
      <c r="GN7" s="16"/>
      <c r="GO7" s="16"/>
      <c r="GP7" s="16"/>
      <c r="GQ7" s="16"/>
      <c r="GR7" s="16"/>
      <c r="GS7" s="16"/>
      <c r="GT7" s="16"/>
      <c r="GU7" s="16"/>
      <c r="GV7" s="16"/>
      <c r="GW7" s="16"/>
      <c r="GX7" s="16"/>
      <c r="GY7" s="16"/>
      <c r="GZ7" s="16"/>
      <c r="HA7" s="16"/>
      <c r="HB7" s="16"/>
      <c r="HC7" s="16"/>
      <c r="HD7" s="16"/>
      <c r="HE7" s="16"/>
      <c r="HF7" s="16"/>
      <c r="HG7" s="16"/>
      <c r="HH7" s="16"/>
      <c r="HI7" s="16"/>
      <c r="HJ7" s="16"/>
      <c r="HK7" s="16"/>
      <c r="HL7" s="16"/>
      <c r="HM7" s="16"/>
      <c r="HN7" s="16"/>
      <c r="HO7" s="16"/>
      <c r="HP7" s="16"/>
      <c r="HQ7" s="16"/>
      <c r="HR7" s="16"/>
      <c r="HS7" s="16"/>
      <c r="HT7" s="16"/>
      <c r="HU7" s="16"/>
      <c r="HV7" s="16"/>
      <c r="HW7" s="16"/>
      <c r="HX7" s="16"/>
      <c r="HY7" s="16"/>
      <c r="HZ7" s="16"/>
      <c r="IA7" s="16"/>
      <c r="IB7" s="16"/>
      <c r="IC7" s="16"/>
      <c r="ID7" s="16"/>
      <c r="IE7" s="16"/>
      <c r="IF7" s="16"/>
      <c r="IG7" s="16"/>
      <c r="IH7" s="16"/>
      <c r="II7" s="16"/>
      <c r="IJ7" s="16"/>
      <c r="IK7" s="16"/>
      <c r="IL7" s="16"/>
      <c r="IM7" s="16"/>
      <c r="IN7" s="16"/>
      <c r="IO7" s="16"/>
      <c r="IP7" s="16"/>
      <c r="IQ7" s="16"/>
      <c r="IR7" s="16"/>
      <c r="IS7" s="16"/>
      <c r="IT7" s="16"/>
      <c r="IU7" s="16"/>
      <c r="IV7" s="16"/>
    </row>
    <row r="8" spans="1:256" x14ac:dyDescent="0.25">
      <c r="A8" s="15"/>
      <c r="B8" s="15"/>
      <c r="C8" s="15"/>
      <c r="D8" s="15"/>
      <c r="E8" s="15"/>
      <c r="F8" s="15"/>
      <c r="G8" s="23"/>
      <c r="H8" s="15"/>
      <c r="I8" s="182"/>
      <c r="J8" s="15"/>
      <c r="K8" s="15"/>
      <c r="L8" s="15"/>
      <c r="M8" s="15"/>
      <c r="N8" s="15"/>
      <c r="O8" s="15"/>
      <c r="P8" s="15"/>
      <c r="Q8" s="29"/>
      <c r="R8" s="29"/>
      <c r="S8" s="29"/>
      <c r="T8" s="29"/>
      <c r="U8" s="29"/>
      <c r="V8" s="29"/>
      <c r="W8" s="29"/>
      <c r="X8" s="29"/>
      <c r="Y8" s="29"/>
      <c r="Z8" s="29"/>
      <c r="AA8" s="29"/>
      <c r="AB8" s="29"/>
      <c r="AC8" s="29"/>
      <c r="AD8" s="29"/>
      <c r="AE8" s="29"/>
    </row>
    <row r="9" spans="1:256" ht="30" customHeight="1" x14ac:dyDescent="0.25">
      <c r="A9" s="15"/>
      <c r="B9" s="542" t="s">
        <v>13</v>
      </c>
      <c r="C9" s="546"/>
      <c r="D9" s="539">
        <v>36</v>
      </c>
      <c r="E9" s="540"/>
      <c r="F9" s="541"/>
      <c r="G9" s="30"/>
      <c r="H9" s="542" t="s">
        <v>14</v>
      </c>
      <c r="I9" s="546"/>
      <c r="J9" s="33">
        <v>36</v>
      </c>
      <c r="K9" s="34"/>
      <c r="L9" s="542" t="s">
        <v>15</v>
      </c>
      <c r="M9" s="546"/>
      <c r="N9" s="539" t="s">
        <v>16</v>
      </c>
      <c r="O9" s="541"/>
      <c r="P9" s="15"/>
      <c r="Q9" s="29"/>
      <c r="R9" s="29"/>
      <c r="S9" s="29"/>
      <c r="T9" s="29"/>
      <c r="U9" s="29"/>
      <c r="V9" s="29"/>
      <c r="W9" s="29"/>
      <c r="X9" s="29"/>
      <c r="Y9" s="29"/>
      <c r="Z9" s="29"/>
      <c r="AA9" s="29"/>
      <c r="AB9" s="29"/>
      <c r="AC9" s="29"/>
      <c r="AD9" s="29"/>
      <c r="AE9" s="29"/>
    </row>
    <row r="10" spans="1:256" x14ac:dyDescent="0.25">
      <c r="A10" s="15"/>
      <c r="B10" s="15"/>
      <c r="C10" s="15"/>
      <c r="D10" s="15"/>
      <c r="E10" s="15"/>
      <c r="F10" s="15"/>
      <c r="G10" s="23"/>
      <c r="H10" s="15"/>
      <c r="I10" s="182"/>
      <c r="J10" s="15"/>
      <c r="K10" s="15"/>
      <c r="L10" s="15"/>
      <c r="M10" s="15"/>
      <c r="N10" s="15"/>
      <c r="O10" s="15"/>
      <c r="P10" s="15"/>
      <c r="Q10" s="29"/>
      <c r="R10" s="29"/>
      <c r="S10" s="29"/>
      <c r="T10" s="29"/>
      <c r="U10" s="29"/>
      <c r="V10" s="29"/>
      <c r="W10" s="29"/>
      <c r="X10" s="29"/>
      <c r="Y10" s="29"/>
      <c r="Z10" s="29"/>
      <c r="AA10" s="29"/>
      <c r="AB10" s="29"/>
      <c r="AC10" s="29"/>
      <c r="AD10" s="29"/>
      <c r="AE10" s="29"/>
    </row>
    <row r="11" spans="1:256" ht="37.5" customHeight="1" x14ac:dyDescent="0.25">
      <c r="A11" s="15"/>
      <c r="B11" s="542" t="s">
        <v>17</v>
      </c>
      <c r="C11" s="546"/>
      <c r="D11" s="539">
        <v>45</v>
      </c>
      <c r="E11" s="540"/>
      <c r="F11" s="541"/>
      <c r="G11" s="23"/>
      <c r="H11" s="542" t="s">
        <v>18</v>
      </c>
      <c r="I11" s="546"/>
      <c r="J11" s="35">
        <v>45</v>
      </c>
      <c r="K11" s="15"/>
      <c r="L11" s="542" t="s">
        <v>19</v>
      </c>
      <c r="M11" s="546"/>
      <c r="N11" s="539">
        <v>3</v>
      </c>
      <c r="O11" s="541"/>
      <c r="P11" s="15"/>
      <c r="Q11" s="29"/>
      <c r="R11" s="29"/>
      <c r="S11" s="29"/>
      <c r="T11" s="29"/>
      <c r="U11" s="29"/>
      <c r="V11" s="29"/>
      <c r="W11" s="29"/>
      <c r="X11" s="29"/>
      <c r="Y11" s="29"/>
      <c r="Z11" s="29"/>
      <c r="AA11" s="29"/>
      <c r="AB11" s="29"/>
      <c r="AC11" s="29"/>
      <c r="AD11" s="29"/>
      <c r="AE11" s="29"/>
    </row>
    <row r="12" spans="1:256" x14ac:dyDescent="0.25">
      <c r="A12" s="15"/>
      <c r="B12" s="36"/>
      <c r="C12" s="15"/>
      <c r="D12" s="15"/>
      <c r="E12" s="15"/>
      <c r="F12" s="15"/>
      <c r="G12" s="23"/>
      <c r="H12" s="15"/>
      <c r="I12" s="182"/>
      <c r="J12" s="15"/>
      <c r="K12" s="15"/>
      <c r="L12" s="15"/>
      <c r="M12" s="15"/>
      <c r="N12" s="15"/>
      <c r="O12" s="15"/>
      <c r="P12" s="15"/>
      <c r="Q12" s="22"/>
      <c r="R12" s="22"/>
      <c r="S12" s="22"/>
      <c r="T12" s="22"/>
      <c r="U12" s="22"/>
      <c r="V12" s="22"/>
      <c r="W12" s="22"/>
      <c r="X12" s="22"/>
      <c r="Y12" s="22"/>
      <c r="Z12" s="22"/>
      <c r="AA12" s="22"/>
      <c r="AB12" s="22"/>
      <c r="AC12" s="22"/>
      <c r="AD12" s="22"/>
      <c r="AE12" s="22"/>
    </row>
    <row r="13" spans="1:256" ht="29.25" customHeight="1" x14ac:dyDescent="0.25">
      <c r="A13" s="15"/>
      <c r="B13" s="547" t="s">
        <v>20</v>
      </c>
      <c r="C13" s="548"/>
      <c r="D13" s="548"/>
      <c r="E13" s="548"/>
      <c r="F13" s="548"/>
      <c r="G13" s="548"/>
      <c r="H13" s="548"/>
      <c r="I13" s="548"/>
      <c r="J13" s="548"/>
      <c r="K13" s="548"/>
      <c r="L13" s="548"/>
      <c r="M13" s="548"/>
      <c r="N13" s="548"/>
      <c r="O13" s="548"/>
      <c r="P13" s="548"/>
      <c r="Q13" s="548"/>
      <c r="R13" s="548"/>
      <c r="S13" s="548"/>
      <c r="T13" s="548"/>
      <c r="U13" s="548"/>
      <c r="V13" s="548"/>
      <c r="W13" s="548"/>
      <c r="X13" s="548"/>
      <c r="Y13" s="548"/>
      <c r="Z13" s="548"/>
      <c r="AA13" s="548"/>
      <c r="AB13" s="548"/>
      <c r="AC13" s="548"/>
      <c r="AD13" s="548"/>
      <c r="AE13" s="548"/>
      <c r="AF13" s="548"/>
      <c r="AG13" s="548"/>
    </row>
    <row r="14" spans="1:256" ht="15" customHeight="1" x14ac:dyDescent="0.25">
      <c r="A14" s="15"/>
      <c r="B14" s="552" t="s">
        <v>21</v>
      </c>
      <c r="C14" s="553"/>
      <c r="D14" s="553"/>
      <c r="E14" s="554"/>
      <c r="F14" s="558" t="s">
        <v>22</v>
      </c>
      <c r="G14" s="560" t="s">
        <v>23</v>
      </c>
      <c r="H14" s="549" t="s">
        <v>24</v>
      </c>
      <c r="I14" s="550"/>
      <c r="J14" s="549" t="s">
        <v>25</v>
      </c>
      <c r="K14" s="550"/>
      <c r="L14" s="549" t="s">
        <v>26</v>
      </c>
      <c r="M14" s="550"/>
      <c r="N14" s="549" t="s">
        <v>27</v>
      </c>
      <c r="O14" s="550"/>
      <c r="P14" s="549" t="s">
        <v>28</v>
      </c>
      <c r="Q14" s="550"/>
      <c r="R14" s="549" t="s">
        <v>29</v>
      </c>
      <c r="S14" s="550"/>
      <c r="T14" s="549" t="s">
        <v>30</v>
      </c>
      <c r="U14" s="550"/>
      <c r="V14" s="549" t="s">
        <v>31</v>
      </c>
      <c r="W14" s="550"/>
      <c r="X14" s="549" t="s">
        <v>32</v>
      </c>
      <c r="Y14" s="550"/>
      <c r="Z14" s="549" t="s">
        <v>33</v>
      </c>
      <c r="AA14" s="550"/>
      <c r="AB14" s="549" t="s">
        <v>34</v>
      </c>
      <c r="AC14" s="550"/>
      <c r="AD14" s="549" t="s">
        <v>35</v>
      </c>
      <c r="AE14" s="550"/>
      <c r="AF14" s="549" t="s">
        <v>36</v>
      </c>
      <c r="AG14" s="550"/>
    </row>
    <row r="15" spans="1:256" x14ac:dyDescent="0.25">
      <c r="A15" s="15"/>
      <c r="B15" s="555"/>
      <c r="C15" s="556"/>
      <c r="D15" s="556"/>
      <c r="E15" s="557"/>
      <c r="F15" s="559"/>
      <c r="G15" s="561"/>
      <c r="H15" s="164" t="s">
        <v>37</v>
      </c>
      <c r="I15" s="183" t="s">
        <v>38</v>
      </c>
      <c r="J15" s="37" t="s">
        <v>37</v>
      </c>
      <c r="K15" s="37" t="s">
        <v>38</v>
      </c>
      <c r="L15" s="37" t="s">
        <v>37</v>
      </c>
      <c r="M15" s="37" t="s">
        <v>38</v>
      </c>
      <c r="N15" s="37" t="s">
        <v>37</v>
      </c>
      <c r="O15" s="37" t="s">
        <v>38</v>
      </c>
      <c r="P15" s="38" t="s">
        <v>37</v>
      </c>
      <c r="Q15" s="37" t="s">
        <v>38</v>
      </c>
      <c r="R15" s="37" t="s">
        <v>37</v>
      </c>
      <c r="S15" s="37" t="s">
        <v>38</v>
      </c>
      <c r="T15" s="37" t="s">
        <v>37</v>
      </c>
      <c r="U15" s="37" t="s">
        <v>38</v>
      </c>
      <c r="V15" s="37" t="s">
        <v>37</v>
      </c>
      <c r="W15" s="37" t="s">
        <v>38</v>
      </c>
      <c r="X15" s="37" t="s">
        <v>37</v>
      </c>
      <c r="Y15" s="37" t="s">
        <v>38</v>
      </c>
      <c r="Z15" s="37" t="s">
        <v>37</v>
      </c>
      <c r="AA15" s="37" t="s">
        <v>38</v>
      </c>
      <c r="AB15" s="37" t="s">
        <v>37</v>
      </c>
      <c r="AC15" s="37" t="s">
        <v>38</v>
      </c>
      <c r="AD15" s="37" t="s">
        <v>37</v>
      </c>
      <c r="AE15" s="37" t="s">
        <v>38</v>
      </c>
      <c r="AF15" s="37" t="s">
        <v>37</v>
      </c>
      <c r="AG15" s="37" t="s">
        <v>38</v>
      </c>
    </row>
    <row r="16" spans="1:256" ht="24.95" customHeight="1" x14ac:dyDescent="0.25">
      <c r="A16" s="15"/>
      <c r="B16" s="562" t="s">
        <v>39</v>
      </c>
      <c r="C16" s="563"/>
      <c r="D16" s="563"/>
      <c r="E16" s="563"/>
      <c r="F16" s="563"/>
      <c r="G16" s="563"/>
      <c r="H16" s="564"/>
      <c r="I16" s="184">
        <f>+SUM(I17:I28)</f>
        <v>7257688</v>
      </c>
      <c r="J16" s="162"/>
      <c r="K16" s="40">
        <f>+SUM(K17:K28)</f>
        <v>0</v>
      </c>
      <c r="L16" s="41"/>
      <c r="M16" s="40">
        <f>+SUM(M17:M28)</f>
        <v>0</v>
      </c>
      <c r="N16" s="41"/>
      <c r="O16" s="40">
        <f>+SUM(O17:O28)</f>
        <v>0</v>
      </c>
      <c r="P16" s="41"/>
      <c r="Q16" s="40">
        <f>+SUM(Q17:Q28)</f>
        <v>0</v>
      </c>
      <c r="R16" s="41"/>
      <c r="S16" s="40">
        <f>+SUM(S17:S28)</f>
        <v>0</v>
      </c>
      <c r="T16" s="41"/>
      <c r="U16" s="40">
        <f>+SUM(U17:U28)</f>
        <v>0</v>
      </c>
      <c r="V16" s="41"/>
      <c r="W16" s="40">
        <f>+SUM(W17:W28)</f>
        <v>0</v>
      </c>
      <c r="X16" s="41">
        <f>+SUM(X17:X28)</f>
        <v>0</v>
      </c>
      <c r="Y16" s="40">
        <f>+SUM(Y17:Y28)</f>
        <v>0</v>
      </c>
      <c r="Z16" s="41"/>
      <c r="AA16" s="40">
        <f>+SUM(AA17:AA28)</f>
        <v>0</v>
      </c>
      <c r="AB16" s="41">
        <f>+SUM(AB17:AB28)</f>
        <v>0</v>
      </c>
      <c r="AC16" s="40">
        <f>+SUM(AC17:AC28)</f>
        <v>0</v>
      </c>
      <c r="AD16" s="41"/>
      <c r="AE16" s="40">
        <f>+SUM(AE17:AE28)</f>
        <v>0</v>
      </c>
      <c r="AF16" s="41"/>
      <c r="AG16" s="40">
        <f>+SUM(AG17:AG28)</f>
        <v>0</v>
      </c>
      <c r="AH16" s="42">
        <f>SUM(I16:AG16)</f>
        <v>7257688</v>
      </c>
    </row>
    <row r="17" spans="1:33" ht="24.95" customHeight="1" x14ac:dyDescent="0.25">
      <c r="A17" s="15"/>
      <c r="B17" s="551" t="s">
        <v>40</v>
      </c>
      <c r="C17" s="551"/>
      <c r="D17" s="551"/>
      <c r="E17" s="551"/>
      <c r="F17" s="169" t="s">
        <v>41</v>
      </c>
      <c r="G17" s="170">
        <f>+ROUND((43297.9857738095),0)</f>
        <v>43298</v>
      </c>
      <c r="H17" s="178">
        <f>ROUND((0.25*(45+10)),0)</f>
        <v>14</v>
      </c>
      <c r="I17" s="174">
        <f>+H17*G17</f>
        <v>606172</v>
      </c>
      <c r="J17" s="163"/>
      <c r="K17" s="47"/>
      <c r="L17" s="48">
        <v>0</v>
      </c>
      <c r="M17" s="49">
        <f>+$G$17*L17</f>
        <v>0</v>
      </c>
      <c r="N17" s="50">
        <f>L17</f>
        <v>0</v>
      </c>
      <c r="O17" s="49">
        <f>+$G$17*N17</f>
        <v>0</v>
      </c>
      <c r="P17" s="48">
        <f>N17</f>
        <v>0</v>
      </c>
      <c r="Q17" s="49">
        <f>+$G$17*P17</f>
        <v>0</v>
      </c>
      <c r="R17" s="50">
        <f>P17</f>
        <v>0</v>
      </c>
      <c r="S17" s="49">
        <f>+$G$17*R17</f>
        <v>0</v>
      </c>
      <c r="T17" s="48">
        <f>R17</f>
        <v>0</v>
      </c>
      <c r="U17" s="49">
        <f>+$G$17*T17</f>
        <v>0</v>
      </c>
      <c r="V17" s="50">
        <f>T17</f>
        <v>0</v>
      </c>
      <c r="W17" s="49">
        <f>+$G$17*V17</f>
        <v>0</v>
      </c>
      <c r="X17" s="48">
        <f>V17</f>
        <v>0</v>
      </c>
      <c r="Y17" s="49">
        <f>+$G17*X17</f>
        <v>0</v>
      </c>
      <c r="Z17" s="50">
        <f>X17</f>
        <v>0</v>
      </c>
      <c r="AA17" s="49">
        <f>+$G17*Z17</f>
        <v>0</v>
      </c>
      <c r="AB17" s="48">
        <f>Z17</f>
        <v>0</v>
      </c>
      <c r="AC17" s="49">
        <f>+$G$17*AB17</f>
        <v>0</v>
      </c>
      <c r="AD17" s="50">
        <f>AB17</f>
        <v>0</v>
      </c>
      <c r="AE17" s="49">
        <f>+$G$17*AD17</f>
        <v>0</v>
      </c>
      <c r="AF17" s="50">
        <f>AD17</f>
        <v>0</v>
      </c>
      <c r="AG17" s="49">
        <f>+$G$17*AF17</f>
        <v>0</v>
      </c>
    </row>
    <row r="18" spans="1:33" ht="24.95" customHeight="1" x14ac:dyDescent="0.25">
      <c r="A18" s="15"/>
      <c r="B18" s="551" t="s">
        <v>42</v>
      </c>
      <c r="C18" s="551"/>
      <c r="D18" s="551"/>
      <c r="E18" s="551"/>
      <c r="F18" s="169" t="s">
        <v>41</v>
      </c>
      <c r="G18" s="170">
        <f t="shared" ref="G18:G20" si="0">+ROUND((43297.9857738095),0)</f>
        <v>43298</v>
      </c>
      <c r="H18" s="178">
        <f t="shared" ref="H18:H20" si="1">ROUND((0.25*(45+10)),0)</f>
        <v>14</v>
      </c>
      <c r="I18" s="174">
        <f t="shared" ref="I18:I20" si="2">+H18*G18</f>
        <v>606172</v>
      </c>
      <c r="J18" s="163"/>
      <c r="K18" s="47"/>
      <c r="L18" s="48">
        <v>0</v>
      </c>
      <c r="M18" s="49">
        <f>+$G$17*L18</f>
        <v>0</v>
      </c>
      <c r="N18" s="50">
        <f>L18</f>
        <v>0</v>
      </c>
      <c r="O18" s="49">
        <f>+$G$17*N18</f>
        <v>0</v>
      </c>
      <c r="P18" s="48">
        <f>N18</f>
        <v>0</v>
      </c>
      <c r="Q18" s="49">
        <f>+$G$17*P18</f>
        <v>0</v>
      </c>
      <c r="R18" s="50">
        <f>P18</f>
        <v>0</v>
      </c>
      <c r="S18" s="49">
        <f>+$G$17*R18</f>
        <v>0</v>
      </c>
      <c r="T18" s="48">
        <f>R18</f>
        <v>0</v>
      </c>
      <c r="U18" s="49">
        <f>+$G$17*T18</f>
        <v>0</v>
      </c>
      <c r="V18" s="50">
        <f>T18</f>
        <v>0</v>
      </c>
      <c r="W18" s="49">
        <f>+$G$17*V18</f>
        <v>0</v>
      </c>
      <c r="X18" s="48">
        <f>V18</f>
        <v>0</v>
      </c>
      <c r="Y18" s="49">
        <f>+$G18*X18</f>
        <v>0</v>
      </c>
      <c r="Z18" s="50">
        <f>X18</f>
        <v>0</v>
      </c>
      <c r="AA18" s="49">
        <f>+$G18*Z18</f>
        <v>0</v>
      </c>
      <c r="AB18" s="48">
        <f>Z18</f>
        <v>0</v>
      </c>
      <c r="AC18" s="49">
        <f>+$G$17*AB18</f>
        <v>0</v>
      </c>
      <c r="AD18" s="50">
        <f>AB18</f>
        <v>0</v>
      </c>
      <c r="AE18" s="49">
        <f>+$G$17*AD18</f>
        <v>0</v>
      </c>
      <c r="AF18" s="50">
        <f>AD18</f>
        <v>0</v>
      </c>
      <c r="AG18" s="49">
        <f>+$G$17*AF18</f>
        <v>0</v>
      </c>
    </row>
    <row r="19" spans="1:33" ht="24.95" customHeight="1" x14ac:dyDescent="0.25">
      <c r="A19" s="15"/>
      <c r="B19" s="551" t="s">
        <v>43</v>
      </c>
      <c r="C19" s="551"/>
      <c r="D19" s="551"/>
      <c r="E19" s="551"/>
      <c r="F19" s="169" t="s">
        <v>41</v>
      </c>
      <c r="G19" s="170">
        <f t="shared" si="0"/>
        <v>43298</v>
      </c>
      <c r="H19" s="178">
        <f t="shared" si="1"/>
        <v>14</v>
      </c>
      <c r="I19" s="174">
        <f t="shared" si="2"/>
        <v>606172</v>
      </c>
      <c r="J19" s="163"/>
      <c r="K19" s="47"/>
      <c r="L19" s="48">
        <v>0</v>
      </c>
      <c r="M19" s="49">
        <f>+$G$17*L19</f>
        <v>0</v>
      </c>
      <c r="N19" s="50">
        <f>L19</f>
        <v>0</v>
      </c>
      <c r="O19" s="49">
        <f>+$G$17*N19</f>
        <v>0</v>
      </c>
      <c r="P19" s="48">
        <f>N19</f>
        <v>0</v>
      </c>
      <c r="Q19" s="49">
        <f>+$G$17*P19</f>
        <v>0</v>
      </c>
      <c r="R19" s="50">
        <f>P19</f>
        <v>0</v>
      </c>
      <c r="S19" s="49">
        <f>+$G$17*R19</f>
        <v>0</v>
      </c>
      <c r="T19" s="48">
        <f>R19</f>
        <v>0</v>
      </c>
      <c r="U19" s="49">
        <f>+$G$17*T19</f>
        <v>0</v>
      </c>
      <c r="V19" s="50">
        <f>T19</f>
        <v>0</v>
      </c>
      <c r="W19" s="49">
        <f>+$G$17*V19</f>
        <v>0</v>
      </c>
      <c r="X19" s="48">
        <f>V19</f>
        <v>0</v>
      </c>
      <c r="Y19" s="49">
        <f>+$G19*X19</f>
        <v>0</v>
      </c>
      <c r="Z19" s="50">
        <f>X19</f>
        <v>0</v>
      </c>
      <c r="AA19" s="49">
        <f>+$G19*Z19</f>
        <v>0</v>
      </c>
      <c r="AB19" s="48">
        <f>Z19</f>
        <v>0</v>
      </c>
      <c r="AC19" s="49">
        <f>+$G$17*AB19</f>
        <v>0</v>
      </c>
      <c r="AD19" s="50">
        <f>AB19</f>
        <v>0</v>
      </c>
      <c r="AE19" s="49">
        <f>+$G$17*AD19</f>
        <v>0</v>
      </c>
      <c r="AF19" s="50">
        <f>AD19</f>
        <v>0</v>
      </c>
      <c r="AG19" s="49">
        <f>+$G$17*AF19</f>
        <v>0</v>
      </c>
    </row>
    <row r="20" spans="1:33" ht="24.95" customHeight="1" x14ac:dyDescent="0.25">
      <c r="A20" s="15"/>
      <c r="B20" s="551" t="s">
        <v>44</v>
      </c>
      <c r="C20" s="551"/>
      <c r="D20" s="551"/>
      <c r="E20" s="551"/>
      <c r="F20" s="169" t="s">
        <v>41</v>
      </c>
      <c r="G20" s="170">
        <f t="shared" si="0"/>
        <v>43298</v>
      </c>
      <c r="H20" s="178">
        <f t="shared" si="1"/>
        <v>14</v>
      </c>
      <c r="I20" s="174">
        <f t="shared" si="2"/>
        <v>606172</v>
      </c>
      <c r="J20" s="163"/>
      <c r="K20" s="47"/>
      <c r="L20" s="48">
        <v>0</v>
      </c>
      <c r="M20" s="49">
        <f>+$G$20*L20</f>
        <v>0</v>
      </c>
      <c r="N20" s="50">
        <f t="shared" ref="N20" si="3">L20</f>
        <v>0</v>
      </c>
      <c r="O20" s="49">
        <f>+$G$20*N20</f>
        <v>0</v>
      </c>
      <c r="P20" s="48">
        <f t="shared" ref="P20" si="4">N20</f>
        <v>0</v>
      </c>
      <c r="Q20" s="49">
        <f>+$G$20*P20</f>
        <v>0</v>
      </c>
      <c r="R20" s="50">
        <f t="shared" ref="R20" si="5">P20</f>
        <v>0</v>
      </c>
      <c r="S20" s="49">
        <f>+$G$20*R20</f>
        <v>0</v>
      </c>
      <c r="T20" s="48">
        <f t="shared" ref="T20" si="6">R20</f>
        <v>0</v>
      </c>
      <c r="U20" s="49">
        <f>+$G$20*T20</f>
        <v>0</v>
      </c>
      <c r="V20" s="50">
        <f t="shared" ref="V20" si="7">T20</f>
        <v>0</v>
      </c>
      <c r="W20" s="49">
        <f>+$G$20*V20</f>
        <v>0</v>
      </c>
      <c r="X20" s="48">
        <f t="shared" ref="X20" si="8">V20</f>
        <v>0</v>
      </c>
      <c r="Y20" s="49">
        <f t="shared" ref="Y20:Y27" si="9">+$G20*X20</f>
        <v>0</v>
      </c>
      <c r="Z20" s="50">
        <f t="shared" ref="Z20" si="10">X20</f>
        <v>0</v>
      </c>
      <c r="AA20" s="49">
        <f t="shared" ref="AA20:AA25" si="11">+$G20*Z20</f>
        <v>0</v>
      </c>
      <c r="AB20" s="48">
        <f t="shared" ref="AB20" si="12">Z20</f>
        <v>0</v>
      </c>
      <c r="AC20" s="49">
        <f>+$G$20*AB20</f>
        <v>0</v>
      </c>
      <c r="AD20" s="50">
        <f t="shared" ref="AD20" si="13">AB20</f>
        <v>0</v>
      </c>
      <c r="AE20" s="49">
        <f>+$G$20*AD20</f>
        <v>0</v>
      </c>
      <c r="AF20" s="50">
        <f t="shared" ref="AF20" si="14">AD20</f>
        <v>0</v>
      </c>
      <c r="AG20" s="49">
        <f>+$G$20*AF20</f>
        <v>0</v>
      </c>
    </row>
    <row r="21" spans="1:33" ht="24.95" customHeight="1" x14ac:dyDescent="0.25">
      <c r="A21" s="15"/>
      <c r="B21" s="565" t="s">
        <v>45</v>
      </c>
      <c r="C21" s="565"/>
      <c r="D21" s="565"/>
      <c r="E21" s="565"/>
      <c r="F21" s="171" t="s">
        <v>46</v>
      </c>
      <c r="G21" s="172">
        <f>+'[2]Análisis cotizaciones'!$I$35</f>
        <v>4833333</v>
      </c>
      <c r="H21" s="179">
        <v>1</v>
      </c>
      <c r="I21" s="349">
        <f>+ROUND($G$21*H21,-3)</f>
        <v>4833000</v>
      </c>
      <c r="J21" s="163"/>
      <c r="K21" s="47"/>
      <c r="L21" s="52">
        <v>0</v>
      </c>
      <c r="M21" s="53">
        <f>+$G$21*L21</f>
        <v>0</v>
      </c>
      <c r="N21" s="54">
        <f>L21</f>
        <v>0</v>
      </c>
      <c r="O21" s="53">
        <f>+$G$21*N21</f>
        <v>0</v>
      </c>
      <c r="P21" s="52">
        <f>N21</f>
        <v>0</v>
      </c>
      <c r="Q21" s="53">
        <f>+$G$21*P21</f>
        <v>0</v>
      </c>
      <c r="R21" s="54">
        <f>P21</f>
        <v>0</v>
      </c>
      <c r="S21" s="53">
        <f>+$G$21*R21</f>
        <v>0</v>
      </c>
      <c r="T21" s="52">
        <f>R21</f>
        <v>0</v>
      </c>
      <c r="U21" s="53">
        <f>+$G$21*T21</f>
        <v>0</v>
      </c>
      <c r="V21" s="54">
        <f>T21</f>
        <v>0</v>
      </c>
      <c r="W21" s="53">
        <f>+$G$21*V21</f>
        <v>0</v>
      </c>
      <c r="X21" s="52">
        <f>V21</f>
        <v>0</v>
      </c>
      <c r="Y21" s="53">
        <f t="shared" si="9"/>
        <v>0</v>
      </c>
      <c r="Z21" s="54">
        <f>X21</f>
        <v>0</v>
      </c>
      <c r="AA21" s="53">
        <f t="shared" si="11"/>
        <v>0</v>
      </c>
      <c r="AB21" s="52">
        <f>Z21</f>
        <v>0</v>
      </c>
      <c r="AC21" s="53">
        <f>+$G$21*AB21</f>
        <v>0</v>
      </c>
      <c r="AD21" s="54">
        <f>AB21</f>
        <v>0</v>
      </c>
      <c r="AE21" s="53">
        <f>+$G$21*AD21</f>
        <v>0</v>
      </c>
      <c r="AF21" s="54">
        <f>AD21</f>
        <v>0</v>
      </c>
      <c r="AG21" s="53">
        <f>+$G$21*AF21</f>
        <v>0</v>
      </c>
    </row>
    <row r="22" spans="1:33" ht="15" hidden="1" customHeight="1" x14ac:dyDescent="0.25">
      <c r="A22" s="15"/>
      <c r="B22" s="566"/>
      <c r="C22" s="567"/>
      <c r="D22" s="165"/>
      <c r="E22" s="165"/>
      <c r="F22" s="166"/>
      <c r="G22" s="167"/>
      <c r="H22" s="165"/>
      <c r="I22" s="168">
        <f>+$G$22*H22</f>
        <v>0</v>
      </c>
      <c r="J22" s="46"/>
      <c r="K22" s="47"/>
      <c r="L22" s="52"/>
      <c r="M22" s="53">
        <f>+$G$22*L22</f>
        <v>0</v>
      </c>
      <c r="N22" s="52"/>
      <c r="O22" s="53">
        <f>+$G$22*N22</f>
        <v>0</v>
      </c>
      <c r="P22" s="52"/>
      <c r="Q22" s="53">
        <f>+$G$22*P22</f>
        <v>0</v>
      </c>
      <c r="R22" s="52"/>
      <c r="S22" s="53">
        <f>+$G$22*R22</f>
        <v>0</v>
      </c>
      <c r="T22" s="52"/>
      <c r="U22" s="53">
        <f>+$G$22*T22</f>
        <v>0</v>
      </c>
      <c r="V22" s="52"/>
      <c r="W22" s="53">
        <f>+$G$22*V22</f>
        <v>0</v>
      </c>
      <c r="X22" s="52"/>
      <c r="Y22" s="53">
        <f t="shared" si="9"/>
        <v>0</v>
      </c>
      <c r="Z22" s="52"/>
      <c r="AA22" s="53">
        <f t="shared" si="11"/>
        <v>0</v>
      </c>
      <c r="AB22" s="52"/>
      <c r="AC22" s="53">
        <f>+$G$22*AB22</f>
        <v>0</v>
      </c>
      <c r="AD22" s="52"/>
      <c r="AE22" s="53">
        <f>+$G$22*AD22</f>
        <v>0</v>
      </c>
      <c r="AF22" s="52"/>
      <c r="AG22" s="53">
        <f>+$G$22*AF22</f>
        <v>0</v>
      </c>
    </row>
    <row r="23" spans="1:33" ht="15.6" hidden="1" customHeight="1" x14ac:dyDescent="0.25">
      <c r="A23" s="15"/>
      <c r="B23" s="568"/>
      <c r="C23" s="569"/>
      <c r="D23" s="569"/>
      <c r="E23" s="570"/>
      <c r="F23" s="43"/>
      <c r="G23" s="55"/>
      <c r="H23" s="56"/>
      <c r="I23" s="185">
        <f>+$G$23*H23</f>
        <v>0</v>
      </c>
      <c r="J23" s="46"/>
      <c r="K23" s="47"/>
      <c r="L23" s="48"/>
      <c r="M23" s="49">
        <f>+$G$23*L23</f>
        <v>0</v>
      </c>
      <c r="N23" s="48"/>
      <c r="O23" s="49">
        <f>+$G$23*N23</f>
        <v>0</v>
      </c>
      <c r="P23" s="48"/>
      <c r="Q23" s="49">
        <f>+$G$23*P23</f>
        <v>0</v>
      </c>
      <c r="R23" s="48"/>
      <c r="S23" s="49">
        <f>+$G$23*R23</f>
        <v>0</v>
      </c>
      <c r="T23" s="48"/>
      <c r="U23" s="49">
        <f>+$G$23*T23</f>
        <v>0</v>
      </c>
      <c r="V23" s="48"/>
      <c r="W23" s="49">
        <f>+$G$23*V23</f>
        <v>0</v>
      </c>
      <c r="X23" s="48"/>
      <c r="Y23" s="49">
        <f t="shared" si="9"/>
        <v>0</v>
      </c>
      <c r="Z23" s="48"/>
      <c r="AA23" s="49">
        <f t="shared" si="11"/>
        <v>0</v>
      </c>
      <c r="AB23" s="48"/>
      <c r="AC23" s="49">
        <f>+$G$23*AB23</f>
        <v>0</v>
      </c>
      <c r="AD23" s="48"/>
      <c r="AE23" s="49">
        <f>+$G$23*AD23</f>
        <v>0</v>
      </c>
      <c r="AF23" s="48"/>
      <c r="AG23" s="49">
        <f>+$G$23*AF23</f>
        <v>0</v>
      </c>
    </row>
    <row r="24" spans="1:33" ht="15.6" hidden="1" customHeight="1" x14ac:dyDescent="0.25">
      <c r="A24" s="15"/>
      <c r="B24" s="568"/>
      <c r="C24" s="569"/>
      <c r="D24" s="569"/>
      <c r="E24" s="570"/>
      <c r="F24" s="43"/>
      <c r="G24" s="55"/>
      <c r="H24" s="56"/>
      <c r="I24" s="185">
        <f>+$G$23*H24</f>
        <v>0</v>
      </c>
      <c r="J24" s="46"/>
      <c r="K24" s="47"/>
      <c r="L24" s="48"/>
      <c r="M24" s="49">
        <f>+$G$24*L24</f>
        <v>0</v>
      </c>
      <c r="N24" s="48"/>
      <c r="O24" s="49">
        <f>+$G$24*N24</f>
        <v>0</v>
      </c>
      <c r="P24" s="48"/>
      <c r="Q24" s="49">
        <f>+$G$24*P24</f>
        <v>0</v>
      </c>
      <c r="R24" s="48"/>
      <c r="S24" s="49">
        <f>+$G$24*R24</f>
        <v>0</v>
      </c>
      <c r="T24" s="48"/>
      <c r="U24" s="49">
        <f>+$G$24*T24</f>
        <v>0</v>
      </c>
      <c r="V24" s="48"/>
      <c r="W24" s="49">
        <f>+$G24*V24</f>
        <v>0</v>
      </c>
      <c r="X24" s="48"/>
      <c r="Y24" s="49">
        <f t="shared" si="9"/>
        <v>0</v>
      </c>
      <c r="Z24" s="48"/>
      <c r="AA24" s="49">
        <f t="shared" si="11"/>
        <v>0</v>
      </c>
      <c r="AB24" s="48"/>
      <c r="AC24" s="49"/>
      <c r="AD24" s="48"/>
      <c r="AE24" s="49"/>
      <c r="AF24" s="48"/>
      <c r="AG24" s="49"/>
    </row>
    <row r="25" spans="1:33" ht="15" hidden="1" customHeight="1" x14ac:dyDescent="0.25">
      <c r="A25" s="15"/>
      <c r="B25" s="568"/>
      <c r="C25" s="569"/>
      <c r="D25" s="569"/>
      <c r="E25" s="570"/>
      <c r="F25" s="43"/>
      <c r="G25" s="55"/>
      <c r="H25" s="56"/>
      <c r="I25" s="185">
        <f>+$G$25*H25</f>
        <v>0</v>
      </c>
      <c r="J25" s="46"/>
      <c r="K25" s="47"/>
      <c r="L25" s="48"/>
      <c r="M25" s="49">
        <f>+$G$25*L25</f>
        <v>0</v>
      </c>
      <c r="N25" s="48"/>
      <c r="O25" s="49">
        <f>+$G$25*N25</f>
        <v>0</v>
      </c>
      <c r="P25" s="48"/>
      <c r="Q25" s="49">
        <f>+$G$25*P25</f>
        <v>0</v>
      </c>
      <c r="R25" s="48"/>
      <c r="S25" s="49">
        <f>+$G$25*R25</f>
        <v>0</v>
      </c>
      <c r="T25" s="48"/>
      <c r="U25" s="49">
        <f>+$G$25*T25</f>
        <v>0</v>
      </c>
      <c r="V25" s="48"/>
      <c r="W25" s="49">
        <f>+$G25*V25</f>
        <v>0</v>
      </c>
      <c r="X25" s="48"/>
      <c r="Y25" s="49">
        <f t="shared" si="9"/>
        <v>0</v>
      </c>
      <c r="Z25" s="48"/>
      <c r="AA25" s="49">
        <f t="shared" si="11"/>
        <v>0</v>
      </c>
      <c r="AB25" s="48"/>
      <c r="AC25" s="49">
        <f>+$G$25*AB25</f>
        <v>0</v>
      </c>
      <c r="AD25" s="48"/>
      <c r="AE25" s="49">
        <f>+$G$25*AD25</f>
        <v>0</v>
      </c>
      <c r="AF25" s="48"/>
      <c r="AG25" s="49">
        <f>+$G$25*AF25</f>
        <v>0</v>
      </c>
    </row>
    <row r="26" spans="1:33" ht="15" hidden="1" customHeight="1" x14ac:dyDescent="0.25">
      <c r="A26" s="15"/>
      <c r="B26" s="568"/>
      <c r="C26" s="569"/>
      <c r="D26" s="569"/>
      <c r="E26" s="570"/>
      <c r="F26" s="43"/>
      <c r="G26" s="55"/>
      <c r="H26" s="56"/>
      <c r="I26" s="185">
        <f>+$G$26*H26</f>
        <v>0</v>
      </c>
      <c r="J26" s="46"/>
      <c r="K26" s="47"/>
      <c r="L26" s="48"/>
      <c r="M26" s="49">
        <f>+$G$26*L26</f>
        <v>0</v>
      </c>
      <c r="N26" s="48"/>
      <c r="O26" s="49">
        <f>+$G$26*N26</f>
        <v>0</v>
      </c>
      <c r="P26" s="48"/>
      <c r="Q26" s="49">
        <f>+$G$26*P26</f>
        <v>0</v>
      </c>
      <c r="R26" s="48"/>
      <c r="S26" s="49">
        <f>+$G$26*R26</f>
        <v>0</v>
      </c>
      <c r="T26" s="48"/>
      <c r="U26" s="49">
        <f>+$G$26*T26</f>
        <v>0</v>
      </c>
      <c r="V26" s="48"/>
      <c r="W26" s="49">
        <f>+$G26*V26</f>
        <v>0</v>
      </c>
      <c r="X26" s="48"/>
      <c r="Y26" s="49">
        <f t="shared" si="9"/>
        <v>0</v>
      </c>
      <c r="Z26" s="48"/>
      <c r="AA26" s="49">
        <f>+$G26*Z26</f>
        <v>0</v>
      </c>
      <c r="AB26" s="48"/>
      <c r="AC26" s="49">
        <f>+$G$26*AB26</f>
        <v>0</v>
      </c>
      <c r="AD26" s="48"/>
      <c r="AE26" s="49">
        <f>+$G$26*AD26</f>
        <v>0</v>
      </c>
      <c r="AF26" s="48"/>
      <c r="AG26" s="49">
        <f>+$G$26*AF26</f>
        <v>0</v>
      </c>
    </row>
    <row r="27" spans="1:33" ht="15" hidden="1" customHeight="1" x14ac:dyDescent="0.25">
      <c r="A27" s="15"/>
      <c r="B27" s="568"/>
      <c r="C27" s="569"/>
      <c r="D27" s="569"/>
      <c r="E27" s="570"/>
      <c r="F27" s="43"/>
      <c r="G27" s="55"/>
      <c r="H27" s="56"/>
      <c r="I27" s="185">
        <f>+$G$27*H27</f>
        <v>0</v>
      </c>
      <c r="J27" s="46"/>
      <c r="K27" s="47"/>
      <c r="L27" s="48"/>
      <c r="M27" s="49">
        <f>+$G$27*L27</f>
        <v>0</v>
      </c>
      <c r="N27" s="48"/>
      <c r="O27" s="49">
        <f>+$G$27*N27</f>
        <v>0</v>
      </c>
      <c r="P27" s="48"/>
      <c r="Q27" s="49">
        <f>+$G$27*P27</f>
        <v>0</v>
      </c>
      <c r="R27" s="48"/>
      <c r="S27" s="49">
        <f>+$G$27*R27</f>
        <v>0</v>
      </c>
      <c r="T27" s="48"/>
      <c r="U27" s="49">
        <f>+$G$27*T27</f>
        <v>0</v>
      </c>
      <c r="V27" s="48"/>
      <c r="W27" s="49">
        <f>+$G27*V27</f>
        <v>0</v>
      </c>
      <c r="X27" s="48"/>
      <c r="Y27" s="49">
        <f t="shared" si="9"/>
        <v>0</v>
      </c>
      <c r="Z27" s="48"/>
      <c r="AA27" s="49" t="s">
        <v>47</v>
      </c>
      <c r="AB27" s="48"/>
      <c r="AC27" s="49">
        <f>+$G$27*AB27</f>
        <v>0</v>
      </c>
      <c r="AD27" s="48"/>
      <c r="AE27" s="49">
        <f>+$G$27*AD27</f>
        <v>0</v>
      </c>
      <c r="AF27" s="48"/>
      <c r="AG27" s="49">
        <f>+$G$27*AF27</f>
        <v>0</v>
      </c>
    </row>
    <row r="28" spans="1:33" ht="15" hidden="1" customHeight="1" x14ac:dyDescent="0.25">
      <c r="A28" s="15"/>
      <c r="B28" s="572"/>
      <c r="C28" s="573"/>
      <c r="D28" s="573"/>
      <c r="E28" s="574"/>
      <c r="F28" s="148"/>
      <c r="G28" s="149"/>
      <c r="H28" s="150"/>
      <c r="I28" s="186">
        <f>+$G$27*H28</f>
        <v>0</v>
      </c>
      <c r="J28" s="151"/>
      <c r="K28" s="152"/>
      <c r="L28" s="153"/>
      <c r="M28" s="154">
        <f>+$G27*L28</f>
        <v>0</v>
      </c>
      <c r="N28" s="153"/>
      <c r="O28" s="154">
        <f>+$G28*N28</f>
        <v>0</v>
      </c>
      <c r="P28" s="153"/>
      <c r="Q28" s="154">
        <f>+$G28*P28</f>
        <v>0</v>
      </c>
      <c r="R28" s="153"/>
      <c r="S28" s="154">
        <f>+$G28*R28</f>
        <v>0</v>
      </c>
      <c r="T28" s="153"/>
      <c r="U28" s="154">
        <f>+$G28*T28</f>
        <v>0</v>
      </c>
      <c r="V28" s="153"/>
      <c r="W28" s="154">
        <f>+$G28*V28</f>
        <v>0</v>
      </c>
      <c r="X28" s="153"/>
      <c r="Y28" s="154">
        <f>+$G28*X28</f>
        <v>0</v>
      </c>
      <c r="Z28" s="153"/>
      <c r="AA28" s="154">
        <f>+$G28*Z28</f>
        <v>0</v>
      </c>
      <c r="AB28" s="153"/>
      <c r="AC28" s="154">
        <f>+$G28*AB28</f>
        <v>0</v>
      </c>
      <c r="AD28" s="153"/>
      <c r="AE28" s="154">
        <f>+$G28*AD28</f>
        <v>0</v>
      </c>
      <c r="AF28" s="153"/>
      <c r="AG28" s="154">
        <f>+$G28*AF28</f>
        <v>0</v>
      </c>
    </row>
    <row r="29" spans="1:33" ht="15" customHeight="1" x14ac:dyDescent="0.25">
      <c r="A29" s="15"/>
      <c r="B29" s="538"/>
      <c r="C29" s="538"/>
      <c r="D29" s="538"/>
      <c r="E29" s="538"/>
      <c r="F29" s="538"/>
      <c r="G29" s="538"/>
      <c r="H29" s="538"/>
      <c r="I29" s="538"/>
      <c r="J29" s="157"/>
      <c r="K29" s="158"/>
      <c r="L29" s="159"/>
      <c r="M29" s="160"/>
      <c r="N29" s="159"/>
      <c r="O29" s="160"/>
      <c r="P29" s="159"/>
      <c r="Q29" s="160"/>
      <c r="R29" s="159"/>
      <c r="S29" s="160"/>
      <c r="T29" s="159"/>
      <c r="U29" s="160"/>
      <c r="V29" s="159"/>
      <c r="W29" s="160"/>
      <c r="X29" s="159"/>
      <c r="Y29" s="160"/>
      <c r="Z29" s="159"/>
      <c r="AA29" s="160"/>
      <c r="AB29" s="159"/>
      <c r="AC29" s="160"/>
      <c r="AD29" s="159"/>
      <c r="AE29" s="160"/>
      <c r="AF29" s="159"/>
      <c r="AG29" s="160"/>
    </row>
    <row r="30" spans="1:33" ht="24.95" customHeight="1" x14ac:dyDescent="0.25">
      <c r="A30" s="15"/>
      <c r="B30" s="575" t="s">
        <v>48</v>
      </c>
      <c r="C30" s="575"/>
      <c r="D30" s="575"/>
      <c r="E30" s="575"/>
      <c r="F30" s="575"/>
      <c r="G30" s="575"/>
      <c r="H30" s="575"/>
      <c r="I30" s="184">
        <f>+SUM(I31:I39)</f>
        <v>432558750</v>
      </c>
      <c r="J30" s="161"/>
      <c r="K30" s="156">
        <f>+SUM(K31:K39)</f>
        <v>0</v>
      </c>
      <c r="L30" s="155"/>
      <c r="M30" s="156">
        <f>+SUM(M31:M39)</f>
        <v>0</v>
      </c>
      <c r="N30" s="155"/>
      <c r="O30" s="156">
        <f>+SUM(O31:O39)</f>
        <v>0</v>
      </c>
      <c r="P30" s="155"/>
      <c r="Q30" s="156">
        <f>+SUM(Q31:Q39)</f>
        <v>0</v>
      </c>
      <c r="R30" s="155"/>
      <c r="S30" s="156">
        <f>+SUM(S31:S39)</f>
        <v>0</v>
      </c>
      <c r="T30" s="155"/>
      <c r="U30" s="156">
        <f>+SUM(U31:U39)</f>
        <v>0</v>
      </c>
      <c r="V30" s="155"/>
      <c r="W30" s="156">
        <f>+SUM(W31:W39)</f>
        <v>0</v>
      </c>
      <c r="X30" s="155"/>
      <c r="Y30" s="156">
        <f>+SUM(Y31:Y39)</f>
        <v>0</v>
      </c>
      <c r="Z30" s="155"/>
      <c r="AA30" s="156">
        <f>+SUM(AA31:AA39)</f>
        <v>0</v>
      </c>
      <c r="AB30" s="155"/>
      <c r="AC30" s="156">
        <f>+SUM(AC31:AC39)</f>
        <v>0</v>
      </c>
      <c r="AD30" s="155"/>
      <c r="AE30" s="156">
        <f>+SUM(AE31:AE39)</f>
        <v>0</v>
      </c>
      <c r="AF30" s="155"/>
      <c r="AG30" s="156">
        <f>+SUM(AG31:AG39)</f>
        <v>0</v>
      </c>
    </row>
    <row r="31" spans="1:33" ht="24.95" customHeight="1" x14ac:dyDescent="0.25">
      <c r="A31" s="15"/>
      <c r="B31" s="571" t="str">
        <f>+[7]Hoja1!$A3</f>
        <v>MEDIA ALZA</v>
      </c>
      <c r="C31" s="571"/>
      <c r="D31" s="571"/>
      <c r="E31" s="571"/>
      <c r="F31" s="176" t="s">
        <v>22</v>
      </c>
      <c r="G31" s="172">
        <f>+'Análisis cotizaciones VF'!K3</f>
        <v>35000</v>
      </c>
      <c r="H31" s="173">
        <f>13*(57)</f>
        <v>741</v>
      </c>
      <c r="I31" s="349">
        <f>+G31*H31</f>
        <v>25935000</v>
      </c>
      <c r="J31" s="163"/>
      <c r="K31" s="47"/>
      <c r="L31" s="48">
        <v>0</v>
      </c>
      <c r="M31" s="49">
        <f>+$G31*L31</f>
        <v>0</v>
      </c>
      <c r="N31" s="50">
        <f>L31</f>
        <v>0</v>
      </c>
      <c r="O31" s="49">
        <f>+$G31*N31</f>
        <v>0</v>
      </c>
      <c r="P31" s="48">
        <f>N31</f>
        <v>0</v>
      </c>
      <c r="Q31" s="49">
        <f>+$G31*P31</f>
        <v>0</v>
      </c>
      <c r="R31" s="50">
        <f>P31</f>
        <v>0</v>
      </c>
      <c r="S31" s="49">
        <f>+$G$31*R31</f>
        <v>0</v>
      </c>
      <c r="T31" s="48">
        <f>R31</f>
        <v>0</v>
      </c>
      <c r="U31" s="49">
        <f>+$G$31*T31</f>
        <v>0</v>
      </c>
      <c r="V31" s="50">
        <f>T31</f>
        <v>0</v>
      </c>
      <c r="W31" s="49">
        <f>+$G$31*V31</f>
        <v>0</v>
      </c>
      <c r="X31" s="48">
        <f>V31</f>
        <v>0</v>
      </c>
      <c r="Y31" s="49">
        <f>+$G$31*X31</f>
        <v>0</v>
      </c>
      <c r="Z31" s="50">
        <f>X31</f>
        <v>0</v>
      </c>
      <c r="AA31" s="49">
        <f>+$G31*Z31</f>
        <v>0</v>
      </c>
      <c r="AB31" s="48">
        <f>Z31</f>
        <v>0</v>
      </c>
      <c r="AC31" s="49">
        <f>+$G31*AB31</f>
        <v>0</v>
      </c>
      <c r="AD31" s="50">
        <f>AB31</f>
        <v>0</v>
      </c>
      <c r="AE31" s="49">
        <f>+$G31*AD31</f>
        <v>0</v>
      </c>
      <c r="AF31" s="50">
        <f>AD31</f>
        <v>0</v>
      </c>
      <c r="AG31" s="49">
        <f>+$G31*AF31</f>
        <v>0</v>
      </c>
    </row>
    <row r="32" spans="1:33" ht="24.95" customHeight="1" x14ac:dyDescent="0.25">
      <c r="A32" s="15"/>
      <c r="B32" s="571" t="str">
        <f>+[7]Hoja1!$A4</f>
        <v>PIQUERA</v>
      </c>
      <c r="C32" s="571"/>
      <c r="D32" s="571"/>
      <c r="E32" s="571"/>
      <c r="F32" s="176" t="s">
        <v>22</v>
      </c>
      <c r="G32" s="172">
        <f>+'Análisis cotizaciones VF'!K4</f>
        <v>30000</v>
      </c>
      <c r="H32" s="173">
        <f t="shared" ref="H32:H35" si="15">13*(57)</f>
        <v>741</v>
      </c>
      <c r="I32" s="349">
        <f>+G32*H32</f>
        <v>22230000</v>
      </c>
      <c r="J32" s="163"/>
      <c r="K32" s="47"/>
      <c r="L32" s="48">
        <v>0</v>
      </c>
      <c r="M32" s="49">
        <f>+$G32*L32</f>
        <v>0</v>
      </c>
      <c r="N32" s="50">
        <f>L32</f>
        <v>0</v>
      </c>
      <c r="O32" s="49">
        <f>+$G32*N32</f>
        <v>0</v>
      </c>
      <c r="P32" s="48">
        <f>N32</f>
        <v>0</v>
      </c>
      <c r="Q32" s="49">
        <f>+$G32*P32</f>
        <v>0</v>
      </c>
      <c r="R32" s="50">
        <f>P32</f>
        <v>0</v>
      </c>
      <c r="S32" s="49">
        <f>$G$32*R32</f>
        <v>0</v>
      </c>
      <c r="T32" s="48">
        <f>R32</f>
        <v>0</v>
      </c>
      <c r="U32" s="49">
        <f>$G$32*T32</f>
        <v>0</v>
      </c>
      <c r="V32" s="50">
        <f>T32</f>
        <v>0</v>
      </c>
      <c r="W32" s="49">
        <f>$G$32*V32</f>
        <v>0</v>
      </c>
      <c r="X32" s="48">
        <f>V32</f>
        <v>0</v>
      </c>
      <c r="Y32" s="49">
        <f>$G$32*X32</f>
        <v>0</v>
      </c>
      <c r="Z32" s="50">
        <f>X32</f>
        <v>0</v>
      </c>
      <c r="AA32" s="49">
        <f>+$G32*Z32</f>
        <v>0</v>
      </c>
      <c r="AB32" s="48">
        <f>Z32</f>
        <v>0</v>
      </c>
      <c r="AC32" s="49">
        <f>+$G32*AB32</f>
        <v>0</v>
      </c>
      <c r="AD32" s="50">
        <f>AB32</f>
        <v>0</v>
      </c>
      <c r="AE32" s="49">
        <f>+$G32*AD32</f>
        <v>0</v>
      </c>
      <c r="AF32" s="50">
        <f>AD32</f>
        <v>0</v>
      </c>
      <c r="AG32" s="49">
        <f>+$G32*AF32</f>
        <v>0</v>
      </c>
    </row>
    <row r="33" spans="1:34" ht="24.95" customHeight="1" x14ac:dyDescent="0.25">
      <c r="A33" s="15"/>
      <c r="B33" s="571" t="str">
        <f>+[7]Hoja1!$A5</f>
        <v>ALZA PROFUNDA</v>
      </c>
      <c r="C33" s="571"/>
      <c r="D33" s="571"/>
      <c r="E33" s="571"/>
      <c r="F33" s="176" t="s">
        <v>22</v>
      </c>
      <c r="G33" s="172">
        <f>+'Análisis cotizaciones VF'!K5</f>
        <v>47000</v>
      </c>
      <c r="H33" s="173">
        <f t="shared" si="15"/>
        <v>741</v>
      </c>
      <c r="I33" s="349">
        <f t="shared" ref="I33:I38" si="16">+G33*H33</f>
        <v>34827000</v>
      </c>
      <c r="J33" s="163"/>
      <c r="K33" s="47"/>
      <c r="L33" s="48">
        <v>0</v>
      </c>
      <c r="M33" s="49">
        <f>+$G33*L33</f>
        <v>0</v>
      </c>
      <c r="N33" s="50">
        <f>L33</f>
        <v>0</v>
      </c>
      <c r="O33" s="49">
        <f>+$G33*N33</f>
        <v>0</v>
      </c>
      <c r="P33" s="48">
        <f>N33</f>
        <v>0</v>
      </c>
      <c r="Q33" s="49">
        <f>+$G33*P33</f>
        <v>0</v>
      </c>
      <c r="R33" s="50">
        <f>P33</f>
        <v>0</v>
      </c>
      <c r="S33" s="49">
        <f>+$G$33*R33</f>
        <v>0</v>
      </c>
      <c r="T33" s="48">
        <f>R33</f>
        <v>0</v>
      </c>
      <c r="U33" s="49">
        <f>+$G$33*T33</f>
        <v>0</v>
      </c>
      <c r="V33" s="50">
        <f>T33</f>
        <v>0</v>
      </c>
      <c r="W33" s="49">
        <f>+$G$33*V33</f>
        <v>0</v>
      </c>
      <c r="X33" s="48">
        <f>V33</f>
        <v>0</v>
      </c>
      <c r="Y33" s="49">
        <f>+$G$33*X33</f>
        <v>0</v>
      </c>
      <c r="Z33" s="50">
        <f>X33</f>
        <v>0</v>
      </c>
      <c r="AA33" s="49">
        <f>+$G33*Z33</f>
        <v>0</v>
      </c>
      <c r="AB33" s="48">
        <f>Z33</f>
        <v>0</v>
      </c>
      <c r="AC33" s="49">
        <f>+$G33*AB33</f>
        <v>0</v>
      </c>
      <c r="AD33" s="50">
        <f>AB33</f>
        <v>0</v>
      </c>
      <c r="AE33" s="49">
        <f>+$G33*AD33</f>
        <v>0</v>
      </c>
      <c r="AF33" s="50">
        <f>AD33</f>
        <v>0</v>
      </c>
      <c r="AG33" s="49">
        <f>+$G33*AF33</f>
        <v>0</v>
      </c>
    </row>
    <row r="34" spans="1:34" ht="24.95" customHeight="1" x14ac:dyDescent="0.25">
      <c r="A34" s="15"/>
      <c r="B34" s="571" t="str">
        <f>+[7]Hoja1!$A6</f>
        <v>TECHO</v>
      </c>
      <c r="C34" s="571"/>
      <c r="D34" s="571"/>
      <c r="E34" s="571"/>
      <c r="F34" s="176" t="s">
        <v>22</v>
      </c>
      <c r="G34" s="172">
        <f>+'Análisis cotizaciones VF'!K6</f>
        <v>36000</v>
      </c>
      <c r="H34" s="173">
        <f t="shared" si="15"/>
        <v>741</v>
      </c>
      <c r="I34" s="349">
        <f t="shared" si="16"/>
        <v>26676000</v>
      </c>
      <c r="J34" s="163"/>
      <c r="K34" s="47"/>
      <c r="L34" s="48"/>
      <c r="M34" s="49"/>
      <c r="N34" s="50"/>
      <c r="O34" s="49"/>
      <c r="P34" s="48"/>
      <c r="Q34" s="49"/>
      <c r="R34" s="50"/>
      <c r="S34" s="49"/>
      <c r="T34" s="48"/>
      <c r="U34" s="49"/>
      <c r="V34" s="50"/>
      <c r="W34" s="49"/>
      <c r="X34" s="48"/>
      <c r="Y34" s="49"/>
      <c r="Z34" s="50"/>
      <c r="AA34" s="49"/>
      <c r="AB34" s="48"/>
      <c r="AC34" s="49"/>
      <c r="AD34" s="50"/>
      <c r="AE34" s="49"/>
      <c r="AF34" s="50"/>
      <c r="AG34" s="49"/>
    </row>
    <row r="35" spans="1:34" ht="24.95" customHeight="1" x14ac:dyDescent="0.25">
      <c r="A35" s="15"/>
      <c r="B35" s="571" t="str">
        <f>+[7]Hoja1!$A7</f>
        <v>EXCLUIDOR</v>
      </c>
      <c r="C35" s="571"/>
      <c r="D35" s="571"/>
      <c r="E35" s="571"/>
      <c r="F35" s="176" t="s">
        <v>22</v>
      </c>
      <c r="G35" s="172">
        <f>+'Análisis cotizaciones VF'!K7</f>
        <v>22000</v>
      </c>
      <c r="H35" s="173">
        <f t="shared" si="15"/>
        <v>741</v>
      </c>
      <c r="I35" s="349">
        <f t="shared" si="16"/>
        <v>16302000</v>
      </c>
      <c r="J35" s="163"/>
      <c r="K35" s="47"/>
      <c r="L35" s="48"/>
      <c r="M35" s="49"/>
      <c r="N35" s="50"/>
      <c r="O35" s="49"/>
      <c r="P35" s="48"/>
      <c r="Q35" s="49"/>
      <c r="R35" s="50"/>
      <c r="S35" s="49"/>
      <c r="T35" s="48"/>
      <c r="U35" s="49"/>
      <c r="V35" s="50"/>
      <c r="W35" s="49"/>
      <c r="X35" s="48"/>
      <c r="Y35" s="49"/>
      <c r="Z35" s="50"/>
      <c r="AA35" s="49"/>
      <c r="AB35" s="48"/>
      <c r="AC35" s="49"/>
      <c r="AD35" s="50"/>
      <c r="AE35" s="49"/>
      <c r="AF35" s="50"/>
      <c r="AG35" s="49"/>
    </row>
    <row r="36" spans="1:34" ht="24.95" customHeight="1" x14ac:dyDescent="0.25">
      <c r="A36" s="15"/>
      <c r="B36" s="571" t="str">
        <f>+[7]Hoja1!$A8</f>
        <v xml:space="preserve">LÁMINA DE CERA </v>
      </c>
      <c r="C36" s="571"/>
      <c r="D36" s="571"/>
      <c r="E36" s="571"/>
      <c r="F36" s="176" t="s">
        <v>22</v>
      </c>
      <c r="G36" s="172">
        <f>+'Análisis cotizaciones VF'!K8</f>
        <v>3750</v>
      </c>
      <c r="H36" s="173">
        <f>13*15*(57)</f>
        <v>11115</v>
      </c>
      <c r="I36" s="349">
        <f t="shared" si="16"/>
        <v>41681250</v>
      </c>
      <c r="J36" s="163"/>
      <c r="K36" s="47"/>
      <c r="L36" s="48"/>
      <c r="M36" s="49"/>
      <c r="N36" s="50"/>
      <c r="O36" s="49"/>
      <c r="P36" s="48"/>
      <c r="Q36" s="49"/>
      <c r="R36" s="50"/>
      <c r="S36" s="49"/>
      <c r="T36" s="48"/>
      <c r="U36" s="49"/>
      <c r="V36" s="50"/>
      <c r="W36" s="49"/>
      <c r="X36" s="48"/>
      <c r="Y36" s="49"/>
      <c r="Z36" s="50"/>
      <c r="AA36" s="49"/>
      <c r="AB36" s="48"/>
      <c r="AC36" s="49"/>
      <c r="AD36" s="50"/>
      <c r="AE36" s="49"/>
      <c r="AF36" s="50"/>
      <c r="AG36" s="49"/>
    </row>
    <row r="37" spans="1:34" ht="24.95" customHeight="1" x14ac:dyDescent="0.25">
      <c r="A37" s="15"/>
      <c r="B37" s="571" t="str">
        <f>+[7]Hoja1!$A9</f>
        <v>MARCO ALAMBRADO</v>
      </c>
      <c r="C37" s="571"/>
      <c r="D37" s="571"/>
      <c r="E37" s="571"/>
      <c r="F37" s="176" t="s">
        <v>22</v>
      </c>
      <c r="G37" s="172">
        <f>+'Análisis cotizaciones VF'!K9</f>
        <v>4300</v>
      </c>
      <c r="H37" s="173">
        <f>13*15*(57)</f>
        <v>11115</v>
      </c>
      <c r="I37" s="349">
        <f t="shared" si="16"/>
        <v>47794500</v>
      </c>
      <c r="J37" s="163"/>
      <c r="K37" s="47"/>
      <c r="L37" s="48"/>
      <c r="M37" s="49"/>
      <c r="N37" s="50"/>
      <c r="O37" s="49"/>
      <c r="P37" s="48"/>
      <c r="Q37" s="49"/>
      <c r="R37" s="50"/>
      <c r="S37" s="49"/>
      <c r="T37" s="48"/>
      <c r="U37" s="49"/>
      <c r="V37" s="50"/>
      <c r="W37" s="49"/>
      <c r="X37" s="48"/>
      <c r="Y37" s="49"/>
      <c r="Z37" s="50"/>
      <c r="AA37" s="49"/>
      <c r="AB37" s="48"/>
      <c r="AC37" s="49"/>
      <c r="AD37" s="50"/>
      <c r="AE37" s="49"/>
      <c r="AF37" s="50"/>
      <c r="AG37" s="49"/>
    </row>
    <row r="38" spans="1:34" ht="24.95" customHeight="1" x14ac:dyDescent="0.25">
      <c r="A38" s="15"/>
      <c r="B38" s="571" t="str">
        <f>+[7]Hoja1!$A10</f>
        <v>ENTRETAPA</v>
      </c>
      <c r="C38" s="571"/>
      <c r="D38" s="571"/>
      <c r="E38" s="571"/>
      <c r="F38" s="176" t="s">
        <v>22</v>
      </c>
      <c r="G38" s="172">
        <f>+'Análisis cotizaciones VF'!K10</f>
        <v>23000</v>
      </c>
      <c r="H38" s="173">
        <f t="shared" ref="H38" si="17">13*(57)</f>
        <v>741</v>
      </c>
      <c r="I38" s="349">
        <f t="shared" si="16"/>
        <v>17043000</v>
      </c>
      <c r="J38" s="163"/>
      <c r="K38" s="47"/>
      <c r="L38" s="48"/>
      <c r="M38" s="49"/>
      <c r="N38" s="50"/>
      <c r="O38" s="49"/>
      <c r="P38" s="48"/>
      <c r="Q38" s="49"/>
      <c r="R38" s="50"/>
      <c r="S38" s="49"/>
      <c r="T38" s="48"/>
      <c r="U38" s="49"/>
      <c r="V38" s="50"/>
      <c r="W38" s="49"/>
      <c r="X38" s="48"/>
      <c r="Y38" s="49"/>
      <c r="Z38" s="50"/>
      <c r="AA38" s="49"/>
      <c r="AB38" s="48"/>
      <c r="AC38" s="49"/>
      <c r="AD38" s="50"/>
      <c r="AE38" s="49"/>
      <c r="AF38" s="50"/>
      <c r="AG38" s="49"/>
    </row>
    <row r="39" spans="1:34" ht="24.95" customHeight="1" x14ac:dyDescent="0.25">
      <c r="A39" s="15"/>
      <c r="B39" s="571" t="str">
        <f>+[7]Hoja1!$A11</f>
        <v>MATERIAL BIOLÓGICO</v>
      </c>
      <c r="C39" s="571"/>
      <c r="D39" s="571"/>
      <c r="E39" s="571"/>
      <c r="F39" s="176" t="s">
        <v>22</v>
      </c>
      <c r="G39" s="172">
        <f>+'Análisis cotizaciones VF'!K11</f>
        <v>270000</v>
      </c>
      <c r="H39" s="173">
        <f>13*(57)</f>
        <v>741</v>
      </c>
      <c r="I39" s="349">
        <f>+G39*H39</f>
        <v>200070000</v>
      </c>
      <c r="J39" s="163"/>
      <c r="K39" s="47"/>
      <c r="L39" s="48"/>
      <c r="M39" s="49"/>
      <c r="N39" s="50"/>
      <c r="O39" s="49"/>
      <c r="P39" s="48"/>
      <c r="Q39" s="49"/>
      <c r="R39" s="50"/>
      <c r="S39" s="49"/>
      <c r="T39" s="48"/>
      <c r="U39" s="49"/>
      <c r="V39" s="50"/>
      <c r="W39" s="49"/>
      <c r="X39" s="48"/>
      <c r="Y39" s="49"/>
      <c r="Z39" s="50"/>
      <c r="AA39" s="49"/>
      <c r="AB39" s="48"/>
      <c r="AC39" s="49"/>
      <c r="AD39" s="50"/>
      <c r="AE39" s="49"/>
      <c r="AF39" s="50"/>
      <c r="AG39" s="49"/>
    </row>
    <row r="40" spans="1:34" ht="24.95" customHeight="1" x14ac:dyDescent="0.25">
      <c r="A40" s="15"/>
      <c r="B40" s="583" t="s">
        <v>50</v>
      </c>
      <c r="C40" s="584"/>
      <c r="D40" s="584"/>
      <c r="E40" s="584"/>
      <c r="F40" s="584"/>
      <c r="G40" s="584"/>
      <c r="H40" s="585"/>
      <c r="I40" s="177">
        <f>+I16+I30</f>
        <v>439816438</v>
      </c>
      <c r="J40" s="175"/>
      <c r="K40" s="62">
        <f>+K16+K30</f>
        <v>0</v>
      </c>
      <c r="L40" s="60"/>
      <c r="M40" s="62">
        <f>+M16+M30</f>
        <v>0</v>
      </c>
      <c r="N40" s="60"/>
      <c r="O40" s="62">
        <f>+O16+O30</f>
        <v>0</v>
      </c>
      <c r="P40" s="60"/>
      <c r="Q40" s="62">
        <f>+Q16+Q30</f>
        <v>0</v>
      </c>
      <c r="R40" s="60"/>
      <c r="S40" s="62">
        <f>+S16+S30</f>
        <v>0</v>
      </c>
      <c r="T40" s="60"/>
      <c r="U40" s="62">
        <f>+U16+U30</f>
        <v>0</v>
      </c>
      <c r="V40" s="60"/>
      <c r="W40" s="62">
        <f>+W16+W30</f>
        <v>0</v>
      </c>
      <c r="X40" s="60"/>
      <c r="Y40" s="62">
        <f>+Y16+Y30</f>
        <v>0</v>
      </c>
      <c r="Z40" s="60"/>
      <c r="AA40" s="62">
        <f>+AA16+AA30</f>
        <v>0</v>
      </c>
      <c r="AB40" s="60"/>
      <c r="AC40" s="62">
        <f>+AC16+AC30</f>
        <v>0</v>
      </c>
      <c r="AD40" s="60"/>
      <c r="AE40" s="62">
        <f>+AE16+AE30</f>
        <v>0</v>
      </c>
      <c r="AF40" s="60"/>
      <c r="AG40" s="62">
        <f>+AG16+AG30</f>
        <v>0</v>
      </c>
    </row>
    <row r="41" spans="1:34" x14ac:dyDescent="0.25">
      <c r="A41" s="15"/>
      <c r="B41" s="15"/>
      <c r="C41" s="15"/>
      <c r="D41" s="15"/>
      <c r="E41" s="15"/>
      <c r="F41" s="15"/>
      <c r="G41" s="23"/>
      <c r="H41" s="15"/>
      <c r="I41" s="182"/>
      <c r="J41" s="15"/>
      <c r="K41" s="15"/>
      <c r="L41" s="15"/>
      <c r="M41" s="15"/>
      <c r="N41" s="15"/>
      <c r="O41" s="15"/>
      <c r="P41" s="15"/>
      <c r="Q41" s="15"/>
      <c r="R41" s="15"/>
      <c r="S41" s="15"/>
      <c r="T41" s="15"/>
      <c r="U41" s="15"/>
      <c r="V41" s="15"/>
      <c r="W41" s="15"/>
      <c r="X41" s="15"/>
      <c r="Y41" s="15"/>
      <c r="Z41" s="15"/>
      <c r="AA41" s="15"/>
      <c r="AB41" s="15"/>
      <c r="AC41" s="15"/>
      <c r="AD41" s="15"/>
      <c r="AE41" s="15"/>
      <c r="AF41" s="15"/>
      <c r="AG41" s="15"/>
    </row>
    <row r="42" spans="1:34" x14ac:dyDescent="0.25">
      <c r="A42" s="15"/>
      <c r="B42" s="15"/>
      <c r="C42" s="15"/>
      <c r="D42" s="15"/>
      <c r="E42" s="15"/>
      <c r="F42" s="15"/>
      <c r="G42" s="23"/>
      <c r="H42" s="15"/>
      <c r="I42" s="182"/>
      <c r="J42" s="15"/>
      <c r="K42" s="15"/>
      <c r="L42" s="15"/>
      <c r="M42" s="15"/>
      <c r="N42" s="15"/>
      <c r="O42" s="15"/>
      <c r="P42" s="15"/>
      <c r="Q42" s="15"/>
      <c r="R42" s="15"/>
      <c r="S42" s="15"/>
      <c r="T42" s="15"/>
      <c r="U42" s="15"/>
      <c r="V42" s="15"/>
      <c r="W42" s="15"/>
      <c r="X42" s="15"/>
      <c r="Y42" s="15"/>
      <c r="Z42" s="15"/>
      <c r="AA42" s="15"/>
      <c r="AB42" s="15"/>
      <c r="AC42" s="15"/>
      <c r="AD42" s="15"/>
      <c r="AE42" s="15"/>
      <c r="AF42" s="15"/>
      <c r="AG42" s="15"/>
    </row>
    <row r="43" spans="1:34" ht="24.95" customHeight="1" x14ac:dyDescent="0.25">
      <c r="A43" s="15"/>
      <c r="B43" s="552" t="s">
        <v>51</v>
      </c>
      <c r="C43" s="553"/>
      <c r="D43" s="553"/>
      <c r="E43" s="554"/>
      <c r="F43" s="579" t="s">
        <v>22</v>
      </c>
      <c r="G43" s="581" t="s">
        <v>23</v>
      </c>
      <c r="H43" s="549" t="s">
        <v>24</v>
      </c>
      <c r="I43" s="550"/>
      <c r="J43" s="549" t="s">
        <v>25</v>
      </c>
      <c r="K43" s="550"/>
      <c r="L43" s="549" t="s">
        <v>26</v>
      </c>
      <c r="M43" s="550"/>
      <c r="N43" s="549" t="s">
        <v>27</v>
      </c>
      <c r="O43" s="550"/>
      <c r="P43" s="549" t="s">
        <v>28</v>
      </c>
      <c r="Q43" s="550"/>
      <c r="R43" s="549" t="s">
        <v>29</v>
      </c>
      <c r="S43" s="550"/>
      <c r="T43" s="549" t="s">
        <v>30</v>
      </c>
      <c r="U43" s="550"/>
      <c r="V43" s="549" t="s">
        <v>31</v>
      </c>
      <c r="W43" s="550"/>
      <c r="X43" s="549" t="s">
        <v>32</v>
      </c>
      <c r="Y43" s="550"/>
      <c r="Z43" s="549" t="s">
        <v>33</v>
      </c>
      <c r="AA43" s="550"/>
      <c r="AB43" s="549" t="s">
        <v>34</v>
      </c>
      <c r="AC43" s="550"/>
      <c r="AD43" s="549" t="s">
        <v>35</v>
      </c>
      <c r="AE43" s="550"/>
      <c r="AF43" s="549" t="s">
        <v>36</v>
      </c>
      <c r="AG43" s="550"/>
    </row>
    <row r="44" spans="1:34" ht="24.95" customHeight="1" x14ac:dyDescent="0.25">
      <c r="A44" s="15"/>
      <c r="B44" s="576"/>
      <c r="C44" s="577"/>
      <c r="D44" s="577"/>
      <c r="E44" s="578"/>
      <c r="F44" s="580"/>
      <c r="G44" s="582"/>
      <c r="H44" s="37" t="s">
        <v>37</v>
      </c>
      <c r="I44" s="187" t="s">
        <v>38</v>
      </c>
      <c r="J44" s="37" t="s">
        <v>37</v>
      </c>
      <c r="K44" s="37" t="s">
        <v>38</v>
      </c>
      <c r="L44" s="37" t="s">
        <v>37</v>
      </c>
      <c r="M44" s="37" t="s">
        <v>38</v>
      </c>
      <c r="N44" s="37" t="s">
        <v>37</v>
      </c>
      <c r="O44" s="37" t="s">
        <v>38</v>
      </c>
      <c r="P44" s="37" t="s">
        <v>37</v>
      </c>
      <c r="Q44" s="37" t="s">
        <v>38</v>
      </c>
      <c r="R44" s="37" t="s">
        <v>37</v>
      </c>
      <c r="S44" s="37" t="s">
        <v>38</v>
      </c>
      <c r="T44" s="37" t="s">
        <v>37</v>
      </c>
      <c r="U44" s="37" t="s">
        <v>38</v>
      </c>
      <c r="V44" s="37" t="s">
        <v>37</v>
      </c>
      <c r="W44" s="37" t="s">
        <v>38</v>
      </c>
      <c r="X44" s="37" t="s">
        <v>37</v>
      </c>
      <c r="Y44" s="37" t="s">
        <v>38</v>
      </c>
      <c r="Z44" s="37" t="s">
        <v>37</v>
      </c>
      <c r="AA44" s="37" t="s">
        <v>38</v>
      </c>
      <c r="AB44" s="37" t="s">
        <v>37</v>
      </c>
      <c r="AC44" s="37" t="s">
        <v>38</v>
      </c>
      <c r="AD44" s="37" t="s">
        <v>37</v>
      </c>
      <c r="AE44" s="37" t="s">
        <v>38</v>
      </c>
      <c r="AF44" s="37" t="s">
        <v>37</v>
      </c>
      <c r="AG44" s="37" t="s">
        <v>38</v>
      </c>
    </row>
    <row r="45" spans="1:34" ht="24.95" customHeight="1" x14ac:dyDescent="0.25">
      <c r="A45" s="15"/>
      <c r="B45" s="587" t="s">
        <v>52</v>
      </c>
      <c r="C45" s="588"/>
      <c r="D45" s="588"/>
      <c r="E45" s="588"/>
      <c r="F45" s="143"/>
      <c r="G45" s="144"/>
      <c r="H45" s="145"/>
      <c r="I45" s="188">
        <f>+SUM(I46:I62)</f>
        <v>71528296</v>
      </c>
      <c r="J45" s="39"/>
      <c r="K45" s="40">
        <f>+SUM(K46:K64)</f>
        <v>0</v>
      </c>
      <c r="L45" s="39"/>
      <c r="M45" s="40">
        <f>+SUM(M46:M64)</f>
        <v>0</v>
      </c>
      <c r="N45" s="39"/>
      <c r="O45" s="40">
        <f>+SUM(O46:O64)</f>
        <v>0</v>
      </c>
      <c r="P45" s="39"/>
      <c r="Q45" s="40">
        <f>+SUM(Q46:Q64)</f>
        <v>0</v>
      </c>
      <c r="R45" s="39"/>
      <c r="S45" s="40">
        <f>+SUM(S46:S64)</f>
        <v>0</v>
      </c>
      <c r="T45" s="39"/>
      <c r="U45" s="40">
        <f>+SUM(U46:U64)</f>
        <v>0</v>
      </c>
      <c r="V45" s="39"/>
      <c r="W45" s="40">
        <f>+SUM(W46:W64)</f>
        <v>0</v>
      </c>
      <c r="X45" s="39"/>
      <c r="Y45" s="40">
        <f>+SUM(Y46:Y64)</f>
        <v>0</v>
      </c>
      <c r="Z45" s="39"/>
      <c r="AA45" s="40">
        <f>+SUM(AA46:AA64)</f>
        <v>0</v>
      </c>
      <c r="AB45" s="39"/>
      <c r="AC45" s="40">
        <f>+SUM(AC46:AC64)</f>
        <v>0</v>
      </c>
      <c r="AD45" s="39"/>
      <c r="AE45" s="40">
        <f>+SUM(AE46:AE64)</f>
        <v>0</v>
      </c>
      <c r="AF45" s="39"/>
      <c r="AG45" s="40">
        <f>+SUM(AG46:AG64)</f>
        <v>0</v>
      </c>
      <c r="AH45" s="42">
        <f>SUM(I45:AG45)</f>
        <v>71528296</v>
      </c>
    </row>
    <row r="46" spans="1:34" ht="50.1" customHeight="1" x14ac:dyDescent="0.25">
      <c r="A46" s="15"/>
      <c r="B46" s="586" t="s">
        <v>53</v>
      </c>
      <c r="C46" s="586"/>
      <c r="D46" s="586"/>
      <c r="E46" s="586"/>
      <c r="F46" s="146" t="s">
        <v>41</v>
      </c>
      <c r="G46" s="105">
        <f t="shared" ref="G46:G49" si="18">+ROUND((43297.9857738095),0)</f>
        <v>43298</v>
      </c>
      <c r="H46" s="147">
        <f>ROUND((0.25*30*(10+45)),0)</f>
        <v>413</v>
      </c>
      <c r="I46" s="106">
        <f>+H46*G46</f>
        <v>17882074</v>
      </c>
      <c r="J46" s="142"/>
      <c r="K46" s="49">
        <f>+$G46*J46</f>
        <v>0</v>
      </c>
      <c r="L46" s="45"/>
      <c r="M46" s="49">
        <f>+$G46*L46</f>
        <v>0</v>
      </c>
      <c r="N46" s="48">
        <f>L46</f>
        <v>0</v>
      </c>
      <c r="O46" s="49">
        <f t="shared" ref="O46:O54" si="19">+$G46*N46</f>
        <v>0</v>
      </c>
      <c r="P46" s="48">
        <f>N46</f>
        <v>0</v>
      </c>
      <c r="Q46" s="49">
        <f>+$G46*P46</f>
        <v>0</v>
      </c>
      <c r="R46" s="48">
        <f>P46</f>
        <v>0</v>
      </c>
      <c r="S46" s="49">
        <f>+$G46*R46</f>
        <v>0</v>
      </c>
      <c r="T46" s="48">
        <f>R46</f>
        <v>0</v>
      </c>
      <c r="U46" s="49">
        <f>+$G46*T46</f>
        <v>0</v>
      </c>
      <c r="V46" s="48">
        <f>T46</f>
        <v>0</v>
      </c>
      <c r="W46" s="49">
        <f>+$G46*V46</f>
        <v>0</v>
      </c>
      <c r="X46" s="48">
        <f>V46</f>
        <v>0</v>
      </c>
      <c r="Y46" s="49">
        <f>+$G46*X46</f>
        <v>0</v>
      </c>
      <c r="Z46" s="48">
        <f>X46</f>
        <v>0</v>
      </c>
      <c r="AA46" s="49">
        <f>+$G46*Z46</f>
        <v>0</v>
      </c>
      <c r="AB46" s="48">
        <f>Z46</f>
        <v>0</v>
      </c>
      <c r="AC46" s="49">
        <f>+$G46*AB46</f>
        <v>0</v>
      </c>
      <c r="AD46" s="50">
        <f>AB46</f>
        <v>0</v>
      </c>
      <c r="AE46" s="49">
        <f>+$G46*AD46</f>
        <v>0</v>
      </c>
      <c r="AF46" s="50">
        <f>AD46</f>
        <v>0</v>
      </c>
      <c r="AG46" s="49">
        <f>+$G46*AF46</f>
        <v>0</v>
      </c>
    </row>
    <row r="47" spans="1:34" ht="50.1" customHeight="1" x14ac:dyDescent="0.25">
      <c r="A47" s="15"/>
      <c r="B47" s="586" t="s">
        <v>54</v>
      </c>
      <c r="C47" s="586"/>
      <c r="D47" s="586"/>
      <c r="E47" s="586"/>
      <c r="F47" s="146" t="s">
        <v>41</v>
      </c>
      <c r="G47" s="105">
        <f t="shared" si="18"/>
        <v>43298</v>
      </c>
      <c r="H47" s="147">
        <f t="shared" ref="H47:H49" si="20">ROUND((0.25*30*(10+45)),0)</f>
        <v>413</v>
      </c>
      <c r="I47" s="106">
        <f t="shared" ref="I47:I49" si="21">+H47*G47</f>
        <v>17882074</v>
      </c>
      <c r="J47" s="142"/>
      <c r="K47" s="49">
        <f t="shared" ref="K47:M64" si="22">+$G47*J47</f>
        <v>0</v>
      </c>
      <c r="L47" s="45"/>
      <c r="M47" s="49">
        <f t="shared" si="22"/>
        <v>0</v>
      </c>
      <c r="N47" s="48">
        <f>L47</f>
        <v>0</v>
      </c>
      <c r="O47" s="49">
        <f t="shared" si="19"/>
        <v>0</v>
      </c>
      <c r="P47" s="48">
        <f>N47</f>
        <v>0</v>
      </c>
      <c r="Q47" s="49">
        <f t="shared" ref="Q47:Q54" si="23">+$G47*P47</f>
        <v>0</v>
      </c>
      <c r="R47" s="48">
        <f>P47</f>
        <v>0</v>
      </c>
      <c r="S47" s="49">
        <f t="shared" ref="S47:S54" si="24">+$G47*R47</f>
        <v>0</v>
      </c>
      <c r="T47" s="48">
        <f>R47</f>
        <v>0</v>
      </c>
      <c r="U47" s="49">
        <f t="shared" ref="U47:U54" si="25">+$G47*T47</f>
        <v>0</v>
      </c>
      <c r="V47" s="48">
        <f>T47</f>
        <v>0</v>
      </c>
      <c r="W47" s="49">
        <f t="shared" ref="W47:W54" si="26">+$G47*V47</f>
        <v>0</v>
      </c>
      <c r="X47" s="48">
        <f>V47</f>
        <v>0</v>
      </c>
      <c r="Y47" s="49">
        <f t="shared" ref="Y47:Y54" si="27">+$G47*X47</f>
        <v>0</v>
      </c>
      <c r="Z47" s="48">
        <f>X47</f>
        <v>0</v>
      </c>
      <c r="AA47" s="49">
        <f t="shared" ref="AA47:AA54" si="28">+$G47*Z47</f>
        <v>0</v>
      </c>
      <c r="AB47" s="48">
        <f>Z47</f>
        <v>0</v>
      </c>
      <c r="AC47" s="49">
        <f t="shared" ref="AC47:AC54" si="29">+$G47*AB47</f>
        <v>0</v>
      </c>
      <c r="AD47" s="50">
        <f t="shared" ref="AD47:AD57" si="30">AB47</f>
        <v>0</v>
      </c>
      <c r="AE47" s="49">
        <f t="shared" ref="AE47:AE54" si="31">+$G47*AD47</f>
        <v>0</v>
      </c>
      <c r="AF47" s="50">
        <f t="shared" ref="AF47:AF57" si="32">AD47</f>
        <v>0</v>
      </c>
      <c r="AG47" s="49">
        <f t="shared" ref="AG47:AG59" si="33">+$G47*AF47</f>
        <v>0</v>
      </c>
    </row>
    <row r="48" spans="1:34" ht="50.1" customHeight="1" x14ac:dyDescent="0.25">
      <c r="A48" s="15"/>
      <c r="B48" s="586" t="s">
        <v>55</v>
      </c>
      <c r="C48" s="586"/>
      <c r="D48" s="586"/>
      <c r="E48" s="586"/>
      <c r="F48" s="146" t="s">
        <v>41</v>
      </c>
      <c r="G48" s="105">
        <f t="shared" si="18"/>
        <v>43298</v>
      </c>
      <c r="H48" s="147">
        <f t="shared" si="20"/>
        <v>413</v>
      </c>
      <c r="I48" s="106">
        <f t="shared" si="21"/>
        <v>17882074</v>
      </c>
      <c r="J48" s="142"/>
      <c r="K48" s="49">
        <f t="shared" si="22"/>
        <v>0</v>
      </c>
      <c r="L48" s="45"/>
      <c r="M48" s="49">
        <f t="shared" si="22"/>
        <v>0</v>
      </c>
      <c r="N48" s="48">
        <f>L48</f>
        <v>0</v>
      </c>
      <c r="O48" s="49">
        <f t="shared" si="19"/>
        <v>0</v>
      </c>
      <c r="P48" s="48">
        <f>N48</f>
        <v>0</v>
      </c>
      <c r="Q48" s="49">
        <f t="shared" si="23"/>
        <v>0</v>
      </c>
      <c r="R48" s="48">
        <f>P48</f>
        <v>0</v>
      </c>
      <c r="S48" s="49">
        <f t="shared" si="24"/>
        <v>0</v>
      </c>
      <c r="T48" s="48">
        <f>R48</f>
        <v>0</v>
      </c>
      <c r="U48" s="49">
        <f t="shared" si="25"/>
        <v>0</v>
      </c>
      <c r="V48" s="48">
        <f>T48</f>
        <v>0</v>
      </c>
      <c r="W48" s="49">
        <f t="shared" si="26"/>
        <v>0</v>
      </c>
      <c r="X48" s="48">
        <f>V48</f>
        <v>0</v>
      </c>
      <c r="Y48" s="49">
        <f t="shared" si="27"/>
        <v>0</v>
      </c>
      <c r="Z48" s="48">
        <f>X48</f>
        <v>0</v>
      </c>
      <c r="AA48" s="49">
        <f t="shared" si="28"/>
        <v>0</v>
      </c>
      <c r="AB48" s="48">
        <f>Z48</f>
        <v>0</v>
      </c>
      <c r="AC48" s="49">
        <f t="shared" si="29"/>
        <v>0</v>
      </c>
      <c r="AD48" s="50">
        <f t="shared" si="30"/>
        <v>0</v>
      </c>
      <c r="AE48" s="49">
        <f t="shared" si="31"/>
        <v>0</v>
      </c>
      <c r="AF48" s="50">
        <f t="shared" si="32"/>
        <v>0</v>
      </c>
      <c r="AG48" s="49">
        <f t="shared" si="33"/>
        <v>0</v>
      </c>
    </row>
    <row r="49" spans="1:33" ht="50.1" customHeight="1" x14ac:dyDescent="0.25">
      <c r="A49" s="15"/>
      <c r="B49" s="586" t="s">
        <v>56</v>
      </c>
      <c r="C49" s="586"/>
      <c r="D49" s="586"/>
      <c r="E49" s="586"/>
      <c r="F49" s="146" t="s">
        <v>41</v>
      </c>
      <c r="G49" s="105">
        <f t="shared" si="18"/>
        <v>43298</v>
      </c>
      <c r="H49" s="147">
        <f t="shared" si="20"/>
        <v>413</v>
      </c>
      <c r="I49" s="106">
        <f t="shared" si="21"/>
        <v>17882074</v>
      </c>
      <c r="J49" s="142"/>
      <c r="K49" s="49">
        <f t="shared" si="22"/>
        <v>0</v>
      </c>
      <c r="L49" s="45"/>
      <c r="M49" s="49">
        <f t="shared" si="22"/>
        <v>0</v>
      </c>
      <c r="N49" s="48">
        <f t="shared" ref="N49:N57" si="34">L49</f>
        <v>0</v>
      </c>
      <c r="O49" s="49">
        <f t="shared" si="19"/>
        <v>0</v>
      </c>
      <c r="P49" s="48">
        <f t="shared" ref="P49:P57" si="35">N49</f>
        <v>0</v>
      </c>
      <c r="Q49" s="49">
        <f t="shared" si="23"/>
        <v>0</v>
      </c>
      <c r="R49" s="48">
        <f t="shared" ref="R49:R57" si="36">P49</f>
        <v>0</v>
      </c>
      <c r="S49" s="49">
        <f t="shared" si="24"/>
        <v>0</v>
      </c>
      <c r="T49" s="48">
        <f t="shared" ref="T49:T57" si="37">R49</f>
        <v>0</v>
      </c>
      <c r="U49" s="49">
        <f t="shared" si="25"/>
        <v>0</v>
      </c>
      <c r="V49" s="48">
        <f t="shared" ref="V49:V57" si="38">T49</f>
        <v>0</v>
      </c>
      <c r="W49" s="49">
        <f t="shared" si="26"/>
        <v>0</v>
      </c>
      <c r="X49" s="48">
        <f t="shared" ref="X49:X57" si="39">V49</f>
        <v>0</v>
      </c>
      <c r="Y49" s="49">
        <f t="shared" si="27"/>
        <v>0</v>
      </c>
      <c r="Z49" s="48">
        <f t="shared" ref="Z49:Z57" si="40">X49</f>
        <v>0</v>
      </c>
      <c r="AA49" s="49">
        <f t="shared" si="28"/>
        <v>0</v>
      </c>
      <c r="AB49" s="48">
        <f t="shared" ref="AB49:AB57" si="41">Z49</f>
        <v>0</v>
      </c>
      <c r="AC49" s="49">
        <f t="shared" si="29"/>
        <v>0</v>
      </c>
      <c r="AD49" s="50">
        <f t="shared" si="30"/>
        <v>0</v>
      </c>
      <c r="AE49" s="49">
        <f t="shared" si="31"/>
        <v>0</v>
      </c>
      <c r="AF49" s="50">
        <f t="shared" si="32"/>
        <v>0</v>
      </c>
      <c r="AG49" s="49">
        <f t="shared" si="33"/>
        <v>0</v>
      </c>
    </row>
    <row r="50" spans="1:33" ht="18" customHeight="1" x14ac:dyDescent="0.25">
      <c r="A50" s="15"/>
      <c r="B50" s="568"/>
      <c r="C50" s="569"/>
      <c r="D50" s="569"/>
      <c r="E50" s="570"/>
      <c r="F50" s="43"/>
      <c r="G50" s="44"/>
      <c r="H50" s="46"/>
      <c r="I50" s="189"/>
      <c r="J50" s="48"/>
      <c r="K50" s="49">
        <f t="shared" si="22"/>
        <v>0</v>
      </c>
      <c r="L50" s="48">
        <f t="shared" ref="L50:L57" si="42">J50</f>
        <v>0</v>
      </c>
      <c r="M50" s="49">
        <f t="shared" si="22"/>
        <v>0</v>
      </c>
      <c r="N50" s="48">
        <f t="shared" si="34"/>
        <v>0</v>
      </c>
      <c r="O50" s="49">
        <f t="shared" si="19"/>
        <v>0</v>
      </c>
      <c r="P50" s="48">
        <f t="shared" si="35"/>
        <v>0</v>
      </c>
      <c r="Q50" s="49">
        <f t="shared" si="23"/>
        <v>0</v>
      </c>
      <c r="R50" s="48">
        <f t="shared" si="36"/>
        <v>0</v>
      </c>
      <c r="S50" s="49">
        <f t="shared" si="24"/>
        <v>0</v>
      </c>
      <c r="T50" s="48">
        <f t="shared" si="37"/>
        <v>0</v>
      </c>
      <c r="U50" s="49">
        <f t="shared" si="25"/>
        <v>0</v>
      </c>
      <c r="V50" s="48">
        <f t="shared" si="38"/>
        <v>0</v>
      </c>
      <c r="W50" s="49">
        <f t="shared" si="26"/>
        <v>0</v>
      </c>
      <c r="X50" s="48">
        <f t="shared" si="39"/>
        <v>0</v>
      </c>
      <c r="Y50" s="49">
        <f t="shared" si="27"/>
        <v>0</v>
      </c>
      <c r="Z50" s="48">
        <f t="shared" si="40"/>
        <v>0</v>
      </c>
      <c r="AA50" s="49">
        <f t="shared" si="28"/>
        <v>0</v>
      </c>
      <c r="AB50" s="48">
        <f t="shared" si="41"/>
        <v>0</v>
      </c>
      <c r="AC50" s="49">
        <f t="shared" si="29"/>
        <v>0</v>
      </c>
      <c r="AD50" s="50">
        <f t="shared" si="30"/>
        <v>0</v>
      </c>
      <c r="AE50" s="49">
        <f t="shared" si="31"/>
        <v>0</v>
      </c>
      <c r="AF50" s="50">
        <f t="shared" si="32"/>
        <v>0</v>
      </c>
      <c r="AG50" s="49">
        <f t="shared" si="33"/>
        <v>0</v>
      </c>
    </row>
    <row r="51" spans="1:33" ht="18" hidden="1" customHeight="1" x14ac:dyDescent="0.25">
      <c r="A51" s="15"/>
      <c r="B51" s="568"/>
      <c r="C51" s="569"/>
      <c r="D51" s="569"/>
      <c r="E51" s="570"/>
      <c r="F51" s="43"/>
      <c r="G51" s="44"/>
      <c r="H51" s="46"/>
      <c r="I51" s="189"/>
      <c r="J51" s="48"/>
      <c r="K51" s="49">
        <f t="shared" si="22"/>
        <v>0</v>
      </c>
      <c r="L51" s="48">
        <f t="shared" si="42"/>
        <v>0</v>
      </c>
      <c r="M51" s="49">
        <f t="shared" si="22"/>
        <v>0</v>
      </c>
      <c r="N51" s="48">
        <f t="shared" si="34"/>
        <v>0</v>
      </c>
      <c r="O51" s="49">
        <f t="shared" si="19"/>
        <v>0</v>
      </c>
      <c r="P51" s="48">
        <f t="shared" si="35"/>
        <v>0</v>
      </c>
      <c r="Q51" s="49">
        <f t="shared" si="23"/>
        <v>0</v>
      </c>
      <c r="R51" s="48">
        <f t="shared" si="36"/>
        <v>0</v>
      </c>
      <c r="S51" s="49">
        <f t="shared" si="24"/>
        <v>0</v>
      </c>
      <c r="T51" s="48">
        <f t="shared" si="37"/>
        <v>0</v>
      </c>
      <c r="U51" s="49">
        <f t="shared" si="25"/>
        <v>0</v>
      </c>
      <c r="V51" s="48">
        <f t="shared" si="38"/>
        <v>0</v>
      </c>
      <c r="W51" s="49">
        <f t="shared" si="26"/>
        <v>0</v>
      </c>
      <c r="X51" s="48">
        <f t="shared" si="39"/>
        <v>0</v>
      </c>
      <c r="Y51" s="49">
        <f t="shared" si="27"/>
        <v>0</v>
      </c>
      <c r="Z51" s="48">
        <f t="shared" si="40"/>
        <v>0</v>
      </c>
      <c r="AA51" s="49">
        <f t="shared" si="28"/>
        <v>0</v>
      </c>
      <c r="AB51" s="48">
        <f t="shared" si="41"/>
        <v>0</v>
      </c>
      <c r="AC51" s="49">
        <f t="shared" si="29"/>
        <v>0</v>
      </c>
      <c r="AD51" s="50">
        <f t="shared" si="30"/>
        <v>0</v>
      </c>
      <c r="AE51" s="49">
        <f t="shared" si="31"/>
        <v>0</v>
      </c>
      <c r="AF51" s="50">
        <f t="shared" si="32"/>
        <v>0</v>
      </c>
      <c r="AG51" s="49">
        <f t="shared" si="33"/>
        <v>0</v>
      </c>
    </row>
    <row r="52" spans="1:33" ht="18" hidden="1" customHeight="1" x14ac:dyDescent="0.25">
      <c r="A52" s="15"/>
      <c r="B52" s="568"/>
      <c r="C52" s="569"/>
      <c r="D52" s="569"/>
      <c r="E52" s="570"/>
      <c r="F52" s="43"/>
      <c r="G52" s="44"/>
      <c r="H52" s="46"/>
      <c r="I52" s="189"/>
      <c r="J52" s="48"/>
      <c r="K52" s="49">
        <f t="shared" si="22"/>
        <v>0</v>
      </c>
      <c r="L52" s="48">
        <f t="shared" si="42"/>
        <v>0</v>
      </c>
      <c r="M52" s="49">
        <f t="shared" si="22"/>
        <v>0</v>
      </c>
      <c r="N52" s="48">
        <f t="shared" si="34"/>
        <v>0</v>
      </c>
      <c r="O52" s="49">
        <f t="shared" si="19"/>
        <v>0</v>
      </c>
      <c r="P52" s="48">
        <f t="shared" si="35"/>
        <v>0</v>
      </c>
      <c r="Q52" s="49">
        <f t="shared" si="23"/>
        <v>0</v>
      </c>
      <c r="R52" s="48">
        <f t="shared" si="36"/>
        <v>0</v>
      </c>
      <c r="S52" s="49">
        <f t="shared" si="24"/>
        <v>0</v>
      </c>
      <c r="T52" s="48">
        <f t="shared" si="37"/>
        <v>0</v>
      </c>
      <c r="U52" s="49">
        <f t="shared" si="25"/>
        <v>0</v>
      </c>
      <c r="V52" s="48">
        <f t="shared" si="38"/>
        <v>0</v>
      </c>
      <c r="W52" s="49">
        <f t="shared" si="26"/>
        <v>0</v>
      </c>
      <c r="X52" s="48">
        <f t="shared" si="39"/>
        <v>0</v>
      </c>
      <c r="Y52" s="49">
        <f t="shared" si="27"/>
        <v>0</v>
      </c>
      <c r="Z52" s="48">
        <f t="shared" si="40"/>
        <v>0</v>
      </c>
      <c r="AA52" s="49">
        <f t="shared" si="28"/>
        <v>0</v>
      </c>
      <c r="AB52" s="48">
        <f t="shared" si="41"/>
        <v>0</v>
      </c>
      <c r="AC52" s="49">
        <f t="shared" si="29"/>
        <v>0</v>
      </c>
      <c r="AD52" s="50">
        <f t="shared" si="30"/>
        <v>0</v>
      </c>
      <c r="AE52" s="49">
        <f t="shared" si="31"/>
        <v>0</v>
      </c>
      <c r="AF52" s="50">
        <f t="shared" si="32"/>
        <v>0</v>
      </c>
      <c r="AG52" s="49">
        <f t="shared" si="33"/>
        <v>0</v>
      </c>
    </row>
    <row r="53" spans="1:33" ht="18" hidden="1" customHeight="1" x14ac:dyDescent="0.25">
      <c r="A53" s="15"/>
      <c r="B53" s="568"/>
      <c r="C53" s="569"/>
      <c r="D53" s="569"/>
      <c r="E53" s="570"/>
      <c r="F53" s="43"/>
      <c r="G53" s="44"/>
      <c r="H53" s="46"/>
      <c r="I53" s="189"/>
      <c r="J53" s="48"/>
      <c r="K53" s="49">
        <f t="shared" si="22"/>
        <v>0</v>
      </c>
      <c r="L53" s="48">
        <f t="shared" si="42"/>
        <v>0</v>
      </c>
      <c r="M53" s="49">
        <f t="shared" si="22"/>
        <v>0</v>
      </c>
      <c r="N53" s="48">
        <f t="shared" si="34"/>
        <v>0</v>
      </c>
      <c r="O53" s="49">
        <f t="shared" si="19"/>
        <v>0</v>
      </c>
      <c r="P53" s="48">
        <f t="shared" si="35"/>
        <v>0</v>
      </c>
      <c r="Q53" s="49">
        <f t="shared" si="23"/>
        <v>0</v>
      </c>
      <c r="R53" s="48">
        <f t="shared" si="36"/>
        <v>0</v>
      </c>
      <c r="S53" s="49">
        <f t="shared" si="24"/>
        <v>0</v>
      </c>
      <c r="T53" s="48">
        <f t="shared" si="37"/>
        <v>0</v>
      </c>
      <c r="U53" s="49">
        <f t="shared" si="25"/>
        <v>0</v>
      </c>
      <c r="V53" s="48">
        <f t="shared" si="38"/>
        <v>0</v>
      </c>
      <c r="W53" s="49">
        <f t="shared" si="26"/>
        <v>0</v>
      </c>
      <c r="X53" s="48">
        <f t="shared" si="39"/>
        <v>0</v>
      </c>
      <c r="Y53" s="49">
        <f t="shared" si="27"/>
        <v>0</v>
      </c>
      <c r="Z53" s="48">
        <f t="shared" si="40"/>
        <v>0</v>
      </c>
      <c r="AA53" s="49">
        <f t="shared" si="28"/>
        <v>0</v>
      </c>
      <c r="AB53" s="48">
        <f t="shared" si="41"/>
        <v>0</v>
      </c>
      <c r="AC53" s="49">
        <f t="shared" si="29"/>
        <v>0</v>
      </c>
      <c r="AD53" s="50">
        <f t="shared" si="30"/>
        <v>0</v>
      </c>
      <c r="AE53" s="49">
        <f t="shared" si="31"/>
        <v>0</v>
      </c>
      <c r="AF53" s="50">
        <f t="shared" si="32"/>
        <v>0</v>
      </c>
      <c r="AG53" s="49">
        <f t="shared" si="33"/>
        <v>0</v>
      </c>
    </row>
    <row r="54" spans="1:33" ht="14.25" hidden="1" customHeight="1" x14ac:dyDescent="0.25">
      <c r="A54" s="15"/>
      <c r="B54" s="568"/>
      <c r="C54" s="569"/>
      <c r="D54" s="569"/>
      <c r="E54" s="570"/>
      <c r="F54" s="43"/>
      <c r="G54" s="44"/>
      <c r="H54" s="46"/>
      <c r="I54" s="189"/>
      <c r="J54" s="48"/>
      <c r="K54" s="49">
        <f t="shared" si="22"/>
        <v>0</v>
      </c>
      <c r="L54" s="48">
        <f t="shared" si="42"/>
        <v>0</v>
      </c>
      <c r="M54" s="49">
        <f t="shared" si="22"/>
        <v>0</v>
      </c>
      <c r="N54" s="48">
        <f t="shared" si="34"/>
        <v>0</v>
      </c>
      <c r="O54" s="49">
        <f t="shared" si="19"/>
        <v>0</v>
      </c>
      <c r="P54" s="48">
        <f t="shared" si="35"/>
        <v>0</v>
      </c>
      <c r="Q54" s="49">
        <f t="shared" si="23"/>
        <v>0</v>
      </c>
      <c r="R54" s="48">
        <f t="shared" si="36"/>
        <v>0</v>
      </c>
      <c r="S54" s="49">
        <f t="shared" si="24"/>
        <v>0</v>
      </c>
      <c r="T54" s="48">
        <f t="shared" si="37"/>
        <v>0</v>
      </c>
      <c r="U54" s="49">
        <f t="shared" si="25"/>
        <v>0</v>
      </c>
      <c r="V54" s="48">
        <f t="shared" si="38"/>
        <v>0</v>
      </c>
      <c r="W54" s="49">
        <f t="shared" si="26"/>
        <v>0</v>
      </c>
      <c r="X54" s="48">
        <f t="shared" si="39"/>
        <v>0</v>
      </c>
      <c r="Y54" s="49">
        <f t="shared" si="27"/>
        <v>0</v>
      </c>
      <c r="Z54" s="48">
        <f t="shared" si="40"/>
        <v>0</v>
      </c>
      <c r="AA54" s="49">
        <f t="shared" si="28"/>
        <v>0</v>
      </c>
      <c r="AB54" s="48">
        <f t="shared" si="41"/>
        <v>0</v>
      </c>
      <c r="AC54" s="49">
        <f t="shared" si="29"/>
        <v>0</v>
      </c>
      <c r="AD54" s="50">
        <f t="shared" si="30"/>
        <v>0</v>
      </c>
      <c r="AE54" s="49">
        <f t="shared" si="31"/>
        <v>0</v>
      </c>
      <c r="AF54" s="50">
        <f t="shared" si="32"/>
        <v>0</v>
      </c>
      <c r="AG54" s="49">
        <f t="shared" si="33"/>
        <v>0</v>
      </c>
    </row>
    <row r="55" spans="1:33" ht="14.25" hidden="1" customHeight="1" x14ac:dyDescent="0.25">
      <c r="A55" s="15"/>
      <c r="B55" s="568"/>
      <c r="C55" s="569"/>
      <c r="D55" s="569"/>
      <c r="E55" s="570"/>
      <c r="F55" s="43"/>
      <c r="G55" s="44"/>
      <c r="H55" s="46"/>
      <c r="I55" s="189"/>
      <c r="J55" s="48"/>
      <c r="K55" s="49"/>
      <c r="L55" s="48">
        <f t="shared" si="42"/>
        <v>0</v>
      </c>
      <c r="M55" s="49"/>
      <c r="N55" s="48">
        <f t="shared" si="34"/>
        <v>0</v>
      </c>
      <c r="O55" s="49"/>
      <c r="P55" s="48">
        <f t="shared" si="35"/>
        <v>0</v>
      </c>
      <c r="Q55" s="49"/>
      <c r="R55" s="48">
        <f t="shared" si="36"/>
        <v>0</v>
      </c>
      <c r="S55" s="49"/>
      <c r="T55" s="48">
        <f t="shared" si="37"/>
        <v>0</v>
      </c>
      <c r="U55" s="49"/>
      <c r="V55" s="48">
        <f t="shared" si="38"/>
        <v>0</v>
      </c>
      <c r="W55" s="49"/>
      <c r="X55" s="48">
        <f t="shared" si="39"/>
        <v>0</v>
      </c>
      <c r="Y55" s="49"/>
      <c r="Z55" s="48">
        <f t="shared" si="40"/>
        <v>0</v>
      </c>
      <c r="AA55" s="49"/>
      <c r="AB55" s="48"/>
      <c r="AC55" s="49"/>
      <c r="AD55" s="50">
        <f t="shared" si="30"/>
        <v>0</v>
      </c>
      <c r="AE55" s="49"/>
      <c r="AF55" s="50">
        <f t="shared" si="32"/>
        <v>0</v>
      </c>
      <c r="AG55" s="49"/>
    </row>
    <row r="56" spans="1:33" ht="14.25" hidden="1" customHeight="1" x14ac:dyDescent="0.25">
      <c r="A56" s="15"/>
      <c r="B56" s="568"/>
      <c r="C56" s="569"/>
      <c r="D56" s="569"/>
      <c r="E56" s="570"/>
      <c r="F56" s="43"/>
      <c r="G56" s="44"/>
      <c r="H56" s="46"/>
      <c r="I56" s="189"/>
      <c r="J56" s="48"/>
      <c r="K56" s="49">
        <f t="shared" si="22"/>
        <v>0</v>
      </c>
      <c r="L56" s="48">
        <f t="shared" si="42"/>
        <v>0</v>
      </c>
      <c r="M56" s="49">
        <f t="shared" si="22"/>
        <v>0</v>
      </c>
      <c r="N56" s="48">
        <f t="shared" si="34"/>
        <v>0</v>
      </c>
      <c r="O56" s="49">
        <f t="shared" ref="O56:O64" si="43">+$G56*N56</f>
        <v>0</v>
      </c>
      <c r="P56" s="48">
        <f t="shared" si="35"/>
        <v>0</v>
      </c>
      <c r="Q56" s="49">
        <f t="shared" ref="Q56:Q64" si="44">+$G56*P56</f>
        <v>0</v>
      </c>
      <c r="R56" s="48">
        <f t="shared" si="36"/>
        <v>0</v>
      </c>
      <c r="S56" s="49">
        <f t="shared" ref="S56:S64" si="45">+$G56*R56</f>
        <v>0</v>
      </c>
      <c r="T56" s="48">
        <f t="shared" si="37"/>
        <v>0</v>
      </c>
      <c r="U56" s="49">
        <f t="shared" ref="U56:U64" si="46">+$G56*T56</f>
        <v>0</v>
      </c>
      <c r="V56" s="48">
        <f t="shared" si="38"/>
        <v>0</v>
      </c>
      <c r="W56" s="49">
        <f t="shared" ref="W56:W64" si="47">+$G56*V56</f>
        <v>0</v>
      </c>
      <c r="X56" s="48">
        <f t="shared" si="39"/>
        <v>0</v>
      </c>
      <c r="Y56" s="49">
        <f t="shared" ref="Y56:Y64" si="48">+$G56*X56</f>
        <v>0</v>
      </c>
      <c r="Z56" s="48">
        <f t="shared" si="40"/>
        <v>0</v>
      </c>
      <c r="AA56" s="49">
        <f t="shared" ref="AA56:AA64" si="49">+$G56*Z56</f>
        <v>0</v>
      </c>
      <c r="AB56" s="48">
        <f t="shared" si="41"/>
        <v>0</v>
      </c>
      <c r="AC56" s="49">
        <f t="shared" ref="AC56:AC64" si="50">+$G56*AB56</f>
        <v>0</v>
      </c>
      <c r="AD56" s="50">
        <f t="shared" si="30"/>
        <v>0</v>
      </c>
      <c r="AE56" s="49">
        <f t="shared" ref="AE56:AE64" si="51">+$G56*AD56</f>
        <v>0</v>
      </c>
      <c r="AF56" s="50">
        <f t="shared" si="32"/>
        <v>0</v>
      </c>
      <c r="AG56" s="49">
        <f t="shared" si="33"/>
        <v>0</v>
      </c>
    </row>
    <row r="57" spans="1:33" hidden="1" x14ac:dyDescent="0.25">
      <c r="A57" s="15"/>
      <c r="B57" s="568"/>
      <c r="C57" s="569"/>
      <c r="D57" s="569"/>
      <c r="E57" s="570"/>
      <c r="F57" s="43"/>
      <c r="G57" s="44"/>
      <c r="H57" s="46"/>
      <c r="I57" s="189"/>
      <c r="J57" s="48"/>
      <c r="K57" s="49">
        <f t="shared" si="22"/>
        <v>0</v>
      </c>
      <c r="L57" s="48">
        <f t="shared" si="42"/>
        <v>0</v>
      </c>
      <c r="M57" s="49">
        <f t="shared" si="22"/>
        <v>0</v>
      </c>
      <c r="N57" s="48">
        <f t="shared" si="34"/>
        <v>0</v>
      </c>
      <c r="O57" s="49">
        <f t="shared" si="43"/>
        <v>0</v>
      </c>
      <c r="P57" s="48">
        <f t="shared" si="35"/>
        <v>0</v>
      </c>
      <c r="Q57" s="49">
        <f t="shared" si="44"/>
        <v>0</v>
      </c>
      <c r="R57" s="48">
        <f t="shared" si="36"/>
        <v>0</v>
      </c>
      <c r="S57" s="49">
        <f t="shared" si="45"/>
        <v>0</v>
      </c>
      <c r="T57" s="48">
        <f t="shared" si="37"/>
        <v>0</v>
      </c>
      <c r="U57" s="49">
        <f t="shared" si="46"/>
        <v>0</v>
      </c>
      <c r="V57" s="48">
        <f t="shared" si="38"/>
        <v>0</v>
      </c>
      <c r="W57" s="49">
        <f t="shared" si="47"/>
        <v>0</v>
      </c>
      <c r="X57" s="48">
        <f t="shared" si="39"/>
        <v>0</v>
      </c>
      <c r="Y57" s="49">
        <f t="shared" si="48"/>
        <v>0</v>
      </c>
      <c r="Z57" s="48">
        <f t="shared" si="40"/>
        <v>0</v>
      </c>
      <c r="AA57" s="49">
        <f t="shared" si="49"/>
        <v>0</v>
      </c>
      <c r="AB57" s="48">
        <f t="shared" si="41"/>
        <v>0</v>
      </c>
      <c r="AC57" s="49">
        <f t="shared" si="50"/>
        <v>0</v>
      </c>
      <c r="AD57" s="50">
        <f t="shared" si="30"/>
        <v>0</v>
      </c>
      <c r="AE57" s="49">
        <f t="shared" si="51"/>
        <v>0</v>
      </c>
      <c r="AF57" s="50">
        <f t="shared" si="32"/>
        <v>0</v>
      </c>
      <c r="AG57" s="49">
        <f t="shared" si="33"/>
        <v>0</v>
      </c>
    </row>
    <row r="58" spans="1:33" ht="15" hidden="1" customHeight="1" x14ac:dyDescent="0.25">
      <c r="A58" s="15"/>
      <c r="B58" s="568"/>
      <c r="C58" s="569"/>
      <c r="D58" s="569"/>
      <c r="E58" s="570"/>
      <c r="F58" s="43"/>
      <c r="G58" s="44"/>
      <c r="H58" s="46"/>
      <c r="I58" s="189"/>
      <c r="J58" s="48"/>
      <c r="K58" s="49">
        <f t="shared" si="22"/>
        <v>0</v>
      </c>
      <c r="L58" s="48"/>
      <c r="M58" s="49">
        <f t="shared" si="22"/>
        <v>0</v>
      </c>
      <c r="N58" s="48"/>
      <c r="O58" s="49">
        <f t="shared" si="43"/>
        <v>0</v>
      </c>
      <c r="P58" s="48"/>
      <c r="Q58" s="49">
        <f t="shared" si="44"/>
        <v>0</v>
      </c>
      <c r="R58" s="48"/>
      <c r="S58" s="49">
        <f t="shared" si="45"/>
        <v>0</v>
      </c>
      <c r="T58" s="48"/>
      <c r="U58" s="49">
        <f t="shared" si="46"/>
        <v>0</v>
      </c>
      <c r="V58" s="48"/>
      <c r="W58" s="49">
        <f t="shared" si="47"/>
        <v>0</v>
      </c>
      <c r="X58" s="48"/>
      <c r="Y58" s="49">
        <f t="shared" si="48"/>
        <v>0</v>
      </c>
      <c r="Z58" s="48"/>
      <c r="AA58" s="49">
        <f t="shared" si="49"/>
        <v>0</v>
      </c>
      <c r="AB58" s="48"/>
      <c r="AC58" s="49">
        <f t="shared" si="50"/>
        <v>0</v>
      </c>
      <c r="AD58" s="43"/>
      <c r="AE58" s="49">
        <f t="shared" si="51"/>
        <v>0</v>
      </c>
      <c r="AF58" s="43"/>
      <c r="AG58" s="49">
        <f t="shared" si="33"/>
        <v>0</v>
      </c>
    </row>
    <row r="59" spans="1:33" ht="15" customHeight="1" x14ac:dyDescent="0.25">
      <c r="A59" s="15"/>
      <c r="B59" s="589" t="s">
        <v>57</v>
      </c>
      <c r="C59" s="590"/>
      <c r="D59" s="52"/>
      <c r="E59" s="52"/>
      <c r="F59" s="65"/>
      <c r="G59" s="51"/>
      <c r="H59" s="46"/>
      <c r="I59" s="189"/>
      <c r="J59" s="52"/>
      <c r="K59" s="53">
        <f t="shared" si="22"/>
        <v>0</v>
      </c>
      <c r="L59" s="52"/>
      <c r="M59" s="53">
        <f t="shared" si="22"/>
        <v>0</v>
      </c>
      <c r="N59" s="54">
        <f>L59</f>
        <v>0</v>
      </c>
      <c r="O59" s="53">
        <f t="shared" si="43"/>
        <v>0</v>
      </c>
      <c r="P59" s="52">
        <f>N59</f>
        <v>0</v>
      </c>
      <c r="Q59" s="53">
        <f t="shared" si="44"/>
        <v>0</v>
      </c>
      <c r="R59" s="54">
        <f>P59</f>
        <v>0</v>
      </c>
      <c r="S59" s="53">
        <f t="shared" si="45"/>
        <v>0</v>
      </c>
      <c r="T59" s="52">
        <f>R59</f>
        <v>0</v>
      </c>
      <c r="U59" s="53">
        <f t="shared" si="46"/>
        <v>0</v>
      </c>
      <c r="V59" s="54">
        <f>T59</f>
        <v>0</v>
      </c>
      <c r="W59" s="53">
        <f t="shared" si="47"/>
        <v>0</v>
      </c>
      <c r="X59" s="52">
        <f>V59</f>
        <v>0</v>
      </c>
      <c r="Y59" s="53">
        <f t="shared" si="48"/>
        <v>0</v>
      </c>
      <c r="Z59" s="54">
        <f>X59</f>
        <v>0</v>
      </c>
      <c r="AA59" s="53">
        <f t="shared" si="49"/>
        <v>0</v>
      </c>
      <c r="AB59" s="52">
        <f>Z59</f>
        <v>0</v>
      </c>
      <c r="AC59" s="53">
        <f t="shared" si="50"/>
        <v>0</v>
      </c>
      <c r="AD59" s="54">
        <f>AB59</f>
        <v>0</v>
      </c>
      <c r="AE59" s="53">
        <f t="shared" si="51"/>
        <v>0</v>
      </c>
      <c r="AF59" s="54">
        <f>AD59</f>
        <v>0</v>
      </c>
      <c r="AG59" s="53">
        <f t="shared" si="33"/>
        <v>0</v>
      </c>
    </row>
    <row r="60" spans="1:33" ht="15" customHeight="1" x14ac:dyDescent="0.25">
      <c r="A60" s="15"/>
      <c r="B60" s="589" t="s">
        <v>58</v>
      </c>
      <c r="C60" s="590"/>
      <c r="D60" s="52"/>
      <c r="E60" s="52"/>
      <c r="F60" s="65"/>
      <c r="G60" s="51"/>
      <c r="H60" s="46"/>
      <c r="I60" s="189"/>
      <c r="J60" s="52"/>
      <c r="K60" s="53">
        <f>+$G60*J60</f>
        <v>0</v>
      </c>
      <c r="L60" s="52">
        <f>J60</f>
        <v>0</v>
      </c>
      <c r="M60" s="53">
        <f>+$G60*L60</f>
        <v>0</v>
      </c>
      <c r="N60" s="54">
        <f>L60</f>
        <v>0</v>
      </c>
      <c r="O60" s="53">
        <f t="shared" si="43"/>
        <v>0</v>
      </c>
      <c r="P60" s="52">
        <f>N60</f>
        <v>0</v>
      </c>
      <c r="Q60" s="53">
        <f t="shared" si="44"/>
        <v>0</v>
      </c>
      <c r="R60" s="54">
        <f>P60</f>
        <v>0</v>
      </c>
      <c r="S60" s="53">
        <f t="shared" si="45"/>
        <v>0</v>
      </c>
      <c r="T60" s="52">
        <f>R60</f>
        <v>0</v>
      </c>
      <c r="U60" s="53">
        <f t="shared" si="46"/>
        <v>0</v>
      </c>
      <c r="V60" s="54">
        <f>T60</f>
        <v>0</v>
      </c>
      <c r="W60" s="53">
        <f t="shared" si="47"/>
        <v>0</v>
      </c>
      <c r="X60" s="52">
        <f>V60</f>
        <v>0</v>
      </c>
      <c r="Y60" s="53">
        <f t="shared" si="48"/>
        <v>0</v>
      </c>
      <c r="Z60" s="54">
        <f>X60</f>
        <v>0</v>
      </c>
      <c r="AA60" s="53">
        <f t="shared" si="49"/>
        <v>0</v>
      </c>
      <c r="AB60" s="52">
        <f>Z60</f>
        <v>0</v>
      </c>
      <c r="AC60" s="53">
        <f t="shared" si="50"/>
        <v>0</v>
      </c>
      <c r="AD60" s="54">
        <f>AB60</f>
        <v>0</v>
      </c>
      <c r="AE60" s="53">
        <f t="shared" si="51"/>
        <v>0</v>
      </c>
      <c r="AF60" s="54">
        <f>AD60</f>
        <v>0</v>
      </c>
      <c r="AG60" s="53">
        <f>+$G60*AF60</f>
        <v>0</v>
      </c>
    </row>
    <row r="61" spans="1:33" ht="15" customHeight="1" x14ac:dyDescent="0.25">
      <c r="A61" s="15"/>
      <c r="B61" s="589"/>
      <c r="C61" s="590"/>
      <c r="D61" s="66"/>
      <c r="E61" s="66"/>
      <c r="F61" s="65"/>
      <c r="G61" s="51"/>
      <c r="H61" s="46"/>
      <c r="I61" s="189"/>
      <c r="J61" s="52"/>
      <c r="K61" s="53">
        <f t="shared" si="22"/>
        <v>0</v>
      </c>
      <c r="L61" s="52"/>
      <c r="M61" s="53">
        <f t="shared" si="22"/>
        <v>0</v>
      </c>
      <c r="N61" s="52"/>
      <c r="O61" s="53">
        <f t="shared" si="43"/>
        <v>0</v>
      </c>
      <c r="P61" s="52"/>
      <c r="Q61" s="53">
        <f t="shared" si="44"/>
        <v>0</v>
      </c>
      <c r="R61" s="52"/>
      <c r="S61" s="53">
        <f t="shared" si="45"/>
        <v>0</v>
      </c>
      <c r="T61" s="52"/>
      <c r="U61" s="53">
        <f t="shared" si="46"/>
        <v>0</v>
      </c>
      <c r="V61" s="52"/>
      <c r="W61" s="53">
        <f t="shared" si="47"/>
        <v>0</v>
      </c>
      <c r="X61" s="52"/>
      <c r="Y61" s="53">
        <f t="shared" si="48"/>
        <v>0</v>
      </c>
      <c r="Z61" s="52"/>
      <c r="AA61" s="53">
        <f t="shared" si="49"/>
        <v>0</v>
      </c>
      <c r="AB61" s="52"/>
      <c r="AC61" s="53">
        <f t="shared" si="50"/>
        <v>0</v>
      </c>
      <c r="AD61" s="52"/>
      <c r="AE61" s="53">
        <f t="shared" si="51"/>
        <v>0</v>
      </c>
      <c r="AF61" s="52"/>
      <c r="AG61" s="53">
        <f>+$G61*AF61</f>
        <v>0</v>
      </c>
    </row>
    <row r="62" spans="1:33" ht="15" customHeight="1" x14ac:dyDescent="0.25">
      <c r="A62" s="15"/>
      <c r="B62" s="568"/>
      <c r="C62" s="569"/>
      <c r="D62" s="569"/>
      <c r="E62" s="570"/>
      <c r="F62" s="43"/>
      <c r="G62" s="67"/>
      <c r="H62" s="46"/>
      <c r="I62" s="189"/>
      <c r="J62" s="43"/>
      <c r="K62" s="49">
        <f>+$G62*J62</f>
        <v>0</v>
      </c>
      <c r="L62" s="43"/>
      <c r="M62" s="49">
        <f>+$G62*L62</f>
        <v>0</v>
      </c>
      <c r="N62" s="43"/>
      <c r="O62" s="49">
        <f t="shared" si="43"/>
        <v>0</v>
      </c>
      <c r="P62" s="43"/>
      <c r="Q62" s="49">
        <f t="shared" si="44"/>
        <v>0</v>
      </c>
      <c r="R62" s="43"/>
      <c r="S62" s="49">
        <f t="shared" si="45"/>
        <v>0</v>
      </c>
      <c r="T62" s="43"/>
      <c r="U62" s="49">
        <f t="shared" si="46"/>
        <v>0</v>
      </c>
      <c r="V62" s="43"/>
      <c r="W62" s="49">
        <f t="shared" si="47"/>
        <v>0</v>
      </c>
      <c r="X62" s="43"/>
      <c r="Y62" s="49">
        <f t="shared" si="48"/>
        <v>0</v>
      </c>
      <c r="Z62" s="43"/>
      <c r="AA62" s="49">
        <f t="shared" si="49"/>
        <v>0</v>
      </c>
      <c r="AB62" s="43"/>
      <c r="AC62" s="49">
        <f t="shared" si="50"/>
        <v>0</v>
      </c>
      <c r="AD62" s="43"/>
      <c r="AE62" s="49">
        <f t="shared" si="51"/>
        <v>0</v>
      </c>
      <c r="AF62" s="43"/>
      <c r="AG62" s="49">
        <f>+$G62*AF62</f>
        <v>0</v>
      </c>
    </row>
    <row r="63" spans="1:33" ht="15" hidden="1" customHeight="1" x14ac:dyDescent="0.25">
      <c r="A63" s="15"/>
      <c r="B63" s="568"/>
      <c r="C63" s="569"/>
      <c r="D63" s="569"/>
      <c r="E63" s="570"/>
      <c r="F63" s="43"/>
      <c r="G63" s="67"/>
      <c r="H63" s="68"/>
      <c r="I63" s="190"/>
      <c r="J63" s="69"/>
      <c r="K63" s="49">
        <f t="shared" si="22"/>
        <v>0</v>
      </c>
      <c r="L63" s="69"/>
      <c r="M63" s="49">
        <f t="shared" si="22"/>
        <v>0</v>
      </c>
      <c r="N63" s="69"/>
      <c r="O63" s="49">
        <f t="shared" si="43"/>
        <v>0</v>
      </c>
      <c r="P63" s="69"/>
      <c r="Q63" s="49">
        <f t="shared" si="44"/>
        <v>0</v>
      </c>
      <c r="R63" s="69"/>
      <c r="S63" s="49">
        <f t="shared" si="45"/>
        <v>0</v>
      </c>
      <c r="T63" s="69"/>
      <c r="U63" s="49">
        <f t="shared" si="46"/>
        <v>0</v>
      </c>
      <c r="V63" s="69"/>
      <c r="W63" s="49">
        <f t="shared" si="47"/>
        <v>0</v>
      </c>
      <c r="X63" s="69"/>
      <c r="Y63" s="49">
        <f t="shared" si="48"/>
        <v>0</v>
      </c>
      <c r="Z63" s="69"/>
      <c r="AA63" s="49">
        <f t="shared" si="49"/>
        <v>0</v>
      </c>
      <c r="AB63" s="69"/>
      <c r="AC63" s="49">
        <f t="shared" si="50"/>
        <v>0</v>
      </c>
      <c r="AD63" s="69"/>
      <c r="AE63" s="49">
        <f t="shared" si="51"/>
        <v>0</v>
      </c>
      <c r="AF63" s="69"/>
      <c r="AG63" s="49">
        <f>+$G63*AF63</f>
        <v>0</v>
      </c>
    </row>
    <row r="64" spans="1:33" ht="15" hidden="1" customHeight="1" x14ac:dyDescent="0.25">
      <c r="A64" s="15"/>
      <c r="B64" s="568"/>
      <c r="C64" s="569"/>
      <c r="D64" s="569"/>
      <c r="E64" s="570"/>
      <c r="F64" s="43"/>
      <c r="G64" s="67"/>
      <c r="H64" s="68"/>
      <c r="I64" s="190"/>
      <c r="J64" s="69"/>
      <c r="K64" s="49">
        <f t="shared" si="22"/>
        <v>0</v>
      </c>
      <c r="L64" s="69"/>
      <c r="M64" s="49">
        <f t="shared" si="22"/>
        <v>0</v>
      </c>
      <c r="N64" s="69"/>
      <c r="O64" s="49">
        <f t="shared" si="43"/>
        <v>0</v>
      </c>
      <c r="P64" s="69"/>
      <c r="Q64" s="49">
        <f t="shared" si="44"/>
        <v>0</v>
      </c>
      <c r="R64" s="69"/>
      <c r="S64" s="49">
        <f t="shared" si="45"/>
        <v>0</v>
      </c>
      <c r="T64" s="69"/>
      <c r="U64" s="49">
        <f t="shared" si="46"/>
        <v>0</v>
      </c>
      <c r="V64" s="69"/>
      <c r="W64" s="49">
        <f t="shared" si="47"/>
        <v>0</v>
      </c>
      <c r="X64" s="69"/>
      <c r="Y64" s="49">
        <f t="shared" si="48"/>
        <v>0</v>
      </c>
      <c r="Z64" s="69"/>
      <c r="AA64" s="49">
        <f t="shared" si="49"/>
        <v>0</v>
      </c>
      <c r="AB64" s="69"/>
      <c r="AC64" s="49">
        <f t="shared" si="50"/>
        <v>0</v>
      </c>
      <c r="AD64" s="69"/>
      <c r="AE64" s="49">
        <f t="shared" si="51"/>
        <v>0</v>
      </c>
      <c r="AF64" s="69"/>
      <c r="AG64" s="49">
        <f>+$G64*AF64</f>
        <v>0</v>
      </c>
    </row>
    <row r="65" spans="1:33" ht="15" customHeight="1" x14ac:dyDescent="0.25">
      <c r="A65" s="15"/>
      <c r="B65" s="70" t="s">
        <v>59</v>
      </c>
      <c r="C65" s="71"/>
      <c r="D65" s="71"/>
      <c r="E65" s="71"/>
      <c r="F65" s="71"/>
      <c r="G65" s="72"/>
      <c r="H65" s="39"/>
      <c r="I65" s="191">
        <f>+SUM(I66:I79)</f>
        <v>65475900</v>
      </c>
      <c r="J65" s="39"/>
      <c r="K65" s="40">
        <f>+SUM(K66:K79)</f>
        <v>0</v>
      </c>
      <c r="L65" s="39"/>
      <c r="M65" s="40">
        <f>+SUM(M66:M79)</f>
        <v>0</v>
      </c>
      <c r="N65" s="39"/>
      <c r="O65" s="40">
        <f>+SUM(O66:O79)</f>
        <v>0</v>
      </c>
      <c r="P65" s="39"/>
      <c r="Q65" s="40">
        <f>+SUM(Q66:Q79)</f>
        <v>0</v>
      </c>
      <c r="R65" s="39"/>
      <c r="S65" s="40">
        <f>+SUM(S66:S79)</f>
        <v>0</v>
      </c>
      <c r="T65" s="39"/>
      <c r="U65" s="40">
        <f>+SUM(U66:U79)</f>
        <v>0</v>
      </c>
      <c r="V65" s="39"/>
      <c r="W65" s="40">
        <f>+SUM(W66:W79)</f>
        <v>0</v>
      </c>
      <c r="X65" s="39"/>
      <c r="Y65" s="40">
        <f>+SUM(Y66:Y79)</f>
        <v>0</v>
      </c>
      <c r="Z65" s="39"/>
      <c r="AA65" s="40">
        <f>+SUM(AA66:AA79)</f>
        <v>0</v>
      </c>
      <c r="AB65" s="39"/>
      <c r="AC65" s="40">
        <f>+SUM(AC66:AC79)</f>
        <v>0</v>
      </c>
      <c r="AD65" s="39"/>
      <c r="AE65" s="40">
        <f>+SUM(AE66:AE79)</f>
        <v>0</v>
      </c>
      <c r="AF65" s="39"/>
      <c r="AG65" s="40">
        <f>+SUM(AG66:AG79)</f>
        <v>0</v>
      </c>
    </row>
    <row r="66" spans="1:33" ht="18" customHeight="1" x14ac:dyDescent="0.25">
      <c r="A66" s="15"/>
      <c r="B66" s="568" t="s">
        <v>381</v>
      </c>
      <c r="C66" s="569"/>
      <c r="D66" s="569"/>
      <c r="E66" s="570"/>
      <c r="F66" s="336" t="s">
        <v>84</v>
      </c>
      <c r="G66" s="73">
        <f>+'Análisis cotizaciones VF'!K31*2</f>
        <v>8300</v>
      </c>
      <c r="H66" s="63">
        <f>3*13*(57)</f>
        <v>2223</v>
      </c>
      <c r="I66" s="350">
        <f>+H66*G66</f>
        <v>18450900</v>
      </c>
      <c r="J66" s="48"/>
      <c r="K66" s="49">
        <f>+ROUND($G66*J66,-3)</f>
        <v>0</v>
      </c>
      <c r="L66" s="74"/>
      <c r="M66" s="49">
        <f>+ROUND($G66*L66,-3)</f>
        <v>0</v>
      </c>
      <c r="N66" s="50">
        <f>L66</f>
        <v>0</v>
      </c>
      <c r="O66" s="49">
        <f>+ROUND($G66*N66,-3)</f>
        <v>0</v>
      </c>
      <c r="P66" s="50">
        <f>L66</f>
        <v>0</v>
      </c>
      <c r="Q66" s="49">
        <f>+ROUND($G66*P66,-3)</f>
        <v>0</v>
      </c>
      <c r="R66" s="50">
        <f>P66</f>
        <v>0</v>
      </c>
      <c r="S66" s="49">
        <f>+ROUND($G66*R66,-3)</f>
        <v>0</v>
      </c>
      <c r="T66" s="50">
        <f>R66</f>
        <v>0</v>
      </c>
      <c r="U66" s="49">
        <f>+ROUND($G66*T66,-3)</f>
        <v>0</v>
      </c>
      <c r="V66" s="50">
        <f>T66</f>
        <v>0</v>
      </c>
      <c r="W66" s="49">
        <f>+ROUND($G66*V66,-3)</f>
        <v>0</v>
      </c>
      <c r="X66" s="50">
        <f>V66</f>
        <v>0</v>
      </c>
      <c r="Y66" s="49">
        <f>+ROUND($G66*X66,-3)</f>
        <v>0</v>
      </c>
      <c r="Z66" s="50">
        <f>X66</f>
        <v>0</v>
      </c>
      <c r="AA66" s="49">
        <f>+ROUND($G66*Z66,-3)</f>
        <v>0</v>
      </c>
      <c r="AB66" s="50">
        <f>Z66</f>
        <v>0</v>
      </c>
      <c r="AC66" s="49">
        <f>+ROUND($G66*AB66,-3)</f>
        <v>0</v>
      </c>
      <c r="AD66" s="50">
        <f>AB66</f>
        <v>0</v>
      </c>
      <c r="AE66" s="49">
        <f>+ROUND($G66*AD66,-3)</f>
        <v>0</v>
      </c>
      <c r="AF66" s="50">
        <f>AD66</f>
        <v>0</v>
      </c>
      <c r="AG66" s="49">
        <f>+ROUND($G66*AF66,-3)</f>
        <v>0</v>
      </c>
    </row>
    <row r="67" spans="1:33" ht="18" customHeight="1" x14ac:dyDescent="0.25">
      <c r="A67" s="15"/>
      <c r="B67" s="568" t="s">
        <v>61</v>
      </c>
      <c r="C67" s="569"/>
      <c r="D67" s="569"/>
      <c r="E67" s="570"/>
      <c r="F67" s="336" t="s">
        <v>109</v>
      </c>
      <c r="G67" s="73">
        <f>+'Análisis cotizaciones VF'!K33/1000</f>
        <v>105</v>
      </c>
      <c r="H67" s="63">
        <f>200*(57)</f>
        <v>11400</v>
      </c>
      <c r="I67" s="350">
        <f t="shared" ref="I67:I74" si="52">+H67*G67</f>
        <v>1197000</v>
      </c>
      <c r="J67" s="48"/>
      <c r="K67" s="49">
        <f>+ROUND($G67*J67,-3)</f>
        <v>0</v>
      </c>
      <c r="L67" s="74"/>
      <c r="M67" s="49">
        <f>+ROUND($G67*L67,-3)</f>
        <v>0</v>
      </c>
      <c r="N67" s="50">
        <f>L67</f>
        <v>0</v>
      </c>
      <c r="O67" s="49">
        <f>+ROUND($G67*N67,-3)</f>
        <v>0</v>
      </c>
      <c r="P67" s="50">
        <f t="shared" ref="P67:P74" si="53">N67</f>
        <v>0</v>
      </c>
      <c r="Q67" s="49">
        <f>+ROUND($G67*P67,-3)</f>
        <v>0</v>
      </c>
      <c r="R67" s="50">
        <f t="shared" ref="R67:R74" si="54">P67</f>
        <v>0</v>
      </c>
      <c r="S67" s="49">
        <f>+ROUND($G67*R67,-3)</f>
        <v>0</v>
      </c>
      <c r="T67" s="50">
        <f t="shared" ref="T67:T74" si="55">R67</f>
        <v>0</v>
      </c>
      <c r="U67" s="49">
        <f>+ROUND($G67*T67,-3)</f>
        <v>0</v>
      </c>
      <c r="V67" s="50">
        <f t="shared" ref="V67:V74" si="56">T67</f>
        <v>0</v>
      </c>
      <c r="W67" s="49">
        <f>+ROUND($G67*V67,-3)</f>
        <v>0</v>
      </c>
      <c r="X67" s="50">
        <f t="shared" ref="X67:X74" si="57">V67</f>
        <v>0</v>
      </c>
      <c r="Y67" s="49">
        <f>+ROUND($G67*X67,-3)</f>
        <v>0</v>
      </c>
      <c r="Z67" s="50">
        <f t="shared" ref="Z67:Z74" si="58">X67</f>
        <v>0</v>
      </c>
      <c r="AA67" s="49">
        <f>+ROUND($G67*Z67,-3)</f>
        <v>0</v>
      </c>
      <c r="AB67" s="50">
        <f t="shared" ref="AB67:AB74" si="59">Z67</f>
        <v>0</v>
      </c>
      <c r="AC67" s="49">
        <f>+ROUND($G67*AB67,-3)</f>
        <v>0</v>
      </c>
      <c r="AD67" s="50">
        <f t="shared" ref="AD67:AD74" si="60">AB67</f>
        <v>0</v>
      </c>
      <c r="AE67" s="49">
        <f>+ROUND($G67*AD67,-3)</f>
        <v>0</v>
      </c>
      <c r="AF67" s="50">
        <f t="shared" ref="AF67:AF74" si="61">AD67</f>
        <v>0</v>
      </c>
      <c r="AG67" s="49">
        <f>+ROUND($G67*AF67,-3)</f>
        <v>0</v>
      </c>
    </row>
    <row r="68" spans="1:33" ht="18" customHeight="1" x14ac:dyDescent="0.25">
      <c r="A68" s="15"/>
      <c r="B68" s="568" t="s">
        <v>62</v>
      </c>
      <c r="C68" s="569"/>
      <c r="D68" s="569"/>
      <c r="E68" s="570"/>
      <c r="F68" s="336" t="s">
        <v>22</v>
      </c>
      <c r="G68" s="73">
        <f>+'Análisis cotizaciones VF'!K12</f>
        <v>165000</v>
      </c>
      <c r="H68" s="63">
        <f>1*57</f>
        <v>57</v>
      </c>
      <c r="I68" s="350">
        <f t="shared" si="52"/>
        <v>9405000</v>
      </c>
      <c r="J68" s="48"/>
      <c r="K68" s="49"/>
      <c r="L68" s="74"/>
      <c r="M68" s="49">
        <f t="shared" ref="M68:M79" si="62">+$G68*L68</f>
        <v>0</v>
      </c>
      <c r="N68" s="50">
        <f>L68</f>
        <v>0</v>
      </c>
      <c r="O68" s="49">
        <f t="shared" ref="O68:Q79" si="63">+$G68*N68</f>
        <v>0</v>
      </c>
      <c r="P68" s="50">
        <f t="shared" si="53"/>
        <v>0</v>
      </c>
      <c r="Q68" s="49">
        <f t="shared" si="63"/>
        <v>0</v>
      </c>
      <c r="R68" s="50">
        <f t="shared" si="54"/>
        <v>0</v>
      </c>
      <c r="S68" s="49">
        <f t="shared" ref="S68:U79" si="64">+$G68*R68</f>
        <v>0</v>
      </c>
      <c r="T68" s="50">
        <f t="shared" si="55"/>
        <v>0</v>
      </c>
      <c r="U68" s="49">
        <f t="shared" si="64"/>
        <v>0</v>
      </c>
      <c r="V68" s="50">
        <f t="shared" si="56"/>
        <v>0</v>
      </c>
      <c r="W68" s="49">
        <f t="shared" ref="W68:Y72" si="65">+$G68*V68</f>
        <v>0</v>
      </c>
      <c r="X68" s="50">
        <f t="shared" si="57"/>
        <v>0</v>
      </c>
      <c r="Y68" s="49">
        <f t="shared" si="65"/>
        <v>0</v>
      </c>
      <c r="Z68" s="50">
        <f t="shared" si="58"/>
        <v>0</v>
      </c>
      <c r="AA68" s="49">
        <f t="shared" ref="AA68:AA79" si="66">+$G68*Z68</f>
        <v>0</v>
      </c>
      <c r="AB68" s="50">
        <f t="shared" si="59"/>
        <v>0</v>
      </c>
      <c r="AC68" s="49">
        <f t="shared" ref="AC68:AC79" si="67">+$G68*AB68</f>
        <v>0</v>
      </c>
      <c r="AD68" s="50">
        <f t="shared" si="60"/>
        <v>0</v>
      </c>
      <c r="AE68" s="49">
        <f t="shared" ref="AE68:AE79" si="68">+$G68*AD68</f>
        <v>0</v>
      </c>
      <c r="AF68" s="50">
        <f t="shared" si="61"/>
        <v>0</v>
      </c>
      <c r="AG68" s="49">
        <f t="shared" ref="AG68:AG79" si="69">+$G68*AF68</f>
        <v>0</v>
      </c>
    </row>
    <row r="69" spans="1:33" ht="18" customHeight="1" x14ac:dyDescent="0.25">
      <c r="A69" s="15"/>
      <c r="B69" s="568" t="str">
        <f>+[7]Hoja1!$A$13</f>
        <v>TRAJE APÍCOLA</v>
      </c>
      <c r="C69" s="569"/>
      <c r="D69" s="569"/>
      <c r="E69" s="570"/>
      <c r="F69" s="336" t="s">
        <v>22</v>
      </c>
      <c r="G69" s="73">
        <f>+'Análisis cotizaciones VF'!K13</f>
        <v>190000</v>
      </c>
      <c r="H69" s="63">
        <f>2*57</f>
        <v>114</v>
      </c>
      <c r="I69" s="350">
        <f t="shared" si="52"/>
        <v>21660000</v>
      </c>
      <c r="J69" s="48"/>
      <c r="K69" s="49"/>
      <c r="L69" s="50"/>
      <c r="M69" s="49">
        <f t="shared" si="62"/>
        <v>0</v>
      </c>
      <c r="N69" s="50">
        <f t="shared" ref="N69:N74" si="70">L69</f>
        <v>0</v>
      </c>
      <c r="O69" s="49">
        <f t="shared" si="63"/>
        <v>0</v>
      </c>
      <c r="P69" s="50">
        <f t="shared" si="53"/>
        <v>0</v>
      </c>
      <c r="Q69" s="49">
        <f t="shared" si="63"/>
        <v>0</v>
      </c>
      <c r="R69" s="50">
        <f t="shared" si="54"/>
        <v>0</v>
      </c>
      <c r="S69" s="49">
        <f t="shared" si="64"/>
        <v>0</v>
      </c>
      <c r="T69" s="50">
        <f t="shared" si="55"/>
        <v>0</v>
      </c>
      <c r="U69" s="49">
        <f t="shared" si="64"/>
        <v>0</v>
      </c>
      <c r="V69" s="50">
        <f t="shared" si="56"/>
        <v>0</v>
      </c>
      <c r="W69" s="49">
        <f t="shared" si="65"/>
        <v>0</v>
      </c>
      <c r="X69" s="50">
        <f t="shared" si="57"/>
        <v>0</v>
      </c>
      <c r="Y69" s="49">
        <f t="shared" si="65"/>
        <v>0</v>
      </c>
      <c r="Z69" s="50">
        <f t="shared" si="58"/>
        <v>0</v>
      </c>
      <c r="AA69" s="49">
        <f t="shared" si="66"/>
        <v>0</v>
      </c>
      <c r="AB69" s="50">
        <f t="shared" si="59"/>
        <v>0</v>
      </c>
      <c r="AC69" s="49">
        <f t="shared" si="67"/>
        <v>0</v>
      </c>
      <c r="AD69" s="50">
        <f t="shared" si="60"/>
        <v>0</v>
      </c>
      <c r="AE69" s="49">
        <f t="shared" si="68"/>
        <v>0</v>
      </c>
      <c r="AF69" s="50">
        <f t="shared" si="61"/>
        <v>0</v>
      </c>
      <c r="AG69" s="49">
        <f t="shared" si="69"/>
        <v>0</v>
      </c>
    </row>
    <row r="70" spans="1:33" ht="18" customHeight="1" x14ac:dyDescent="0.25">
      <c r="A70" s="15"/>
      <c r="B70" s="568" t="str">
        <f>+[7]Hoja1!$A$14</f>
        <v>GANCHO PALANCA</v>
      </c>
      <c r="C70" s="569"/>
      <c r="D70" s="569"/>
      <c r="E70" s="570"/>
      <c r="F70" s="336" t="s">
        <v>22</v>
      </c>
      <c r="G70" s="73">
        <f>+'Análisis cotizaciones VF'!K14</f>
        <v>37000</v>
      </c>
      <c r="H70" s="63">
        <f>1*57</f>
        <v>57</v>
      </c>
      <c r="I70" s="350">
        <f t="shared" si="52"/>
        <v>2109000</v>
      </c>
      <c r="J70" s="48"/>
      <c r="K70" s="49"/>
      <c r="L70" s="50"/>
      <c r="M70" s="49">
        <f t="shared" si="62"/>
        <v>0</v>
      </c>
      <c r="N70" s="50">
        <f t="shared" si="70"/>
        <v>0</v>
      </c>
      <c r="O70" s="49">
        <f t="shared" si="63"/>
        <v>0</v>
      </c>
      <c r="P70" s="50">
        <f t="shared" si="53"/>
        <v>0</v>
      </c>
      <c r="Q70" s="49">
        <f t="shared" si="63"/>
        <v>0</v>
      </c>
      <c r="R70" s="50">
        <f t="shared" si="54"/>
        <v>0</v>
      </c>
      <c r="S70" s="49">
        <f t="shared" si="64"/>
        <v>0</v>
      </c>
      <c r="T70" s="50">
        <f t="shared" si="55"/>
        <v>0</v>
      </c>
      <c r="U70" s="49">
        <f t="shared" si="64"/>
        <v>0</v>
      </c>
      <c r="V70" s="50">
        <f t="shared" si="56"/>
        <v>0</v>
      </c>
      <c r="W70" s="49">
        <f t="shared" si="65"/>
        <v>0</v>
      </c>
      <c r="X70" s="50">
        <f t="shared" si="57"/>
        <v>0</v>
      </c>
      <c r="Y70" s="49">
        <f t="shared" si="65"/>
        <v>0</v>
      </c>
      <c r="Z70" s="50">
        <f t="shared" si="58"/>
        <v>0</v>
      </c>
      <c r="AA70" s="49">
        <f t="shared" si="66"/>
        <v>0</v>
      </c>
      <c r="AB70" s="50">
        <f t="shared" si="59"/>
        <v>0</v>
      </c>
      <c r="AC70" s="49">
        <f t="shared" si="67"/>
        <v>0</v>
      </c>
      <c r="AD70" s="50">
        <f t="shared" si="60"/>
        <v>0</v>
      </c>
      <c r="AE70" s="49">
        <f t="shared" si="68"/>
        <v>0</v>
      </c>
      <c r="AF70" s="50">
        <f t="shared" si="61"/>
        <v>0</v>
      </c>
      <c r="AG70" s="49">
        <f t="shared" si="69"/>
        <v>0</v>
      </c>
    </row>
    <row r="71" spans="1:33" ht="18" customHeight="1" x14ac:dyDescent="0.25">
      <c r="A71" s="15"/>
      <c r="B71" s="568" t="s">
        <v>63</v>
      </c>
      <c r="C71" s="569"/>
      <c r="D71" s="569"/>
      <c r="E71" s="570"/>
      <c r="F71" s="336" t="s">
        <v>22</v>
      </c>
      <c r="G71" s="73">
        <f>+'Análisis cotizaciones VF'!K34</f>
        <v>32500</v>
      </c>
      <c r="H71" s="63">
        <f>4*57</f>
        <v>228</v>
      </c>
      <c r="I71" s="350">
        <f t="shared" si="52"/>
        <v>7410000</v>
      </c>
      <c r="J71" s="48"/>
      <c r="K71" s="49"/>
      <c r="L71" s="50">
        <v>0</v>
      </c>
      <c r="M71" s="49">
        <f t="shared" si="62"/>
        <v>0</v>
      </c>
      <c r="N71" s="50">
        <f t="shared" si="70"/>
        <v>0</v>
      </c>
      <c r="O71" s="49">
        <f t="shared" si="63"/>
        <v>0</v>
      </c>
      <c r="P71" s="50">
        <f t="shared" si="53"/>
        <v>0</v>
      </c>
      <c r="Q71" s="49">
        <f t="shared" si="63"/>
        <v>0</v>
      </c>
      <c r="R71" s="50">
        <f t="shared" si="54"/>
        <v>0</v>
      </c>
      <c r="S71" s="49">
        <f t="shared" si="64"/>
        <v>0</v>
      </c>
      <c r="T71" s="50">
        <f t="shared" si="55"/>
        <v>0</v>
      </c>
      <c r="U71" s="49">
        <f t="shared" si="64"/>
        <v>0</v>
      </c>
      <c r="V71" s="50">
        <f t="shared" si="56"/>
        <v>0</v>
      </c>
      <c r="W71" s="49">
        <f t="shared" si="65"/>
        <v>0</v>
      </c>
      <c r="X71" s="50">
        <f t="shared" si="57"/>
        <v>0</v>
      </c>
      <c r="Y71" s="49">
        <f t="shared" si="65"/>
        <v>0</v>
      </c>
      <c r="Z71" s="50">
        <f t="shared" si="58"/>
        <v>0</v>
      </c>
      <c r="AA71" s="49">
        <f t="shared" si="66"/>
        <v>0</v>
      </c>
      <c r="AB71" s="50">
        <f t="shared" si="59"/>
        <v>0</v>
      </c>
      <c r="AC71" s="49">
        <f t="shared" si="67"/>
        <v>0</v>
      </c>
      <c r="AD71" s="50">
        <f t="shared" si="60"/>
        <v>0</v>
      </c>
      <c r="AE71" s="49">
        <f t="shared" si="68"/>
        <v>0</v>
      </c>
      <c r="AF71" s="50">
        <f t="shared" si="61"/>
        <v>0</v>
      </c>
      <c r="AG71" s="49">
        <f t="shared" si="69"/>
        <v>0</v>
      </c>
    </row>
    <row r="72" spans="1:33" ht="18" customHeight="1" x14ac:dyDescent="0.25">
      <c r="A72" s="15"/>
      <c r="B72" s="568" t="str">
        <f>+[7]Hoja1!$A$22</f>
        <v>TENEDOR DESOPERCULADOR</v>
      </c>
      <c r="C72" s="569"/>
      <c r="D72" s="569"/>
      <c r="E72" s="570"/>
      <c r="F72" s="336" t="s">
        <v>22</v>
      </c>
      <c r="G72" s="73">
        <f>+'Análisis cotizaciones VF'!K22</f>
        <v>30500</v>
      </c>
      <c r="H72" s="63">
        <f>1*57</f>
        <v>57</v>
      </c>
      <c r="I72" s="350">
        <f t="shared" si="52"/>
        <v>1738500</v>
      </c>
      <c r="J72" s="48"/>
      <c r="K72" s="49"/>
      <c r="L72" s="50"/>
      <c r="M72" s="49">
        <f t="shared" si="62"/>
        <v>0</v>
      </c>
      <c r="N72" s="50">
        <f t="shared" si="70"/>
        <v>0</v>
      </c>
      <c r="O72" s="49">
        <f t="shared" si="63"/>
        <v>0</v>
      </c>
      <c r="P72" s="50">
        <f t="shared" si="53"/>
        <v>0</v>
      </c>
      <c r="Q72" s="49">
        <f t="shared" si="63"/>
        <v>0</v>
      </c>
      <c r="R72" s="50">
        <f t="shared" si="54"/>
        <v>0</v>
      </c>
      <c r="S72" s="49">
        <f t="shared" si="64"/>
        <v>0</v>
      </c>
      <c r="T72" s="50">
        <f t="shared" si="55"/>
        <v>0</v>
      </c>
      <c r="U72" s="49">
        <f t="shared" si="64"/>
        <v>0</v>
      </c>
      <c r="V72" s="50">
        <f t="shared" si="56"/>
        <v>0</v>
      </c>
      <c r="W72" s="49">
        <f t="shared" si="65"/>
        <v>0</v>
      </c>
      <c r="X72" s="50">
        <f t="shared" si="57"/>
        <v>0</v>
      </c>
      <c r="Y72" s="49">
        <f t="shared" si="65"/>
        <v>0</v>
      </c>
      <c r="Z72" s="50">
        <f t="shared" si="58"/>
        <v>0</v>
      </c>
      <c r="AA72" s="49">
        <f t="shared" si="66"/>
        <v>0</v>
      </c>
      <c r="AB72" s="50">
        <f t="shared" si="59"/>
        <v>0</v>
      </c>
      <c r="AC72" s="49">
        <f t="shared" si="67"/>
        <v>0</v>
      </c>
      <c r="AD72" s="50">
        <f t="shared" si="60"/>
        <v>0</v>
      </c>
      <c r="AE72" s="49">
        <f t="shared" si="68"/>
        <v>0</v>
      </c>
      <c r="AF72" s="50">
        <f t="shared" si="61"/>
        <v>0</v>
      </c>
      <c r="AG72" s="49">
        <f t="shared" si="69"/>
        <v>0</v>
      </c>
    </row>
    <row r="73" spans="1:33" ht="18" customHeight="1" x14ac:dyDescent="0.25">
      <c r="A73" s="15"/>
      <c r="B73" s="568" t="str">
        <f>+[7]Hoja1!$A$19</f>
        <v>VARILLA</v>
      </c>
      <c r="C73" s="569"/>
      <c r="D73" s="569"/>
      <c r="E73" s="570"/>
      <c r="F73" s="336" t="s">
        <v>22</v>
      </c>
      <c r="G73" s="44">
        <f>+'Análisis cotizaciones VF'!K19</f>
        <v>46500</v>
      </c>
      <c r="H73" s="63">
        <f>1*57</f>
        <v>57</v>
      </c>
      <c r="I73" s="350">
        <f t="shared" si="52"/>
        <v>2650500</v>
      </c>
      <c r="J73" s="48"/>
      <c r="K73" s="49">
        <f t="shared" ref="K73:K79" si="71">+$G73*J73</f>
        <v>0</v>
      </c>
      <c r="L73" s="50"/>
      <c r="M73" s="49">
        <f t="shared" si="62"/>
        <v>0</v>
      </c>
      <c r="N73" s="50">
        <f t="shared" si="70"/>
        <v>0</v>
      </c>
      <c r="O73" s="49">
        <f>+$G73*N73</f>
        <v>0</v>
      </c>
      <c r="P73" s="50">
        <f t="shared" si="53"/>
        <v>0</v>
      </c>
      <c r="Q73" s="49">
        <f>+$G73*P73</f>
        <v>0</v>
      </c>
      <c r="R73" s="50">
        <f t="shared" si="54"/>
        <v>0</v>
      </c>
      <c r="S73" s="49">
        <f>+$G73*R73</f>
        <v>0</v>
      </c>
      <c r="T73" s="50">
        <f t="shared" si="55"/>
        <v>0</v>
      </c>
      <c r="U73" s="49">
        <f>+$G73*T73</f>
        <v>0</v>
      </c>
      <c r="V73" s="50">
        <f t="shared" si="56"/>
        <v>0</v>
      </c>
      <c r="W73" s="49">
        <f>+$G73*V73</f>
        <v>0</v>
      </c>
      <c r="X73" s="50">
        <f t="shared" si="57"/>
        <v>0</v>
      </c>
      <c r="Y73" s="49">
        <f>+$G73*X73</f>
        <v>0</v>
      </c>
      <c r="Z73" s="50">
        <f t="shared" si="58"/>
        <v>0</v>
      </c>
      <c r="AA73" s="49">
        <f t="shared" si="66"/>
        <v>0</v>
      </c>
      <c r="AB73" s="50">
        <f t="shared" si="59"/>
        <v>0</v>
      </c>
      <c r="AC73" s="49">
        <f t="shared" si="67"/>
        <v>0</v>
      </c>
      <c r="AD73" s="50">
        <f t="shared" si="60"/>
        <v>0</v>
      </c>
      <c r="AE73" s="49">
        <f t="shared" si="68"/>
        <v>0</v>
      </c>
      <c r="AF73" s="50">
        <f t="shared" si="61"/>
        <v>0</v>
      </c>
      <c r="AG73" s="49">
        <f t="shared" si="69"/>
        <v>0</v>
      </c>
    </row>
    <row r="74" spans="1:33" ht="18" customHeight="1" x14ac:dyDescent="0.25">
      <c r="A74" s="15"/>
      <c r="B74" s="568" t="str">
        <f>+[7]Hoja1!$A$20</f>
        <v>EMBUDO</v>
      </c>
      <c r="C74" s="569"/>
      <c r="D74" s="569"/>
      <c r="E74" s="570"/>
      <c r="F74" s="336" t="s">
        <v>22</v>
      </c>
      <c r="G74" s="44">
        <f>+'Análisis cotizaciones VF'!K20</f>
        <v>15000</v>
      </c>
      <c r="H74" s="63">
        <f>1*57</f>
        <v>57</v>
      </c>
      <c r="I74" s="350">
        <f t="shared" si="52"/>
        <v>855000</v>
      </c>
      <c r="J74" s="48"/>
      <c r="K74" s="49">
        <f t="shared" si="71"/>
        <v>0</v>
      </c>
      <c r="L74" s="50"/>
      <c r="M74" s="49">
        <f t="shared" si="62"/>
        <v>0</v>
      </c>
      <c r="N74" s="50">
        <f t="shared" si="70"/>
        <v>0</v>
      </c>
      <c r="O74" s="49">
        <f>+$G74*N74</f>
        <v>0</v>
      </c>
      <c r="P74" s="50">
        <f t="shared" si="53"/>
        <v>0</v>
      </c>
      <c r="Q74" s="49">
        <f>+$G74*P74</f>
        <v>0</v>
      </c>
      <c r="R74" s="50">
        <f t="shared" si="54"/>
        <v>0</v>
      </c>
      <c r="S74" s="49">
        <f>+$G74*R74</f>
        <v>0</v>
      </c>
      <c r="T74" s="50">
        <f t="shared" si="55"/>
        <v>0</v>
      </c>
      <c r="U74" s="49">
        <f>+$G74*T74</f>
        <v>0</v>
      </c>
      <c r="V74" s="50">
        <f t="shared" si="56"/>
        <v>0</v>
      </c>
      <c r="W74" s="49">
        <f>+$G74*V74</f>
        <v>0</v>
      </c>
      <c r="X74" s="50">
        <f t="shared" si="57"/>
        <v>0</v>
      </c>
      <c r="Y74" s="49">
        <f>+$G74*X74</f>
        <v>0</v>
      </c>
      <c r="Z74" s="50">
        <f t="shared" si="58"/>
        <v>0</v>
      </c>
      <c r="AA74" s="49">
        <f t="shared" si="66"/>
        <v>0</v>
      </c>
      <c r="AB74" s="50">
        <f t="shared" si="59"/>
        <v>0</v>
      </c>
      <c r="AC74" s="49">
        <f t="shared" si="67"/>
        <v>0</v>
      </c>
      <c r="AD74" s="50">
        <f t="shared" si="60"/>
        <v>0</v>
      </c>
      <c r="AE74" s="49">
        <f t="shared" si="68"/>
        <v>0</v>
      </c>
      <c r="AF74" s="50">
        <f t="shared" si="61"/>
        <v>0</v>
      </c>
      <c r="AG74" s="49">
        <f t="shared" si="69"/>
        <v>0</v>
      </c>
    </row>
    <row r="75" spans="1:33" ht="18" customHeight="1" x14ac:dyDescent="0.25">
      <c r="A75" s="15"/>
      <c r="B75" s="568"/>
      <c r="C75" s="569"/>
      <c r="D75" s="569"/>
      <c r="E75" s="570"/>
      <c r="F75" s="75"/>
      <c r="G75" s="44"/>
      <c r="H75" s="46"/>
      <c r="I75" s="189"/>
      <c r="J75" s="48"/>
      <c r="K75" s="49">
        <f t="shared" si="71"/>
        <v>0</v>
      </c>
      <c r="L75" s="50"/>
      <c r="M75" s="49">
        <f t="shared" si="62"/>
        <v>0</v>
      </c>
      <c r="N75" s="50"/>
      <c r="O75" s="49">
        <f t="shared" si="63"/>
        <v>0</v>
      </c>
      <c r="P75" s="50"/>
      <c r="Q75" s="49">
        <f t="shared" si="63"/>
        <v>0</v>
      </c>
      <c r="R75" s="50"/>
      <c r="S75" s="49">
        <f t="shared" si="64"/>
        <v>0</v>
      </c>
      <c r="T75" s="50"/>
      <c r="U75" s="49">
        <f t="shared" si="64"/>
        <v>0</v>
      </c>
      <c r="V75" s="50"/>
      <c r="W75" s="49">
        <f t="shared" ref="W75:Y79" si="72">+$G75*V75</f>
        <v>0</v>
      </c>
      <c r="X75" s="50"/>
      <c r="Y75" s="49">
        <f t="shared" si="72"/>
        <v>0</v>
      </c>
      <c r="Z75" s="50"/>
      <c r="AA75" s="49">
        <f t="shared" si="66"/>
        <v>0</v>
      </c>
      <c r="AB75" s="50"/>
      <c r="AC75" s="49">
        <f t="shared" si="67"/>
        <v>0</v>
      </c>
      <c r="AD75" s="43"/>
      <c r="AE75" s="49">
        <f t="shared" si="68"/>
        <v>0</v>
      </c>
      <c r="AF75" s="43"/>
      <c r="AG75" s="49">
        <f t="shared" si="69"/>
        <v>0</v>
      </c>
    </row>
    <row r="76" spans="1:33" hidden="1" x14ac:dyDescent="0.25">
      <c r="A76" s="15"/>
      <c r="B76" s="568"/>
      <c r="C76" s="569"/>
      <c r="D76" s="569"/>
      <c r="E76" s="570"/>
      <c r="F76" s="75"/>
      <c r="G76" s="44"/>
      <c r="H76" s="46"/>
      <c r="I76" s="189"/>
      <c r="J76" s="48"/>
      <c r="K76" s="49">
        <f t="shared" si="71"/>
        <v>0</v>
      </c>
      <c r="L76" s="50"/>
      <c r="M76" s="49">
        <f t="shared" si="62"/>
        <v>0</v>
      </c>
      <c r="N76" s="43"/>
      <c r="O76" s="49">
        <f t="shared" si="63"/>
        <v>0</v>
      </c>
      <c r="P76" s="43"/>
      <c r="Q76" s="49">
        <f t="shared" si="63"/>
        <v>0</v>
      </c>
      <c r="R76" s="43"/>
      <c r="S76" s="49">
        <f t="shared" si="64"/>
        <v>0</v>
      </c>
      <c r="T76" s="43"/>
      <c r="U76" s="49">
        <f t="shared" si="64"/>
        <v>0</v>
      </c>
      <c r="V76" s="43"/>
      <c r="W76" s="49">
        <f t="shared" si="72"/>
        <v>0</v>
      </c>
      <c r="X76" s="43"/>
      <c r="Y76" s="49">
        <f t="shared" si="72"/>
        <v>0</v>
      </c>
      <c r="Z76" s="43"/>
      <c r="AA76" s="49">
        <f t="shared" si="66"/>
        <v>0</v>
      </c>
      <c r="AB76" s="43"/>
      <c r="AC76" s="49">
        <f t="shared" si="67"/>
        <v>0</v>
      </c>
      <c r="AD76" s="43"/>
      <c r="AE76" s="49">
        <f t="shared" si="68"/>
        <v>0</v>
      </c>
      <c r="AF76" s="43"/>
      <c r="AG76" s="49">
        <f t="shared" si="69"/>
        <v>0</v>
      </c>
    </row>
    <row r="77" spans="1:33" ht="15" hidden="1" customHeight="1" x14ac:dyDescent="0.25">
      <c r="A77" s="15"/>
      <c r="B77" s="568"/>
      <c r="C77" s="569"/>
      <c r="D77" s="569"/>
      <c r="E77" s="570"/>
      <c r="F77" s="75"/>
      <c r="G77" s="44"/>
      <c r="H77" s="46"/>
      <c r="I77" s="189"/>
      <c r="J77" s="48"/>
      <c r="K77" s="49">
        <f t="shared" si="71"/>
        <v>0</v>
      </c>
      <c r="L77" s="50"/>
      <c r="M77" s="49">
        <f t="shared" si="62"/>
        <v>0</v>
      </c>
      <c r="N77" s="43"/>
      <c r="O77" s="49">
        <f t="shared" si="63"/>
        <v>0</v>
      </c>
      <c r="P77" s="43"/>
      <c r="Q77" s="49">
        <f t="shared" si="63"/>
        <v>0</v>
      </c>
      <c r="R77" s="43"/>
      <c r="S77" s="49">
        <f t="shared" si="64"/>
        <v>0</v>
      </c>
      <c r="T77" s="43"/>
      <c r="U77" s="49">
        <f t="shared" si="64"/>
        <v>0</v>
      </c>
      <c r="V77" s="43"/>
      <c r="W77" s="49">
        <f t="shared" si="72"/>
        <v>0</v>
      </c>
      <c r="X77" s="43"/>
      <c r="Y77" s="49">
        <f t="shared" si="72"/>
        <v>0</v>
      </c>
      <c r="Z77" s="43"/>
      <c r="AA77" s="49">
        <f t="shared" si="66"/>
        <v>0</v>
      </c>
      <c r="AB77" s="43"/>
      <c r="AC77" s="49">
        <f t="shared" si="67"/>
        <v>0</v>
      </c>
      <c r="AD77" s="43"/>
      <c r="AE77" s="49">
        <f t="shared" si="68"/>
        <v>0</v>
      </c>
      <c r="AF77" s="43"/>
      <c r="AG77" s="49">
        <f t="shared" si="69"/>
        <v>0</v>
      </c>
    </row>
    <row r="78" spans="1:33" ht="15" hidden="1" customHeight="1" x14ac:dyDescent="0.25">
      <c r="A78" s="15"/>
      <c r="B78" s="568"/>
      <c r="C78" s="569"/>
      <c r="D78" s="569"/>
      <c r="E78" s="570"/>
      <c r="F78" s="75"/>
      <c r="G78" s="44"/>
      <c r="H78" s="46"/>
      <c r="I78" s="189"/>
      <c r="J78" s="48"/>
      <c r="K78" s="49">
        <f t="shared" si="71"/>
        <v>0</v>
      </c>
      <c r="L78" s="50"/>
      <c r="M78" s="49">
        <f t="shared" si="62"/>
        <v>0</v>
      </c>
      <c r="N78" s="43"/>
      <c r="O78" s="49">
        <f t="shared" si="63"/>
        <v>0</v>
      </c>
      <c r="P78" s="43"/>
      <c r="Q78" s="49">
        <f t="shared" si="63"/>
        <v>0</v>
      </c>
      <c r="R78" s="43"/>
      <c r="S78" s="49">
        <f t="shared" si="64"/>
        <v>0</v>
      </c>
      <c r="T78" s="43"/>
      <c r="U78" s="49">
        <f t="shared" si="64"/>
        <v>0</v>
      </c>
      <c r="V78" s="43"/>
      <c r="W78" s="49">
        <f t="shared" si="72"/>
        <v>0</v>
      </c>
      <c r="X78" s="43"/>
      <c r="Y78" s="49">
        <f t="shared" si="72"/>
        <v>0</v>
      </c>
      <c r="Z78" s="43"/>
      <c r="AA78" s="49">
        <f t="shared" si="66"/>
        <v>0</v>
      </c>
      <c r="AB78" s="43"/>
      <c r="AC78" s="49">
        <f t="shared" si="67"/>
        <v>0</v>
      </c>
      <c r="AD78" s="43"/>
      <c r="AE78" s="49">
        <f t="shared" si="68"/>
        <v>0</v>
      </c>
      <c r="AF78" s="43"/>
      <c r="AG78" s="49">
        <f t="shared" si="69"/>
        <v>0</v>
      </c>
    </row>
    <row r="79" spans="1:33" ht="15" hidden="1" customHeight="1" x14ac:dyDescent="0.25">
      <c r="A79" s="15"/>
      <c r="B79" s="568"/>
      <c r="C79" s="569"/>
      <c r="D79" s="569"/>
      <c r="E79" s="570"/>
      <c r="F79" s="75"/>
      <c r="G79" s="44"/>
      <c r="H79" s="46"/>
      <c r="I79" s="189"/>
      <c r="J79" s="48"/>
      <c r="K79" s="49">
        <f t="shared" si="71"/>
        <v>0</v>
      </c>
      <c r="L79" s="50"/>
      <c r="M79" s="49">
        <f t="shared" si="62"/>
        <v>0</v>
      </c>
      <c r="N79" s="43"/>
      <c r="O79" s="49">
        <f t="shared" si="63"/>
        <v>0</v>
      </c>
      <c r="P79" s="43"/>
      <c r="Q79" s="49">
        <f t="shared" si="63"/>
        <v>0</v>
      </c>
      <c r="R79" s="43"/>
      <c r="S79" s="49">
        <f t="shared" si="64"/>
        <v>0</v>
      </c>
      <c r="T79" s="43"/>
      <c r="U79" s="49">
        <f t="shared" si="64"/>
        <v>0</v>
      </c>
      <c r="V79" s="43"/>
      <c r="W79" s="49">
        <f t="shared" si="72"/>
        <v>0</v>
      </c>
      <c r="X79" s="43"/>
      <c r="Y79" s="49">
        <f t="shared" si="72"/>
        <v>0</v>
      </c>
      <c r="Z79" s="43"/>
      <c r="AA79" s="49">
        <f t="shared" si="66"/>
        <v>0</v>
      </c>
      <c r="AB79" s="43"/>
      <c r="AC79" s="49">
        <f t="shared" si="67"/>
        <v>0</v>
      </c>
      <c r="AD79" s="43"/>
      <c r="AE79" s="49">
        <f t="shared" si="68"/>
        <v>0</v>
      </c>
      <c r="AF79" s="43"/>
      <c r="AG79" s="49">
        <f t="shared" si="69"/>
        <v>0</v>
      </c>
    </row>
    <row r="80" spans="1:33" s="76" customFormat="1" x14ac:dyDescent="0.25">
      <c r="A80" s="22"/>
      <c r="B80" s="591" t="s">
        <v>64</v>
      </c>
      <c r="C80" s="592"/>
      <c r="D80" s="592"/>
      <c r="E80" s="592"/>
      <c r="F80" s="58"/>
      <c r="G80" s="59"/>
      <c r="H80" s="60"/>
      <c r="I80" s="61">
        <f>+I45+I65</f>
        <v>137004196</v>
      </c>
      <c r="J80" s="60"/>
      <c r="K80" s="62">
        <f>+K45+K65</f>
        <v>0</v>
      </c>
      <c r="L80" s="60"/>
      <c r="M80" s="62">
        <f>+M45+M65</f>
        <v>0</v>
      </c>
      <c r="N80" s="60"/>
      <c r="O80" s="62">
        <f>+O45+O65</f>
        <v>0</v>
      </c>
      <c r="P80" s="60"/>
      <c r="Q80" s="62">
        <f>+Q45+Q65</f>
        <v>0</v>
      </c>
      <c r="R80" s="60"/>
      <c r="S80" s="62">
        <f>+S45+S65</f>
        <v>0</v>
      </c>
      <c r="T80" s="60"/>
      <c r="U80" s="62">
        <f>+U45+U65</f>
        <v>0</v>
      </c>
      <c r="V80" s="60"/>
      <c r="W80" s="62">
        <f>+W45+W65</f>
        <v>0</v>
      </c>
      <c r="X80" s="60"/>
      <c r="Y80" s="62">
        <f>+Y45+Y65</f>
        <v>0</v>
      </c>
      <c r="Z80" s="60"/>
      <c r="AA80" s="62">
        <f>+AA45+AA65</f>
        <v>0</v>
      </c>
      <c r="AB80" s="60"/>
      <c r="AC80" s="62">
        <f>+AC45+AC65</f>
        <v>0</v>
      </c>
      <c r="AD80" s="60"/>
      <c r="AE80" s="62">
        <f>+AE45+AE65</f>
        <v>0</v>
      </c>
      <c r="AF80" s="60"/>
      <c r="AG80" s="62">
        <f>+AG45+AG65</f>
        <v>0</v>
      </c>
    </row>
    <row r="81" spans="1:34" x14ac:dyDescent="0.25">
      <c r="A81" s="15"/>
      <c r="B81" s="15"/>
      <c r="C81" s="15"/>
      <c r="D81" s="15"/>
      <c r="E81" s="15"/>
      <c r="F81" s="15"/>
      <c r="G81" s="23"/>
      <c r="H81" s="15"/>
      <c r="I81" s="182"/>
      <c r="J81" s="15"/>
      <c r="K81" s="15"/>
      <c r="L81" s="15"/>
      <c r="M81" s="15"/>
      <c r="N81" s="15"/>
      <c r="O81" s="15"/>
      <c r="P81" s="15"/>
      <c r="Q81" s="15"/>
      <c r="R81" s="15"/>
      <c r="S81" s="15"/>
      <c r="T81" s="15"/>
      <c r="U81" s="15"/>
      <c r="V81" s="15"/>
      <c r="W81" s="15"/>
      <c r="X81" s="15"/>
      <c r="Y81" s="15"/>
      <c r="Z81" s="15"/>
      <c r="AA81" s="15"/>
      <c r="AB81" s="15"/>
      <c r="AC81" s="15"/>
      <c r="AD81" s="15"/>
      <c r="AE81" s="15"/>
      <c r="AF81" s="15"/>
      <c r="AG81" s="15"/>
    </row>
    <row r="82" spans="1:34" x14ac:dyDescent="0.25">
      <c r="A82" s="15"/>
      <c r="B82" s="15"/>
      <c r="C82" s="15"/>
      <c r="D82" s="15"/>
      <c r="E82" s="15"/>
      <c r="F82" s="15"/>
      <c r="G82" s="23"/>
      <c r="H82" s="15"/>
      <c r="I82" s="182"/>
      <c r="J82" s="15"/>
      <c r="K82" s="15"/>
      <c r="L82" s="15"/>
      <c r="M82" s="15"/>
      <c r="N82" s="15"/>
      <c r="O82" s="15"/>
      <c r="P82" s="15"/>
      <c r="Q82" s="15"/>
      <c r="R82" s="15"/>
      <c r="S82" s="15"/>
      <c r="T82" s="15"/>
      <c r="U82" s="15"/>
      <c r="V82" s="15"/>
      <c r="W82" s="15"/>
      <c r="X82" s="15"/>
      <c r="Y82" s="15"/>
      <c r="Z82" s="15"/>
      <c r="AA82" s="15"/>
      <c r="AB82" s="15"/>
      <c r="AC82" s="15"/>
      <c r="AD82" s="15"/>
      <c r="AE82" s="15"/>
      <c r="AF82" s="15"/>
      <c r="AG82" s="15"/>
    </row>
    <row r="83" spans="1:34" ht="15" customHeight="1" x14ac:dyDescent="0.25">
      <c r="A83" s="15"/>
      <c r="B83" s="552" t="s">
        <v>65</v>
      </c>
      <c r="C83" s="553"/>
      <c r="D83" s="553"/>
      <c r="E83" s="554"/>
      <c r="F83" s="579" t="s">
        <v>22</v>
      </c>
      <c r="G83" s="581" t="s">
        <v>23</v>
      </c>
      <c r="H83" s="549" t="s">
        <v>24</v>
      </c>
      <c r="I83" s="550"/>
      <c r="J83" s="549" t="s">
        <v>25</v>
      </c>
      <c r="K83" s="550"/>
      <c r="L83" s="549" t="s">
        <v>26</v>
      </c>
      <c r="M83" s="550"/>
      <c r="N83" s="549" t="s">
        <v>27</v>
      </c>
      <c r="O83" s="550"/>
      <c r="P83" s="549" t="s">
        <v>28</v>
      </c>
      <c r="Q83" s="550"/>
      <c r="R83" s="549" t="s">
        <v>29</v>
      </c>
      <c r="S83" s="550"/>
      <c r="T83" s="549" t="s">
        <v>30</v>
      </c>
      <c r="U83" s="550"/>
      <c r="V83" s="549" t="s">
        <v>31</v>
      </c>
      <c r="W83" s="550"/>
      <c r="X83" s="549" t="s">
        <v>32</v>
      </c>
      <c r="Y83" s="550"/>
      <c r="Z83" s="549" t="s">
        <v>33</v>
      </c>
      <c r="AA83" s="550"/>
      <c r="AB83" s="549" t="s">
        <v>34</v>
      </c>
      <c r="AC83" s="550"/>
      <c r="AD83" s="549" t="s">
        <v>35</v>
      </c>
      <c r="AE83" s="550"/>
      <c r="AF83" s="549" t="s">
        <v>36</v>
      </c>
      <c r="AG83" s="550"/>
    </row>
    <row r="84" spans="1:34" x14ac:dyDescent="0.25">
      <c r="A84" s="15"/>
      <c r="B84" s="576"/>
      <c r="C84" s="577"/>
      <c r="D84" s="577"/>
      <c r="E84" s="578"/>
      <c r="F84" s="580"/>
      <c r="G84" s="582"/>
      <c r="H84" s="37" t="s">
        <v>37</v>
      </c>
      <c r="I84" s="187" t="s">
        <v>38</v>
      </c>
      <c r="J84" s="37" t="s">
        <v>37</v>
      </c>
      <c r="K84" s="37" t="s">
        <v>38</v>
      </c>
      <c r="L84" s="37" t="s">
        <v>37</v>
      </c>
      <c r="M84" s="37" t="s">
        <v>38</v>
      </c>
      <c r="N84" s="37" t="s">
        <v>37</v>
      </c>
      <c r="O84" s="37" t="s">
        <v>38</v>
      </c>
      <c r="P84" s="37" t="s">
        <v>37</v>
      </c>
      <c r="Q84" s="37" t="s">
        <v>38</v>
      </c>
      <c r="R84" s="37" t="s">
        <v>37</v>
      </c>
      <c r="S84" s="37" t="s">
        <v>38</v>
      </c>
      <c r="T84" s="37" t="s">
        <v>37</v>
      </c>
      <c r="U84" s="37" t="s">
        <v>38</v>
      </c>
      <c r="V84" s="37" t="s">
        <v>37</v>
      </c>
      <c r="W84" s="37" t="s">
        <v>38</v>
      </c>
      <c r="X84" s="37" t="s">
        <v>37</v>
      </c>
      <c r="Y84" s="37" t="s">
        <v>38</v>
      </c>
      <c r="Z84" s="37" t="s">
        <v>37</v>
      </c>
      <c r="AA84" s="37" t="s">
        <v>38</v>
      </c>
      <c r="AB84" s="37" t="s">
        <v>37</v>
      </c>
      <c r="AC84" s="37" t="s">
        <v>38</v>
      </c>
      <c r="AD84" s="37" t="s">
        <v>37</v>
      </c>
      <c r="AE84" s="37" t="s">
        <v>38</v>
      </c>
      <c r="AF84" s="37" t="s">
        <v>37</v>
      </c>
      <c r="AG84" s="37" t="s">
        <v>38</v>
      </c>
    </row>
    <row r="85" spans="1:34" x14ac:dyDescent="0.25">
      <c r="A85" s="15"/>
      <c r="B85" s="77" t="s">
        <v>66</v>
      </c>
      <c r="C85" s="78"/>
      <c r="D85" s="78"/>
      <c r="E85" s="78"/>
      <c r="F85" s="78"/>
      <c r="G85" s="79"/>
      <c r="H85" s="80"/>
      <c r="I85" s="191">
        <f>+SUM(I86:I88)</f>
        <v>4762780</v>
      </c>
      <c r="J85" s="80"/>
      <c r="K85" s="40">
        <f>+SUM(K86:K88)</f>
        <v>0</v>
      </c>
      <c r="L85" s="80"/>
      <c r="M85" s="40">
        <f>+SUM(M86:M88)</f>
        <v>0</v>
      </c>
      <c r="N85" s="80"/>
      <c r="O85" s="40">
        <f>+SUM(O86:O88)</f>
        <v>0</v>
      </c>
      <c r="P85" s="80"/>
      <c r="Q85" s="40">
        <f>+SUM(Q86:Q88)</f>
        <v>0</v>
      </c>
      <c r="R85" s="80"/>
      <c r="S85" s="40">
        <f>+SUM(S86:S88)</f>
        <v>0</v>
      </c>
      <c r="T85" s="80"/>
      <c r="U85" s="40">
        <f>+SUM(U86:U88)</f>
        <v>0</v>
      </c>
      <c r="V85" s="80"/>
      <c r="W85" s="40">
        <f>+SUM(W86:W88)</f>
        <v>0</v>
      </c>
      <c r="X85" s="80"/>
      <c r="Y85" s="40">
        <f>+SUM(Y86:Y88)</f>
        <v>0</v>
      </c>
      <c r="Z85" s="80"/>
      <c r="AA85" s="40">
        <f>+SUM(AA86:AA88)</f>
        <v>0</v>
      </c>
      <c r="AB85" s="80"/>
      <c r="AC85" s="40">
        <f>+SUM(AC86:AC88)</f>
        <v>0</v>
      </c>
      <c r="AD85" s="80"/>
      <c r="AE85" s="40">
        <f>+SUM(AE86:AE88)</f>
        <v>0</v>
      </c>
      <c r="AF85" s="80"/>
      <c r="AG85" s="40">
        <f>+SUM(AG86:AG88)</f>
        <v>0</v>
      </c>
      <c r="AH85" s="42">
        <f>SUM(I85:AG85)</f>
        <v>4762780</v>
      </c>
    </row>
    <row r="86" spans="1:34" ht="18" customHeight="1" x14ac:dyDescent="0.25">
      <c r="A86" s="15"/>
      <c r="B86" s="595" t="s">
        <v>67</v>
      </c>
      <c r="C86" s="596"/>
      <c r="D86" s="596"/>
      <c r="E86" s="597"/>
      <c r="F86" s="43" t="s">
        <v>41</v>
      </c>
      <c r="G86" s="44">
        <f t="shared" ref="G86:G87" si="73">+ROUND((43297.9857738095),0)</f>
        <v>43298</v>
      </c>
      <c r="H86" s="63">
        <v>55</v>
      </c>
      <c r="I86" s="57">
        <f>+H86*G86</f>
        <v>2381390</v>
      </c>
      <c r="J86" s="48"/>
      <c r="K86" s="49">
        <f>+$G86*J86</f>
        <v>0</v>
      </c>
      <c r="L86" s="48">
        <f>+J86</f>
        <v>0</v>
      </c>
      <c r="M86" s="49">
        <f>+$G86*L86</f>
        <v>0</v>
      </c>
      <c r="N86" s="48">
        <f>L86</f>
        <v>0</v>
      </c>
      <c r="O86" s="49">
        <f>+$G86*N86</f>
        <v>0</v>
      </c>
      <c r="P86" s="48">
        <f>N86</f>
        <v>0</v>
      </c>
      <c r="Q86" s="49">
        <f>+$G86*P86</f>
        <v>0</v>
      </c>
      <c r="R86" s="48">
        <f>P86</f>
        <v>0</v>
      </c>
      <c r="S86" s="49">
        <f>+$G86*R86</f>
        <v>0</v>
      </c>
      <c r="T86" s="48">
        <f>R86</f>
        <v>0</v>
      </c>
      <c r="U86" s="49">
        <f>+$G86*T86</f>
        <v>0</v>
      </c>
      <c r="V86" s="48">
        <f>T86</f>
        <v>0</v>
      </c>
      <c r="W86" s="49">
        <f>+$G86*V86</f>
        <v>0</v>
      </c>
      <c r="X86" s="48">
        <f>V86</f>
        <v>0</v>
      </c>
      <c r="Y86" s="49">
        <f>+$G86*X86</f>
        <v>0</v>
      </c>
      <c r="Z86" s="48">
        <f>X86</f>
        <v>0</v>
      </c>
      <c r="AA86" s="49">
        <f>+$G86*Z86</f>
        <v>0</v>
      </c>
      <c r="AB86" s="48">
        <f>Z86</f>
        <v>0</v>
      </c>
      <c r="AC86" s="49">
        <f>+$G86*AB86</f>
        <v>0</v>
      </c>
      <c r="AD86" s="50">
        <f>AB86</f>
        <v>0</v>
      </c>
      <c r="AE86" s="49">
        <f>+$G86*AD86</f>
        <v>0</v>
      </c>
      <c r="AF86" s="50">
        <f>AD86</f>
        <v>0</v>
      </c>
      <c r="AG86" s="49">
        <f>+$G86*AF86</f>
        <v>0</v>
      </c>
    </row>
    <row r="87" spans="1:34" ht="18" customHeight="1" x14ac:dyDescent="0.25">
      <c r="A87" s="15"/>
      <c r="B87" s="595" t="s">
        <v>108</v>
      </c>
      <c r="C87" s="596"/>
      <c r="D87" s="596"/>
      <c r="E87" s="597"/>
      <c r="F87" s="43" t="s">
        <v>41</v>
      </c>
      <c r="G87" s="44">
        <f t="shared" si="73"/>
        <v>43298</v>
      </c>
      <c r="H87" s="63">
        <v>55</v>
      </c>
      <c r="I87" s="57">
        <f t="shared" ref="I87" si="74">+H87*G87</f>
        <v>2381390</v>
      </c>
      <c r="J87" s="48"/>
      <c r="K87" s="49">
        <f>+$G87*J87</f>
        <v>0</v>
      </c>
      <c r="L87" s="48">
        <f>+J87</f>
        <v>0</v>
      </c>
      <c r="M87" s="49">
        <f>+$G87*L87</f>
        <v>0</v>
      </c>
      <c r="N87" s="48">
        <f>L87</f>
        <v>0</v>
      </c>
      <c r="O87" s="49">
        <f>+$G87*N87</f>
        <v>0</v>
      </c>
      <c r="P87" s="48">
        <f>N87</f>
        <v>0</v>
      </c>
      <c r="Q87" s="49">
        <f>+$G87*P87</f>
        <v>0</v>
      </c>
      <c r="R87" s="48">
        <f>P87</f>
        <v>0</v>
      </c>
      <c r="S87" s="49">
        <f>+$G87*R87</f>
        <v>0</v>
      </c>
      <c r="T87" s="48">
        <f>R87</f>
        <v>0</v>
      </c>
      <c r="U87" s="49">
        <f>+$G87*T87</f>
        <v>0</v>
      </c>
      <c r="V87" s="48">
        <f>T87</f>
        <v>0</v>
      </c>
      <c r="W87" s="49">
        <f>+$G87*V87</f>
        <v>0</v>
      </c>
      <c r="X87" s="48">
        <f>V87</f>
        <v>0</v>
      </c>
      <c r="Y87" s="49">
        <f>+$G87*X87</f>
        <v>0</v>
      </c>
      <c r="Z87" s="48">
        <f>X87</f>
        <v>0</v>
      </c>
      <c r="AA87" s="49">
        <f>+$G87*Z87</f>
        <v>0</v>
      </c>
      <c r="AB87" s="48">
        <f>Z87</f>
        <v>0</v>
      </c>
      <c r="AC87" s="49">
        <f>+$G87*AB87</f>
        <v>0</v>
      </c>
      <c r="AD87" s="50">
        <f>AB87</f>
        <v>0</v>
      </c>
      <c r="AE87" s="49">
        <f>+$G87*AD87</f>
        <v>0</v>
      </c>
      <c r="AF87" s="50">
        <f>AD87</f>
        <v>0</v>
      </c>
      <c r="AG87" s="49">
        <f>+$G87*AF87</f>
        <v>0</v>
      </c>
    </row>
    <row r="88" spans="1:34" ht="18" customHeight="1" x14ac:dyDescent="0.25">
      <c r="A88" s="15"/>
      <c r="H88" s="63"/>
      <c r="I88" s="57">
        <f>+H88*G147</f>
        <v>0</v>
      </c>
      <c r="J88" s="48"/>
      <c r="K88" s="49"/>
      <c r="L88" s="50"/>
      <c r="M88" s="49"/>
      <c r="N88" s="50"/>
      <c r="O88" s="49"/>
      <c r="P88" s="50"/>
      <c r="Q88" s="49"/>
      <c r="R88" s="50"/>
      <c r="S88" s="49"/>
      <c r="T88" s="50"/>
      <c r="U88" s="49"/>
      <c r="V88" s="50"/>
      <c r="W88" s="49"/>
      <c r="X88" s="50"/>
      <c r="Y88" s="49"/>
      <c r="Z88" s="50"/>
      <c r="AA88" s="49"/>
      <c r="AB88" s="50"/>
      <c r="AC88" s="49"/>
      <c r="AD88" s="50"/>
      <c r="AE88" s="49"/>
      <c r="AF88" s="50"/>
      <c r="AG88" s="49"/>
    </row>
    <row r="89" spans="1:34" ht="18" customHeight="1" x14ac:dyDescent="0.25">
      <c r="A89" s="15"/>
      <c r="B89" s="70" t="s">
        <v>68</v>
      </c>
      <c r="C89" s="71"/>
      <c r="D89" s="71"/>
      <c r="E89" s="71"/>
      <c r="F89" s="71"/>
      <c r="G89" s="72"/>
      <c r="H89" s="63"/>
      <c r="I89" s="191">
        <f>+SUM(I90:I96)</f>
        <v>18887500</v>
      </c>
      <c r="J89" s="39"/>
      <c r="K89" s="40"/>
      <c r="L89" s="39"/>
      <c r="M89" s="40">
        <f>+SUM(M90:M96)</f>
        <v>0</v>
      </c>
      <c r="N89" s="39"/>
      <c r="O89" s="40">
        <f>+SUM(O90:O96)</f>
        <v>0</v>
      </c>
      <c r="P89" s="39"/>
      <c r="Q89" s="40">
        <f>+SUM(Q90:Q96)</f>
        <v>0</v>
      </c>
      <c r="R89" s="39"/>
      <c r="S89" s="40">
        <f>+SUM(S90:S96)</f>
        <v>0</v>
      </c>
      <c r="T89" s="39"/>
      <c r="U89" s="40">
        <f>+SUM(U90:U96)</f>
        <v>0</v>
      </c>
      <c r="V89" s="39"/>
      <c r="W89" s="40">
        <f>+SUM(W90:W96)</f>
        <v>0</v>
      </c>
      <c r="X89" s="39"/>
      <c r="Y89" s="40">
        <f>+SUM(Y90:Y96)</f>
        <v>0</v>
      </c>
      <c r="Z89" s="39"/>
      <c r="AA89" s="40">
        <f>+SUM(AA90:AA96)</f>
        <v>0</v>
      </c>
      <c r="AB89" s="39"/>
      <c r="AC89" s="40">
        <f>+SUM(AC90:AC96)</f>
        <v>0</v>
      </c>
      <c r="AD89" s="39"/>
      <c r="AE89" s="40">
        <f>+SUM(AE90:AE96)</f>
        <v>0</v>
      </c>
      <c r="AF89" s="39"/>
      <c r="AG89" s="40">
        <f>+SUM(AG90:AG96)</f>
        <v>0</v>
      </c>
    </row>
    <row r="90" spans="1:34" ht="18" customHeight="1" x14ac:dyDescent="0.25">
      <c r="A90" s="15"/>
      <c r="B90" s="568" t="str">
        <f>+[7]Hoja1!$A$15</f>
        <v xml:space="preserve">CENTRIFUGA </v>
      </c>
      <c r="C90" s="569"/>
      <c r="D90" s="569"/>
      <c r="E90" s="570"/>
      <c r="F90" s="336" t="s">
        <v>110</v>
      </c>
      <c r="G90" s="73">
        <f>+'Análisis cotizaciones VF'!K15</f>
        <v>1875000</v>
      </c>
      <c r="H90" s="63">
        <v>5</v>
      </c>
      <c r="I90" s="350">
        <f>+H90*G90</f>
        <v>9375000</v>
      </c>
      <c r="J90" s="48"/>
      <c r="K90" s="49"/>
      <c r="L90" s="48"/>
      <c r="M90" s="49">
        <f>+$G90*L90</f>
        <v>0</v>
      </c>
      <c r="N90" s="48">
        <f>L90</f>
        <v>0</v>
      </c>
      <c r="O90" s="49">
        <f>+$G90*N90</f>
        <v>0</v>
      </c>
      <c r="P90" s="48">
        <f>N90</f>
        <v>0</v>
      </c>
      <c r="Q90" s="49">
        <f>+$G90*P90</f>
        <v>0</v>
      </c>
      <c r="R90" s="48">
        <f>P90</f>
        <v>0</v>
      </c>
      <c r="S90" s="49">
        <f>+$G90*R90</f>
        <v>0</v>
      </c>
      <c r="T90" s="48">
        <f>R90</f>
        <v>0</v>
      </c>
      <c r="U90" s="49">
        <f>+$G90*T90</f>
        <v>0</v>
      </c>
      <c r="V90" s="48">
        <f>T90</f>
        <v>0</v>
      </c>
      <c r="W90" s="49">
        <f>+$G90*V90</f>
        <v>0</v>
      </c>
      <c r="X90" s="48">
        <f>V90</f>
        <v>0</v>
      </c>
      <c r="Y90" s="49">
        <f>+$G90*X90</f>
        <v>0</v>
      </c>
      <c r="Z90" s="48">
        <f>X90</f>
        <v>0</v>
      </c>
      <c r="AA90" s="49">
        <f>+$G90*Z90</f>
        <v>0</v>
      </c>
      <c r="AB90" s="48">
        <f>Z90</f>
        <v>0</v>
      </c>
      <c r="AC90" s="49">
        <f>+$G90*AB90</f>
        <v>0</v>
      </c>
      <c r="AD90" s="48">
        <f>AB90</f>
        <v>0</v>
      </c>
      <c r="AE90" s="49">
        <f>+$G90*AD90</f>
        <v>0</v>
      </c>
      <c r="AF90" s="50">
        <f>AD90</f>
        <v>0</v>
      </c>
      <c r="AG90" s="49">
        <f>+$G90*AF90</f>
        <v>0</v>
      </c>
    </row>
    <row r="91" spans="1:34" ht="18" customHeight="1" x14ac:dyDescent="0.25">
      <c r="A91" s="15"/>
      <c r="B91" s="568" t="str">
        <f>+[7]Hoja1!$A$16</f>
        <v>TOLDILLO</v>
      </c>
      <c r="C91" s="569"/>
      <c r="D91" s="569"/>
      <c r="E91" s="570"/>
      <c r="F91" s="336" t="s">
        <v>110</v>
      </c>
      <c r="G91" s="73">
        <f>+'Análisis cotizaciones VF'!K16</f>
        <v>325000</v>
      </c>
      <c r="H91" s="63">
        <v>5</v>
      </c>
      <c r="I91" s="350">
        <f t="shared" ref="I91:I94" si="75">+H91*G91</f>
        <v>1625000</v>
      </c>
      <c r="J91" s="48"/>
      <c r="K91" s="49"/>
      <c r="L91" s="48"/>
      <c r="M91" s="49">
        <f>+$G91*L91</f>
        <v>0</v>
      </c>
      <c r="N91" s="48">
        <f>L91</f>
        <v>0</v>
      </c>
      <c r="O91" s="49">
        <f>+$G91*N91</f>
        <v>0</v>
      </c>
      <c r="P91" s="48">
        <f>N91</f>
        <v>0</v>
      </c>
      <c r="Q91" s="49">
        <f>+$G91*P91</f>
        <v>0</v>
      </c>
      <c r="R91" s="48">
        <f>P91</f>
        <v>0</v>
      </c>
      <c r="S91" s="49">
        <f>+$G91*R91</f>
        <v>0</v>
      </c>
      <c r="T91" s="48">
        <f>R91</f>
        <v>0</v>
      </c>
      <c r="U91" s="49">
        <f>+$G91*T91</f>
        <v>0</v>
      </c>
      <c r="V91" s="48">
        <f>T91</f>
        <v>0</v>
      </c>
      <c r="W91" s="49">
        <f>+$G91*V91</f>
        <v>0</v>
      </c>
      <c r="X91" s="48">
        <f>V91</f>
        <v>0</v>
      </c>
      <c r="Y91" s="49">
        <f>+$G91*X91</f>
        <v>0</v>
      </c>
      <c r="Z91" s="48">
        <f>X91</f>
        <v>0</v>
      </c>
      <c r="AA91" s="49">
        <f>+$G91*Z91</f>
        <v>0</v>
      </c>
      <c r="AB91" s="48">
        <f>Z91</f>
        <v>0</v>
      </c>
      <c r="AC91" s="49">
        <f>+$G91*AB91</f>
        <v>0</v>
      </c>
      <c r="AD91" s="48">
        <f>AB91</f>
        <v>0</v>
      </c>
      <c r="AE91" s="49">
        <f>+$G91*AD91</f>
        <v>0</v>
      </c>
      <c r="AF91" s="50">
        <f>AD91</f>
        <v>0</v>
      </c>
      <c r="AG91" s="49">
        <f>+$G91*AF91</f>
        <v>0</v>
      </c>
    </row>
    <row r="92" spans="1:34" ht="18" customHeight="1" x14ac:dyDescent="0.25">
      <c r="A92" s="15"/>
      <c r="B92" s="568" t="str">
        <f>+[7]Hoja1!$A$21</f>
        <v>CUCHILLO DESOPERCULADOR</v>
      </c>
      <c r="C92" s="569"/>
      <c r="D92" s="569"/>
      <c r="E92" s="570"/>
      <c r="F92" s="336" t="s">
        <v>110</v>
      </c>
      <c r="G92" s="73">
        <f>+'Análisis cotizaciones VF'!K21</f>
        <v>57500</v>
      </c>
      <c r="H92" s="63">
        <v>5</v>
      </c>
      <c r="I92" s="350">
        <f t="shared" si="75"/>
        <v>287500</v>
      </c>
      <c r="J92" s="48"/>
      <c r="K92" s="49"/>
      <c r="L92" s="48"/>
      <c r="M92" s="49">
        <f>+$G$92*L92</f>
        <v>0</v>
      </c>
      <c r="N92" s="48"/>
      <c r="O92" s="49">
        <f>+$G$92*N92</f>
        <v>0</v>
      </c>
      <c r="P92" s="48"/>
      <c r="Q92" s="49">
        <f>+$G$92*P92</f>
        <v>0</v>
      </c>
      <c r="R92" s="48"/>
      <c r="S92" s="49">
        <f>+$G$92*R92</f>
        <v>0</v>
      </c>
      <c r="T92" s="48"/>
      <c r="U92" s="49">
        <f>+$G$92*T92</f>
        <v>0</v>
      </c>
      <c r="V92" s="48"/>
      <c r="W92" s="49">
        <f>+$G$92*V92</f>
        <v>0</v>
      </c>
      <c r="X92" s="48"/>
      <c r="Y92" s="49">
        <f>+$G$92*X92</f>
        <v>0</v>
      </c>
      <c r="Z92" s="48"/>
      <c r="AA92" s="49">
        <f>+$G$92*Z92</f>
        <v>0</v>
      </c>
      <c r="AB92" s="48"/>
      <c r="AC92" s="49">
        <f>+$G$92*AB92</f>
        <v>0</v>
      </c>
      <c r="AD92" s="48"/>
      <c r="AE92" s="49">
        <f>+$G$92*AD92</f>
        <v>0</v>
      </c>
      <c r="AF92" s="48"/>
      <c r="AG92" s="49">
        <f>+$G$92*AF92</f>
        <v>0</v>
      </c>
    </row>
    <row r="93" spans="1:34" ht="18" customHeight="1" x14ac:dyDescent="0.25">
      <c r="A93" s="15"/>
      <c r="B93" s="568" t="str">
        <f>+[7]Hoja1!$A$23</f>
        <v>FILTRO DOBLE</v>
      </c>
      <c r="C93" s="569"/>
      <c r="D93" s="569"/>
      <c r="E93" s="570"/>
      <c r="F93" s="336" t="s">
        <v>110</v>
      </c>
      <c r="G93" s="73">
        <f>+'Análisis cotizaciones VF'!K23</f>
        <v>150000</v>
      </c>
      <c r="H93" s="63">
        <v>5</v>
      </c>
      <c r="I93" s="350">
        <f t="shared" si="75"/>
        <v>750000</v>
      </c>
      <c r="J93" s="48"/>
      <c r="K93" s="49"/>
      <c r="L93" s="48"/>
      <c r="M93" s="49">
        <f>+$G$93*L93</f>
        <v>0</v>
      </c>
      <c r="N93" s="48"/>
      <c r="O93" s="49">
        <f>+$G$93*N93</f>
        <v>0</v>
      </c>
      <c r="P93" s="48"/>
      <c r="Q93" s="49">
        <f>+$G$93*P93</f>
        <v>0</v>
      </c>
      <c r="R93" s="48"/>
      <c r="S93" s="49">
        <f>+$G$93*R93</f>
        <v>0</v>
      </c>
      <c r="T93" s="48"/>
      <c r="U93" s="49">
        <f>+$G$93*T93</f>
        <v>0</v>
      </c>
      <c r="V93" s="48"/>
      <c r="W93" s="49">
        <f>+$G$93*V93</f>
        <v>0</v>
      </c>
      <c r="X93" s="48"/>
      <c r="Y93" s="49">
        <f>+$G$93*X93</f>
        <v>0</v>
      </c>
      <c r="Z93" s="48"/>
      <c r="AA93" s="49">
        <f>+$G$93*Z93</f>
        <v>0</v>
      </c>
      <c r="AB93" s="48"/>
      <c r="AC93" s="49">
        <f>+$G$93*AB93</f>
        <v>0</v>
      </c>
      <c r="AD93" s="48"/>
      <c r="AE93" s="49">
        <f>+$G$93*AD93</f>
        <v>0</v>
      </c>
      <c r="AF93" s="48"/>
      <c r="AG93" s="49">
        <f>+$G$93*AF93</f>
        <v>0</v>
      </c>
    </row>
    <row r="94" spans="1:34" ht="18" customHeight="1" x14ac:dyDescent="0.25">
      <c r="A94" s="15"/>
      <c r="B94" s="568" t="str">
        <f>+[7]Hoja1!$A$24</f>
        <v xml:space="preserve">BANDEJA </v>
      </c>
      <c r="C94" s="569"/>
      <c r="D94" s="569"/>
      <c r="E94" s="570"/>
      <c r="F94" s="336" t="s">
        <v>110</v>
      </c>
      <c r="G94" s="73">
        <f>+'Análisis cotizaciones VF'!K24</f>
        <v>685000</v>
      </c>
      <c r="H94" s="63">
        <v>10</v>
      </c>
      <c r="I94" s="350">
        <f t="shared" si="75"/>
        <v>6850000</v>
      </c>
      <c r="J94" s="48"/>
      <c r="K94" s="49"/>
      <c r="L94" s="48"/>
      <c r="M94" s="49">
        <f>+$G$94*L94</f>
        <v>0</v>
      </c>
      <c r="N94" s="48"/>
      <c r="O94" s="49">
        <f>+$G$94*N94</f>
        <v>0</v>
      </c>
      <c r="P94" s="48"/>
      <c r="Q94" s="49">
        <f>+$G$94*P94</f>
        <v>0</v>
      </c>
      <c r="R94" s="48"/>
      <c r="S94" s="49">
        <f>+$G$94*R94</f>
        <v>0</v>
      </c>
      <c r="T94" s="48"/>
      <c r="U94" s="49">
        <f>+$G$94*T94</f>
        <v>0</v>
      </c>
      <c r="V94" s="48"/>
      <c r="W94" s="49">
        <f>+$G$94*V94</f>
        <v>0</v>
      </c>
      <c r="X94" s="48"/>
      <c r="Y94" s="49">
        <f>+$G$94*X94</f>
        <v>0</v>
      </c>
      <c r="Z94" s="48"/>
      <c r="AA94" s="49">
        <f>+$G$94*Z94</f>
        <v>0</v>
      </c>
      <c r="AB94" s="48"/>
      <c r="AC94" s="49">
        <f>+$G$94*AB94</f>
        <v>0</v>
      </c>
      <c r="AD94" s="48"/>
      <c r="AE94" s="49">
        <f>+$G$94*AD94</f>
        <v>0</v>
      </c>
      <c r="AF94" s="48"/>
      <c r="AG94" s="49">
        <f>+$G$94*AF94</f>
        <v>0</v>
      </c>
    </row>
    <row r="95" spans="1:34" ht="18" customHeight="1" x14ac:dyDescent="0.25">
      <c r="A95" s="15"/>
      <c r="B95" s="568"/>
      <c r="C95" s="569"/>
      <c r="D95" s="569"/>
      <c r="E95" s="570"/>
      <c r="F95" s="75"/>
      <c r="G95" s="44"/>
      <c r="H95" s="46"/>
      <c r="I95" s="189"/>
      <c r="J95" s="48"/>
      <c r="K95" s="49">
        <f>+$G$95*J95</f>
        <v>0</v>
      </c>
      <c r="L95" s="48"/>
      <c r="M95" s="49">
        <f>+$G$95*L95</f>
        <v>0</v>
      </c>
      <c r="N95" s="48"/>
      <c r="O95" s="49">
        <f>+$G$95*N95</f>
        <v>0</v>
      </c>
      <c r="P95" s="48"/>
      <c r="Q95" s="49">
        <f>+$G$95*P95</f>
        <v>0</v>
      </c>
      <c r="R95" s="48"/>
      <c r="S95" s="49">
        <f>+$G$95*R95</f>
        <v>0</v>
      </c>
      <c r="T95" s="48"/>
      <c r="U95" s="49">
        <f>+$G$95*T95</f>
        <v>0</v>
      </c>
      <c r="V95" s="48"/>
      <c r="W95" s="49">
        <f>+$G$95*V95</f>
        <v>0</v>
      </c>
      <c r="X95" s="48"/>
      <c r="Y95" s="49">
        <f>+$G$95*X95</f>
        <v>0</v>
      </c>
      <c r="Z95" s="48"/>
      <c r="AA95" s="49">
        <f>+$G$95*Z95</f>
        <v>0</v>
      </c>
      <c r="AB95" s="48"/>
      <c r="AC95" s="49">
        <f>+$G$95*AB95</f>
        <v>0</v>
      </c>
      <c r="AD95" s="48"/>
      <c r="AE95" s="49">
        <f>+$G$95*AD95</f>
        <v>0</v>
      </c>
      <c r="AF95" s="43"/>
      <c r="AG95" s="49">
        <f>+$G$95*AF95</f>
        <v>0</v>
      </c>
    </row>
    <row r="96" spans="1:34" x14ac:dyDescent="0.25">
      <c r="A96" s="15"/>
      <c r="B96" s="568"/>
      <c r="C96" s="569"/>
      <c r="D96" s="569"/>
      <c r="E96" s="570"/>
      <c r="F96" s="75"/>
      <c r="G96" s="44"/>
      <c r="H96" s="46"/>
      <c r="I96" s="189"/>
      <c r="J96" s="48"/>
      <c r="K96" s="49">
        <f>+$G$96*J96</f>
        <v>0</v>
      </c>
      <c r="L96" s="48"/>
      <c r="M96" s="49">
        <f>+$G$96*L96</f>
        <v>0</v>
      </c>
      <c r="N96" s="48"/>
      <c r="O96" s="49">
        <f>+$G$96*N96</f>
        <v>0</v>
      </c>
      <c r="P96" s="48"/>
      <c r="Q96" s="49">
        <f>+$G$96*P96</f>
        <v>0</v>
      </c>
      <c r="R96" s="48"/>
      <c r="S96" s="49">
        <f>+$G$96*R96</f>
        <v>0</v>
      </c>
      <c r="T96" s="48"/>
      <c r="U96" s="49">
        <f>+$G$96*T96</f>
        <v>0</v>
      </c>
      <c r="V96" s="48"/>
      <c r="W96" s="49">
        <f>+$G$96*V96</f>
        <v>0</v>
      </c>
      <c r="X96" s="48"/>
      <c r="Y96" s="49">
        <f>+$G$96*X96</f>
        <v>0</v>
      </c>
      <c r="Z96" s="48"/>
      <c r="AA96" s="49">
        <f>+$G$96*Z96</f>
        <v>0</v>
      </c>
      <c r="AB96" s="48"/>
      <c r="AC96" s="49">
        <f>+$G$96*AB96</f>
        <v>0</v>
      </c>
      <c r="AD96" s="48"/>
      <c r="AE96" s="49">
        <f>+$G$96*AD96</f>
        <v>0</v>
      </c>
      <c r="AF96" s="43"/>
      <c r="AG96" s="49">
        <f>+$G$96*AF96</f>
        <v>0</v>
      </c>
    </row>
    <row r="97" spans="1:33" x14ac:dyDescent="0.25">
      <c r="A97" s="15"/>
      <c r="B97" s="593" t="s">
        <v>69</v>
      </c>
      <c r="C97" s="594"/>
      <c r="D97" s="594"/>
      <c r="E97" s="594"/>
      <c r="F97" s="82"/>
      <c r="G97" s="83"/>
      <c r="H97" s="84"/>
      <c r="I97" s="61">
        <f>+I85+I89</f>
        <v>23650280</v>
      </c>
      <c r="J97" s="84"/>
      <c r="K97" s="62">
        <f>+K85+K89</f>
        <v>0</v>
      </c>
      <c r="L97" s="84"/>
      <c r="M97" s="62">
        <f>+M85+M89</f>
        <v>0</v>
      </c>
      <c r="N97" s="84"/>
      <c r="O97" s="62">
        <f>+O85+O89</f>
        <v>0</v>
      </c>
      <c r="P97" s="84"/>
      <c r="Q97" s="62">
        <f>+Q85+Q89</f>
        <v>0</v>
      </c>
      <c r="R97" s="84"/>
      <c r="S97" s="62">
        <f>+S85+S89</f>
        <v>0</v>
      </c>
      <c r="T97" s="84"/>
      <c r="U97" s="62">
        <f>+U85+U89</f>
        <v>0</v>
      </c>
      <c r="V97" s="84"/>
      <c r="W97" s="62">
        <f>+W85+W89</f>
        <v>0</v>
      </c>
      <c r="X97" s="84"/>
      <c r="Y97" s="62">
        <f>+Y85+Y89</f>
        <v>0</v>
      </c>
      <c r="Z97" s="84"/>
      <c r="AA97" s="62">
        <f>+AA85+AA89</f>
        <v>0</v>
      </c>
      <c r="AB97" s="84"/>
      <c r="AC97" s="62">
        <f>+AC85+AC89</f>
        <v>0</v>
      </c>
      <c r="AD97" s="84"/>
      <c r="AE97" s="62">
        <f>+AE85+AE89</f>
        <v>0</v>
      </c>
      <c r="AF97" s="84"/>
      <c r="AG97" s="62">
        <f>+AG85+AG89</f>
        <v>0</v>
      </c>
    </row>
    <row r="98" spans="1:33" x14ac:dyDescent="0.25">
      <c r="A98" s="15"/>
      <c r="B98" s="15"/>
      <c r="C98" s="15"/>
      <c r="D98" s="15"/>
      <c r="E98" s="15"/>
      <c r="F98" s="15"/>
      <c r="G98" s="23"/>
      <c r="H98" s="15"/>
      <c r="I98" s="182"/>
      <c r="J98" s="15"/>
      <c r="K98" s="15"/>
      <c r="L98" s="15"/>
      <c r="M98" s="15"/>
      <c r="N98" s="15"/>
      <c r="O98" s="15"/>
      <c r="P98" s="15"/>
      <c r="Q98" s="15"/>
      <c r="R98" s="15"/>
      <c r="S98" s="15"/>
      <c r="T98" s="15"/>
      <c r="U98" s="15"/>
      <c r="V98" s="15"/>
      <c r="W98" s="15"/>
      <c r="X98" s="15"/>
      <c r="Y98" s="15"/>
      <c r="Z98" s="15"/>
      <c r="AA98" s="15"/>
      <c r="AB98" s="15"/>
      <c r="AC98" s="15"/>
      <c r="AD98" s="15"/>
      <c r="AE98" s="15"/>
      <c r="AF98" s="15"/>
      <c r="AG98" s="15"/>
    </row>
    <row r="99" spans="1:33" x14ac:dyDescent="0.25">
      <c r="A99" s="15"/>
      <c r="B99" s="15"/>
      <c r="C99" s="15"/>
      <c r="D99" s="15"/>
      <c r="E99" s="15"/>
      <c r="F99" s="15"/>
      <c r="G99" s="23"/>
      <c r="H99" s="15"/>
      <c r="I99" s="182"/>
      <c r="J99" s="15"/>
      <c r="K99" s="15"/>
      <c r="L99" s="15"/>
      <c r="M99" s="15"/>
      <c r="N99" s="15"/>
      <c r="O99" s="15"/>
      <c r="P99" s="15"/>
      <c r="Q99" s="15"/>
      <c r="R99" s="15"/>
      <c r="S99" s="15"/>
      <c r="T99" s="15"/>
      <c r="U99" s="15"/>
      <c r="V99" s="15"/>
      <c r="W99" s="15"/>
      <c r="X99" s="15"/>
      <c r="Y99" s="15"/>
      <c r="Z99" s="15"/>
      <c r="AA99" s="15"/>
      <c r="AB99" s="15"/>
      <c r="AC99" s="15"/>
      <c r="AD99" s="15"/>
      <c r="AE99" s="15"/>
      <c r="AF99" s="15"/>
      <c r="AG99" s="15"/>
    </row>
    <row r="100" spans="1:33" ht="15" customHeight="1" x14ac:dyDescent="0.25">
      <c r="A100" s="15"/>
      <c r="B100" s="552" t="s">
        <v>70</v>
      </c>
      <c r="C100" s="553"/>
      <c r="D100" s="553"/>
      <c r="E100" s="554"/>
      <c r="F100" s="579" t="s">
        <v>22</v>
      </c>
      <c r="G100" s="560" t="s">
        <v>23</v>
      </c>
      <c r="H100" s="549" t="s">
        <v>24</v>
      </c>
      <c r="I100" s="550"/>
      <c r="J100" s="549" t="s">
        <v>25</v>
      </c>
      <c r="K100" s="550"/>
      <c r="L100" s="549" t="s">
        <v>26</v>
      </c>
      <c r="M100" s="550"/>
      <c r="N100" s="549" t="s">
        <v>27</v>
      </c>
      <c r="O100" s="550"/>
      <c r="P100" s="549" t="s">
        <v>28</v>
      </c>
      <c r="Q100" s="550"/>
      <c r="R100" s="549" t="s">
        <v>29</v>
      </c>
      <c r="S100" s="550"/>
      <c r="T100" s="549" t="s">
        <v>30</v>
      </c>
      <c r="U100" s="550"/>
      <c r="V100" s="549" t="s">
        <v>31</v>
      </c>
      <c r="W100" s="550"/>
      <c r="X100" s="549" t="s">
        <v>32</v>
      </c>
      <c r="Y100" s="550"/>
      <c r="Z100" s="549" t="s">
        <v>33</v>
      </c>
      <c r="AA100" s="550"/>
      <c r="AB100" s="549" t="s">
        <v>34</v>
      </c>
      <c r="AC100" s="550"/>
      <c r="AD100" s="549" t="s">
        <v>35</v>
      </c>
      <c r="AE100" s="550"/>
      <c r="AF100" s="549" t="s">
        <v>36</v>
      </c>
      <c r="AG100" s="550"/>
    </row>
    <row r="101" spans="1:33" x14ac:dyDescent="0.25">
      <c r="A101" s="15"/>
      <c r="B101" s="576"/>
      <c r="C101" s="577"/>
      <c r="D101" s="577"/>
      <c r="E101" s="578"/>
      <c r="F101" s="580"/>
      <c r="G101" s="598"/>
      <c r="H101" s="37" t="s">
        <v>37</v>
      </c>
      <c r="I101" s="187" t="s">
        <v>38</v>
      </c>
      <c r="J101" s="37" t="s">
        <v>37</v>
      </c>
      <c r="K101" s="37" t="s">
        <v>38</v>
      </c>
      <c r="L101" s="37" t="s">
        <v>37</v>
      </c>
      <c r="M101" s="37" t="s">
        <v>38</v>
      </c>
      <c r="N101" s="37" t="s">
        <v>37</v>
      </c>
      <c r="O101" s="37" t="s">
        <v>38</v>
      </c>
      <c r="P101" s="37" t="s">
        <v>37</v>
      </c>
      <c r="Q101" s="37" t="s">
        <v>38</v>
      </c>
      <c r="R101" s="37" t="s">
        <v>37</v>
      </c>
      <c r="S101" s="37" t="s">
        <v>38</v>
      </c>
      <c r="T101" s="37" t="s">
        <v>37</v>
      </c>
      <c r="U101" s="37" t="s">
        <v>38</v>
      </c>
      <c r="V101" s="37" t="s">
        <v>37</v>
      </c>
      <c r="W101" s="37" t="s">
        <v>38</v>
      </c>
      <c r="X101" s="37" t="s">
        <v>37</v>
      </c>
      <c r="Y101" s="37" t="s">
        <v>38</v>
      </c>
      <c r="Z101" s="37" t="s">
        <v>37</v>
      </c>
      <c r="AA101" s="37" t="s">
        <v>38</v>
      </c>
      <c r="AB101" s="37" t="s">
        <v>37</v>
      </c>
      <c r="AC101" s="37" t="s">
        <v>38</v>
      </c>
      <c r="AD101" s="37" t="s">
        <v>37</v>
      </c>
      <c r="AE101" s="37" t="s">
        <v>38</v>
      </c>
      <c r="AF101" s="37" t="s">
        <v>37</v>
      </c>
      <c r="AG101" s="37" t="s">
        <v>38</v>
      </c>
    </row>
    <row r="102" spans="1:33" ht="21.95" customHeight="1" x14ac:dyDescent="0.25">
      <c r="A102" s="15"/>
      <c r="B102" s="568" t="str">
        <f>+[7]Hoja1!$A$25</f>
        <v>TANQUE DECANTADOR</v>
      </c>
      <c r="C102" s="569"/>
      <c r="D102" s="569"/>
      <c r="E102" s="570"/>
      <c r="F102" s="336" t="s">
        <v>110</v>
      </c>
      <c r="G102" s="44">
        <f>+'Análisis cotizaciones VF'!K25</f>
        <v>1975000</v>
      </c>
      <c r="H102" s="85">
        <v>1</v>
      </c>
      <c r="I102" s="350">
        <f>+ROUND(H102*G102,-3)</f>
        <v>1975000</v>
      </c>
      <c r="J102" s="86"/>
      <c r="K102" s="47"/>
      <c r="L102" s="48"/>
      <c r="M102" s="49"/>
      <c r="N102" s="48"/>
      <c r="O102" s="49"/>
      <c r="P102" s="48"/>
      <c r="Q102" s="49"/>
      <c r="R102" s="48"/>
      <c r="S102" s="49"/>
      <c r="T102" s="48"/>
      <c r="U102" s="49"/>
      <c r="V102" s="48"/>
      <c r="W102" s="49"/>
      <c r="X102" s="48"/>
      <c r="Y102" s="49"/>
      <c r="Z102" s="48"/>
      <c r="AA102" s="49"/>
      <c r="AB102" s="48"/>
      <c r="AC102" s="49"/>
      <c r="AD102" s="50"/>
      <c r="AE102" s="49"/>
      <c r="AF102" s="50"/>
      <c r="AG102" s="49"/>
    </row>
    <row r="103" spans="1:33" ht="21.95" customHeight="1" x14ac:dyDescent="0.25">
      <c r="A103" s="15"/>
      <c r="B103" s="568" t="str">
        <f>+[7]Hoja1!$A$26</f>
        <v>MARCO DE SEGUETA</v>
      </c>
      <c r="C103" s="569"/>
      <c r="D103" s="569"/>
      <c r="E103" s="570"/>
      <c r="F103" s="336" t="s">
        <v>110</v>
      </c>
      <c r="G103" s="44">
        <f>+'Análisis cotizaciones VF'!K26</f>
        <v>29000</v>
      </c>
      <c r="H103" s="85">
        <v>1</v>
      </c>
      <c r="I103" s="350">
        <f>+ROUND(H103*G103,-3)</f>
        <v>29000</v>
      </c>
      <c r="J103" s="86"/>
      <c r="K103" s="47"/>
      <c r="L103" s="48"/>
      <c r="M103" s="49"/>
      <c r="N103" s="48"/>
      <c r="O103" s="49"/>
      <c r="P103" s="48"/>
      <c r="Q103" s="49"/>
      <c r="R103" s="48"/>
      <c r="S103" s="49"/>
      <c r="T103" s="48"/>
      <c r="U103" s="49"/>
      <c r="V103" s="48"/>
      <c r="W103" s="49"/>
      <c r="X103" s="48"/>
      <c r="Y103" s="49"/>
      <c r="Z103" s="48"/>
      <c r="AA103" s="49"/>
      <c r="AB103" s="48"/>
      <c r="AC103" s="49"/>
      <c r="AD103" s="50"/>
      <c r="AE103" s="49"/>
      <c r="AF103" s="50"/>
      <c r="AG103" s="49"/>
    </row>
    <row r="104" spans="1:33" ht="21.95" customHeight="1" x14ac:dyDescent="0.25">
      <c r="A104" s="15"/>
      <c r="B104" s="342" t="str">
        <f>+'[8]Análisis cotizaciones'!$A$29</f>
        <v>CINTA</v>
      </c>
      <c r="C104" s="343"/>
      <c r="D104" s="343"/>
      <c r="E104" s="344"/>
      <c r="F104" s="336" t="s">
        <v>110</v>
      </c>
      <c r="G104" s="44">
        <f>+'Análisis cotizaciones VF'!K29</f>
        <v>5500</v>
      </c>
      <c r="H104" s="85">
        <v>1</v>
      </c>
      <c r="I104" s="350">
        <f>+H104*G104</f>
        <v>5500</v>
      </c>
      <c r="J104" s="86"/>
      <c r="K104" s="47"/>
      <c r="L104" s="48"/>
      <c r="M104" s="49"/>
      <c r="N104" s="48"/>
      <c r="O104" s="49"/>
      <c r="P104" s="48"/>
      <c r="Q104" s="49"/>
      <c r="R104" s="48"/>
      <c r="S104" s="49"/>
      <c r="T104" s="48"/>
      <c r="U104" s="49"/>
      <c r="V104" s="48"/>
      <c r="W104" s="49"/>
      <c r="X104" s="48"/>
      <c r="Y104" s="49"/>
      <c r="Z104" s="48"/>
      <c r="AA104" s="49"/>
      <c r="AB104" s="48"/>
      <c r="AC104" s="49"/>
      <c r="AD104" s="50"/>
      <c r="AE104" s="49"/>
      <c r="AF104" s="50"/>
      <c r="AG104" s="49"/>
    </row>
    <row r="105" spans="1:33" ht="21.95" customHeight="1" x14ac:dyDescent="0.25">
      <c r="A105" s="15"/>
      <c r="B105" s="342" t="str">
        <f>+'[8]Análisis cotizaciones'!$A$30</f>
        <v>SEGUETA</v>
      </c>
      <c r="C105" s="343"/>
      <c r="D105" s="343"/>
      <c r="E105" s="344"/>
      <c r="F105" s="336" t="s">
        <v>110</v>
      </c>
      <c r="G105" s="44">
        <f>+'Análisis cotizaciones VF'!K30</f>
        <v>5500</v>
      </c>
      <c r="H105" s="85">
        <v>1</v>
      </c>
      <c r="I105" s="350">
        <f t="shared" ref="I105:I107" si="76">+H105*G105</f>
        <v>5500</v>
      </c>
      <c r="J105" s="86"/>
      <c r="K105" s="47"/>
      <c r="L105" s="48"/>
      <c r="M105" s="49"/>
      <c r="N105" s="48"/>
      <c r="O105" s="49"/>
      <c r="P105" s="48"/>
      <c r="Q105" s="49"/>
      <c r="R105" s="48"/>
      <c r="S105" s="49"/>
      <c r="T105" s="48"/>
      <c r="U105" s="49"/>
      <c r="V105" s="48"/>
      <c r="W105" s="49"/>
      <c r="X105" s="48"/>
      <c r="Y105" s="49"/>
      <c r="Z105" s="48"/>
      <c r="AA105" s="49"/>
      <c r="AB105" s="48"/>
      <c r="AC105" s="49"/>
      <c r="AD105" s="50"/>
      <c r="AE105" s="49"/>
      <c r="AF105" s="50"/>
      <c r="AG105" s="49"/>
    </row>
    <row r="106" spans="1:33" ht="21.95" customHeight="1" x14ac:dyDescent="0.25">
      <c r="A106" s="15"/>
      <c r="B106" s="568" t="str">
        <f>+[7]Hoja1!$A$27</f>
        <v>CABLE</v>
      </c>
      <c r="C106" s="569"/>
      <c r="D106" s="569"/>
      <c r="E106" s="570"/>
      <c r="F106" s="336" t="s">
        <v>110</v>
      </c>
      <c r="G106" s="44">
        <f>+'Análisis cotizaciones VF'!K27</f>
        <v>7500</v>
      </c>
      <c r="H106" s="85">
        <v>1</v>
      </c>
      <c r="I106" s="350">
        <f t="shared" si="76"/>
        <v>7500</v>
      </c>
      <c r="J106" s="86"/>
      <c r="K106" s="47"/>
      <c r="L106" s="48"/>
      <c r="M106" s="49"/>
      <c r="N106" s="48"/>
      <c r="O106" s="49"/>
      <c r="P106" s="48"/>
      <c r="Q106" s="49"/>
      <c r="R106" s="48"/>
      <c r="S106" s="49"/>
      <c r="T106" s="48"/>
      <c r="U106" s="49"/>
      <c r="V106" s="48"/>
      <c r="W106" s="49"/>
      <c r="X106" s="48"/>
      <c r="Y106" s="49"/>
      <c r="Z106" s="48"/>
      <c r="AA106" s="49"/>
      <c r="AB106" s="48"/>
      <c r="AC106" s="49"/>
      <c r="AD106" s="50"/>
      <c r="AE106" s="49"/>
      <c r="AF106" s="50"/>
      <c r="AG106" s="49"/>
    </row>
    <row r="107" spans="1:33" ht="21.95" customHeight="1" x14ac:dyDescent="0.25">
      <c r="A107" s="15"/>
      <c r="B107" s="568" t="str">
        <f>+[7]Hoja1!$A$28</f>
        <v>CALENTADOR DE AGUA</v>
      </c>
      <c r="C107" s="569"/>
      <c r="D107" s="569"/>
      <c r="E107" s="570"/>
      <c r="F107" s="336" t="s">
        <v>110</v>
      </c>
      <c r="G107" s="44">
        <f>+'Análisis cotizaciones VF'!K28</f>
        <v>10400</v>
      </c>
      <c r="H107" s="85">
        <v>1</v>
      </c>
      <c r="I107" s="350">
        <f t="shared" si="76"/>
        <v>10400</v>
      </c>
      <c r="J107" s="86"/>
      <c r="K107" s="47"/>
      <c r="L107" s="48"/>
      <c r="M107" s="49"/>
      <c r="N107" s="48"/>
      <c r="O107" s="49"/>
      <c r="P107" s="48"/>
      <c r="Q107" s="49"/>
      <c r="R107" s="48"/>
      <c r="S107" s="49"/>
      <c r="T107" s="48"/>
      <c r="U107" s="49"/>
      <c r="V107" s="48"/>
      <c r="W107" s="49"/>
      <c r="X107" s="48"/>
      <c r="Y107" s="49"/>
      <c r="Z107" s="48"/>
      <c r="AA107" s="49"/>
      <c r="AB107" s="48"/>
      <c r="AC107" s="49"/>
      <c r="AD107" s="50"/>
      <c r="AE107" s="49"/>
      <c r="AF107" s="50"/>
      <c r="AG107" s="49"/>
    </row>
    <row r="108" spans="1:33" ht="60" customHeight="1" x14ac:dyDescent="0.25">
      <c r="A108" s="15"/>
      <c r="B108" s="568" t="s">
        <v>227</v>
      </c>
      <c r="C108" s="569"/>
      <c r="D108" s="569"/>
      <c r="E108" s="599"/>
      <c r="F108" s="336" t="s">
        <v>110</v>
      </c>
      <c r="G108" s="44">
        <f>+'Análisis cotizaciones VF'!K35</f>
        <v>12624000</v>
      </c>
      <c r="H108" s="85">
        <v>1</v>
      </c>
      <c r="I108" s="350">
        <f>+ROUND(H108*G108,0)</f>
        <v>12624000</v>
      </c>
      <c r="J108" s="86"/>
      <c r="K108" s="47"/>
      <c r="L108" s="48"/>
      <c r="M108" s="49"/>
      <c r="N108" s="48"/>
      <c r="O108" s="49"/>
      <c r="P108" s="48"/>
      <c r="Q108" s="49"/>
      <c r="R108" s="48"/>
      <c r="S108" s="49"/>
      <c r="T108" s="48"/>
      <c r="U108" s="49"/>
      <c r="V108" s="48"/>
      <c r="W108" s="49"/>
      <c r="X108" s="48"/>
      <c r="Y108" s="49"/>
      <c r="Z108" s="48"/>
      <c r="AA108" s="49"/>
      <c r="AB108" s="48"/>
      <c r="AC108" s="49"/>
      <c r="AD108" s="50"/>
      <c r="AE108" s="49"/>
      <c r="AF108" s="50"/>
      <c r="AG108" s="49"/>
    </row>
    <row r="109" spans="1:33" ht="21.95" customHeight="1" x14ac:dyDescent="0.25">
      <c r="A109" s="15"/>
      <c r="B109" s="568" t="s">
        <v>159</v>
      </c>
      <c r="C109" s="569"/>
      <c r="D109" s="569"/>
      <c r="E109" s="570"/>
      <c r="F109" s="336" t="s">
        <v>110</v>
      </c>
      <c r="G109" s="44">
        <f>+'Análisis cotizaciones VF'!K32</f>
        <v>11400000</v>
      </c>
      <c r="H109" s="85">
        <v>1</v>
      </c>
      <c r="I109" s="350">
        <f t="shared" ref="I109" si="77">+ROUND(H109*G109,-3)</f>
        <v>11400000</v>
      </c>
      <c r="J109" s="86"/>
      <c r="K109" s="47"/>
      <c r="L109" s="48"/>
      <c r="M109" s="49"/>
      <c r="N109" s="48"/>
      <c r="O109" s="49"/>
      <c r="P109" s="48"/>
      <c r="Q109" s="49"/>
      <c r="R109" s="48"/>
      <c r="S109" s="49"/>
      <c r="T109" s="48"/>
      <c r="U109" s="49"/>
      <c r="V109" s="48"/>
      <c r="W109" s="49"/>
      <c r="X109" s="48"/>
      <c r="Y109" s="49"/>
      <c r="Z109" s="48"/>
      <c r="AA109" s="49"/>
      <c r="AB109" s="48"/>
      <c r="AC109" s="49"/>
      <c r="AD109" s="50"/>
      <c r="AE109" s="49"/>
      <c r="AF109" s="50"/>
      <c r="AG109" s="49"/>
    </row>
    <row r="110" spans="1:33" ht="21.95" customHeight="1" x14ac:dyDescent="0.25">
      <c r="A110" s="15"/>
      <c r="B110" s="568" t="s">
        <v>114</v>
      </c>
      <c r="C110" s="569"/>
      <c r="D110" s="569"/>
      <c r="E110" s="570"/>
      <c r="F110" s="336" t="s">
        <v>110</v>
      </c>
      <c r="G110" s="44">
        <f>+'[3]PRESUPUESTO OBRA'!$I$58/2</f>
        <v>95666606</v>
      </c>
      <c r="H110" s="85">
        <v>2</v>
      </c>
      <c r="I110" s="350">
        <f>+ROUND((H110*G110),0)</f>
        <v>191333212</v>
      </c>
      <c r="J110" s="86"/>
      <c r="K110" s="47"/>
      <c r="L110" s="48"/>
      <c r="M110" s="49"/>
      <c r="N110" s="48"/>
      <c r="O110" s="49"/>
      <c r="P110" s="48"/>
      <c r="Q110" s="49"/>
      <c r="R110" s="48"/>
      <c r="S110" s="49"/>
      <c r="T110" s="48"/>
      <c r="U110" s="49"/>
      <c r="V110" s="48"/>
      <c r="W110" s="49"/>
      <c r="X110" s="48"/>
      <c r="Y110" s="49"/>
      <c r="Z110" s="48"/>
      <c r="AA110" s="49"/>
      <c r="AB110" s="48"/>
      <c r="AC110" s="49"/>
      <c r="AD110" s="50"/>
      <c r="AE110" s="49"/>
      <c r="AF110" s="50"/>
      <c r="AG110" s="49"/>
    </row>
    <row r="111" spans="1:33" ht="21.95" customHeight="1" x14ac:dyDescent="0.25">
      <c r="A111" s="15"/>
      <c r="B111" s="342" t="s">
        <v>113</v>
      </c>
      <c r="C111" s="343"/>
      <c r="D111" s="343"/>
      <c r="E111" s="344"/>
      <c r="F111" s="336"/>
      <c r="G111" s="44">
        <f>+'[3]PRESUPUESTO OBRA'!$H$58</f>
        <v>36535747</v>
      </c>
      <c r="H111" s="85">
        <v>1</v>
      </c>
      <c r="I111" s="350">
        <f>+ROUND((H111*G111),0)</f>
        <v>36535747</v>
      </c>
      <c r="J111" s="86"/>
      <c r="K111" s="47"/>
      <c r="L111" s="48"/>
      <c r="M111" s="49"/>
      <c r="N111" s="48"/>
      <c r="O111" s="49"/>
      <c r="P111" s="48"/>
      <c r="Q111" s="49"/>
      <c r="R111" s="48"/>
      <c r="S111" s="49"/>
      <c r="T111" s="48"/>
      <c r="U111" s="49"/>
      <c r="V111" s="48"/>
      <c r="W111" s="49"/>
      <c r="X111" s="48"/>
      <c r="Y111" s="49"/>
      <c r="Z111" s="48"/>
      <c r="AA111" s="49"/>
      <c r="AB111" s="48"/>
      <c r="AC111" s="49"/>
      <c r="AD111" s="50"/>
      <c r="AE111" s="49"/>
      <c r="AF111" s="50"/>
      <c r="AG111" s="49"/>
    </row>
    <row r="112" spans="1:33" ht="21.95" customHeight="1" x14ac:dyDescent="0.25">
      <c r="A112" s="15"/>
      <c r="B112" s="342" t="s">
        <v>174</v>
      </c>
      <c r="C112" s="343"/>
      <c r="D112" s="343"/>
      <c r="E112" s="344"/>
      <c r="F112" s="336"/>
      <c r="G112" s="44">
        <f>+'[3]PRESUPUESTO OBRA'!$J$58</f>
        <v>79913678</v>
      </c>
      <c r="H112" s="85">
        <v>1</v>
      </c>
      <c r="I112" s="350">
        <f>+ROUND((H112*G112),0)</f>
        <v>79913678</v>
      </c>
      <c r="J112" s="86"/>
      <c r="K112" s="47"/>
      <c r="L112" s="48"/>
      <c r="M112" s="49"/>
      <c r="N112" s="48"/>
      <c r="O112" s="49"/>
      <c r="P112" s="48"/>
      <c r="Q112" s="49"/>
      <c r="R112" s="48"/>
      <c r="S112" s="49"/>
      <c r="T112" s="48"/>
      <c r="U112" s="49"/>
      <c r="V112" s="48"/>
      <c r="W112" s="49"/>
      <c r="X112" s="48"/>
      <c r="Y112" s="49"/>
      <c r="Z112" s="48"/>
      <c r="AA112" s="49"/>
      <c r="AB112" s="48"/>
      <c r="AC112" s="49"/>
      <c r="AD112" s="50"/>
      <c r="AE112" s="49"/>
      <c r="AF112" s="50"/>
      <c r="AG112" s="49"/>
    </row>
    <row r="113" spans="1:33" ht="15" customHeight="1" x14ac:dyDescent="0.25">
      <c r="A113" s="15"/>
      <c r="B113" s="568"/>
      <c r="C113" s="569"/>
      <c r="D113" s="569"/>
      <c r="E113" s="570"/>
      <c r="F113" s="75"/>
      <c r="G113" s="44"/>
      <c r="H113" s="85"/>
      <c r="I113" s="57"/>
      <c r="J113" s="86"/>
      <c r="K113" s="47"/>
      <c r="L113" s="48"/>
      <c r="M113" s="49"/>
      <c r="N113" s="48"/>
      <c r="O113" s="49"/>
      <c r="P113" s="48"/>
      <c r="Q113" s="49"/>
      <c r="R113" s="48"/>
      <c r="S113" s="49"/>
      <c r="T113" s="48"/>
      <c r="U113" s="49"/>
      <c r="V113" s="48"/>
      <c r="W113" s="49"/>
      <c r="X113" s="48"/>
      <c r="Y113" s="49"/>
      <c r="Z113" s="48"/>
      <c r="AA113" s="49"/>
      <c r="AB113" s="48"/>
      <c r="AC113" s="49"/>
      <c r="AD113" s="50"/>
      <c r="AE113" s="49"/>
      <c r="AF113" s="50"/>
      <c r="AG113" s="49"/>
    </row>
    <row r="114" spans="1:33" hidden="1" x14ac:dyDescent="0.25">
      <c r="A114" s="15"/>
      <c r="B114" s="568"/>
      <c r="C114" s="569"/>
      <c r="D114" s="569"/>
      <c r="E114" s="570"/>
      <c r="F114" s="75"/>
      <c r="G114" s="44"/>
      <c r="H114" s="85"/>
      <c r="I114" s="57"/>
      <c r="J114" s="86"/>
      <c r="K114" s="47"/>
      <c r="L114" s="48"/>
      <c r="M114" s="49"/>
      <c r="N114" s="48"/>
      <c r="O114" s="49"/>
      <c r="P114" s="48"/>
      <c r="Q114" s="49"/>
      <c r="R114" s="48"/>
      <c r="S114" s="49"/>
      <c r="T114" s="48"/>
      <c r="U114" s="49"/>
      <c r="V114" s="48"/>
      <c r="W114" s="49"/>
      <c r="X114" s="48"/>
      <c r="Y114" s="49"/>
      <c r="Z114" s="48"/>
      <c r="AA114" s="49"/>
      <c r="AB114" s="48"/>
      <c r="AC114" s="49"/>
      <c r="AD114" s="50"/>
      <c r="AE114" s="49"/>
      <c r="AF114" s="50"/>
      <c r="AG114" s="49"/>
    </row>
    <row r="115" spans="1:33" ht="15" hidden="1" customHeight="1" x14ac:dyDescent="0.25">
      <c r="A115" s="15"/>
      <c r="B115" s="568"/>
      <c r="C115" s="569"/>
      <c r="D115" s="569"/>
      <c r="E115" s="570"/>
      <c r="F115" s="75"/>
      <c r="G115" s="44"/>
      <c r="H115" s="85"/>
      <c r="I115" s="57"/>
      <c r="J115" s="86"/>
      <c r="K115" s="47"/>
      <c r="L115" s="48"/>
      <c r="M115" s="49"/>
      <c r="N115" s="48"/>
      <c r="O115" s="49"/>
      <c r="P115" s="48"/>
      <c r="Q115" s="49"/>
      <c r="R115" s="48"/>
      <c r="S115" s="49"/>
      <c r="T115" s="48"/>
      <c r="U115" s="49"/>
      <c r="V115" s="48"/>
      <c r="W115" s="49"/>
      <c r="X115" s="48"/>
      <c r="Y115" s="49"/>
      <c r="Z115" s="48"/>
      <c r="AA115" s="49"/>
      <c r="AB115" s="48"/>
      <c r="AC115" s="49"/>
      <c r="AD115" s="50"/>
      <c r="AE115" s="49"/>
      <c r="AF115" s="50"/>
      <c r="AG115" s="49"/>
    </row>
    <row r="116" spans="1:33" ht="15" hidden="1" customHeight="1" x14ac:dyDescent="0.25">
      <c r="A116" s="15"/>
      <c r="B116" s="568"/>
      <c r="C116" s="569"/>
      <c r="D116" s="569"/>
      <c r="E116" s="570"/>
      <c r="F116" s="75"/>
      <c r="G116" s="44"/>
      <c r="H116" s="85"/>
      <c r="I116" s="57"/>
      <c r="J116" s="86"/>
      <c r="K116" s="47"/>
      <c r="L116" s="48"/>
      <c r="M116" s="49"/>
      <c r="N116" s="48"/>
      <c r="O116" s="49"/>
      <c r="P116" s="48"/>
      <c r="Q116" s="49"/>
      <c r="R116" s="48"/>
      <c r="S116" s="49"/>
      <c r="T116" s="48"/>
      <c r="U116" s="49"/>
      <c r="V116" s="48"/>
      <c r="W116" s="49"/>
      <c r="X116" s="48"/>
      <c r="Y116" s="49"/>
      <c r="Z116" s="48"/>
      <c r="AA116" s="49"/>
      <c r="AB116" s="48"/>
      <c r="AC116" s="49"/>
      <c r="AD116" s="50"/>
      <c r="AE116" s="49"/>
      <c r="AF116" s="50"/>
      <c r="AG116" s="49"/>
    </row>
    <row r="117" spans="1:33" hidden="1" x14ac:dyDescent="0.25">
      <c r="A117" s="15"/>
      <c r="B117" s="600"/>
      <c r="C117" s="601"/>
      <c r="D117" s="601"/>
      <c r="E117" s="602"/>
      <c r="F117" s="75"/>
      <c r="G117" s="44"/>
      <c r="H117" s="85"/>
      <c r="I117" s="57"/>
      <c r="J117" s="86"/>
      <c r="K117" s="47"/>
      <c r="L117" s="48"/>
      <c r="M117" s="49"/>
      <c r="N117" s="48"/>
      <c r="O117" s="49"/>
      <c r="P117" s="48"/>
      <c r="Q117" s="49"/>
      <c r="R117" s="48"/>
      <c r="S117" s="49"/>
      <c r="T117" s="48"/>
      <c r="U117" s="49"/>
      <c r="V117" s="48"/>
      <c r="W117" s="49"/>
      <c r="X117" s="48"/>
      <c r="Y117" s="49"/>
      <c r="Z117" s="48"/>
      <c r="AA117" s="49"/>
      <c r="AB117" s="48"/>
      <c r="AC117" s="49"/>
      <c r="AD117" s="50"/>
      <c r="AE117" s="49"/>
      <c r="AF117" s="50"/>
      <c r="AG117" s="49"/>
    </row>
    <row r="118" spans="1:33" hidden="1" x14ac:dyDescent="0.25">
      <c r="A118" s="15"/>
      <c r="B118" s="600"/>
      <c r="C118" s="601"/>
      <c r="D118" s="601"/>
      <c r="E118" s="602"/>
      <c r="F118" s="75"/>
      <c r="G118" s="44"/>
      <c r="H118" s="85"/>
      <c r="I118" s="57"/>
      <c r="J118" s="86"/>
      <c r="K118" s="47"/>
      <c r="L118" s="48"/>
      <c r="M118" s="49"/>
      <c r="N118" s="48"/>
      <c r="O118" s="49"/>
      <c r="P118" s="48"/>
      <c r="Q118" s="49"/>
      <c r="R118" s="48"/>
      <c r="S118" s="49"/>
      <c r="T118" s="48"/>
      <c r="U118" s="49"/>
      <c r="V118" s="48"/>
      <c r="W118" s="49"/>
      <c r="X118" s="48"/>
      <c r="Y118" s="49"/>
      <c r="Z118" s="48"/>
      <c r="AA118" s="49"/>
      <c r="AB118" s="48"/>
      <c r="AC118" s="49"/>
      <c r="AD118" s="50"/>
      <c r="AE118" s="49"/>
      <c r="AF118" s="50"/>
      <c r="AG118" s="49"/>
    </row>
    <row r="119" spans="1:33" hidden="1" x14ac:dyDescent="0.25">
      <c r="A119" s="15"/>
      <c r="B119" s="600"/>
      <c r="C119" s="601"/>
      <c r="D119" s="601"/>
      <c r="E119" s="602"/>
      <c r="F119" s="75"/>
      <c r="G119" s="44"/>
      <c r="H119" s="85"/>
      <c r="I119" s="57">
        <f>+$G119*H119</f>
        <v>0</v>
      </c>
      <c r="J119" s="86"/>
      <c r="K119" s="47">
        <f>+$G$119*J119</f>
        <v>0</v>
      </c>
      <c r="L119" s="48">
        <v>0</v>
      </c>
      <c r="M119" s="49">
        <f>+$G119*L119</f>
        <v>0</v>
      </c>
      <c r="N119" s="48">
        <f>L119</f>
        <v>0</v>
      </c>
      <c r="O119" s="49">
        <f>+$G119*N119</f>
        <v>0</v>
      </c>
      <c r="P119" s="48">
        <f>N119</f>
        <v>0</v>
      </c>
      <c r="Q119" s="49">
        <f>+$G119*P119</f>
        <v>0</v>
      </c>
      <c r="R119" s="48">
        <f>P119</f>
        <v>0</v>
      </c>
      <c r="S119" s="49">
        <f>+$G119*R119</f>
        <v>0</v>
      </c>
      <c r="T119" s="48">
        <f>R119</f>
        <v>0</v>
      </c>
      <c r="U119" s="49">
        <f>+$G119*T119</f>
        <v>0</v>
      </c>
      <c r="V119" s="48">
        <f>T119</f>
        <v>0</v>
      </c>
      <c r="W119" s="49">
        <f>+$G119*V119</f>
        <v>0</v>
      </c>
      <c r="X119" s="48">
        <f>V119</f>
        <v>0</v>
      </c>
      <c r="Y119" s="49">
        <f>+$G119*X119</f>
        <v>0</v>
      </c>
      <c r="Z119" s="48">
        <f>X119</f>
        <v>0</v>
      </c>
      <c r="AA119" s="49">
        <f>+$G119*Z119</f>
        <v>0</v>
      </c>
      <c r="AB119" s="48">
        <f>Z119</f>
        <v>0</v>
      </c>
      <c r="AC119" s="49">
        <f>+$G119*AB119</f>
        <v>0</v>
      </c>
      <c r="AD119" s="50">
        <f>AB119</f>
        <v>0</v>
      </c>
      <c r="AE119" s="49">
        <f>+$G119*AD119</f>
        <v>0</v>
      </c>
      <c r="AF119" s="50">
        <f>AD119</f>
        <v>0</v>
      </c>
      <c r="AG119" s="49">
        <f>+$G119*AF119</f>
        <v>0</v>
      </c>
    </row>
    <row r="120" spans="1:33" hidden="1" x14ac:dyDescent="0.25">
      <c r="A120" s="15"/>
      <c r="B120" s="600"/>
      <c r="C120" s="601"/>
      <c r="D120" s="601"/>
      <c r="E120" s="602"/>
      <c r="F120" s="75"/>
      <c r="G120" s="44"/>
      <c r="H120" s="85"/>
      <c r="I120" s="57">
        <f>+$G120*H120</f>
        <v>0</v>
      </c>
      <c r="J120" s="86"/>
      <c r="K120" s="47">
        <f>+$G$120*J120</f>
        <v>0</v>
      </c>
      <c r="L120" s="48"/>
      <c r="M120" s="49">
        <f>+$G120*L120</f>
        <v>0</v>
      </c>
      <c r="N120" s="48">
        <f>L120</f>
        <v>0</v>
      </c>
      <c r="O120" s="49">
        <f>+$G120*N120</f>
        <v>0</v>
      </c>
      <c r="P120" s="48">
        <f>N120</f>
        <v>0</v>
      </c>
      <c r="Q120" s="49">
        <f>+$G120*P120</f>
        <v>0</v>
      </c>
      <c r="R120" s="48">
        <f>P120</f>
        <v>0</v>
      </c>
      <c r="S120" s="49">
        <f>+$G120*R120</f>
        <v>0</v>
      </c>
      <c r="T120" s="48">
        <f>R120</f>
        <v>0</v>
      </c>
      <c r="U120" s="49">
        <f>+$G120*T120</f>
        <v>0</v>
      </c>
      <c r="V120" s="48">
        <f>T120</f>
        <v>0</v>
      </c>
      <c r="W120" s="49">
        <f>+$G120*V120</f>
        <v>0</v>
      </c>
      <c r="X120" s="48">
        <f>V120</f>
        <v>0</v>
      </c>
      <c r="Y120" s="49">
        <f>+$G120*X120</f>
        <v>0</v>
      </c>
      <c r="Z120" s="48">
        <f>X120</f>
        <v>0</v>
      </c>
      <c r="AA120" s="49">
        <f>+$G120*Z120</f>
        <v>0</v>
      </c>
      <c r="AB120" s="48">
        <f>Z120</f>
        <v>0</v>
      </c>
      <c r="AC120" s="49">
        <f>+$G120*AB120</f>
        <v>0</v>
      </c>
      <c r="AD120" s="50">
        <f>AB120</f>
        <v>0</v>
      </c>
      <c r="AE120" s="49">
        <f>+$G120*AD120</f>
        <v>0</v>
      </c>
      <c r="AF120" s="50">
        <f>AD120</f>
        <v>0</v>
      </c>
      <c r="AG120" s="49">
        <f>+$G120*AF120</f>
        <v>0</v>
      </c>
    </row>
    <row r="121" spans="1:33" hidden="1" x14ac:dyDescent="0.25">
      <c r="A121" s="15"/>
      <c r="B121" s="600"/>
      <c r="C121" s="601"/>
      <c r="D121" s="601"/>
      <c r="E121" s="602"/>
      <c r="F121" s="75"/>
      <c r="G121" s="44"/>
      <c r="H121" s="85"/>
      <c r="I121" s="57">
        <f>+$G121*H121</f>
        <v>0</v>
      </c>
      <c r="J121" s="86"/>
      <c r="K121" s="47">
        <f>+$G$121*J121</f>
        <v>0</v>
      </c>
      <c r="L121" s="48"/>
      <c r="M121" s="49">
        <f>+$G121*L121</f>
        <v>0</v>
      </c>
      <c r="N121" s="48">
        <f>L121</f>
        <v>0</v>
      </c>
      <c r="O121" s="49">
        <f>+$G121*N121</f>
        <v>0</v>
      </c>
      <c r="P121" s="48">
        <f>N121</f>
        <v>0</v>
      </c>
      <c r="Q121" s="49">
        <f>+$G121*P121</f>
        <v>0</v>
      </c>
      <c r="R121" s="48">
        <f>P121</f>
        <v>0</v>
      </c>
      <c r="S121" s="49">
        <f>+$G121*R121</f>
        <v>0</v>
      </c>
      <c r="T121" s="48">
        <f>R121</f>
        <v>0</v>
      </c>
      <c r="U121" s="49">
        <f>+$G121*T121</f>
        <v>0</v>
      </c>
      <c r="V121" s="48">
        <f>T121</f>
        <v>0</v>
      </c>
      <c r="W121" s="49">
        <f>+$G121*V121</f>
        <v>0</v>
      </c>
      <c r="X121" s="48">
        <f>V121</f>
        <v>0</v>
      </c>
      <c r="Y121" s="49">
        <f>+$G121*X121</f>
        <v>0</v>
      </c>
      <c r="Z121" s="48">
        <f>X121</f>
        <v>0</v>
      </c>
      <c r="AA121" s="49">
        <f>+$G121*Z121</f>
        <v>0</v>
      </c>
      <c r="AB121" s="48">
        <f>Z121</f>
        <v>0</v>
      </c>
      <c r="AC121" s="49">
        <f>+$G121*AB121</f>
        <v>0</v>
      </c>
      <c r="AD121" s="50">
        <f>AB121</f>
        <v>0</v>
      </c>
      <c r="AE121" s="49">
        <f>+$G121*AD121</f>
        <v>0</v>
      </c>
      <c r="AF121" s="50">
        <f>AD121</f>
        <v>0</v>
      </c>
      <c r="AG121" s="49">
        <f>+$G121*AF121</f>
        <v>0</v>
      </c>
    </row>
    <row r="122" spans="1:33" x14ac:dyDescent="0.25">
      <c r="A122" s="15"/>
      <c r="B122" s="617" t="s">
        <v>256</v>
      </c>
      <c r="C122" s="618"/>
      <c r="D122" s="618"/>
      <c r="E122" s="618"/>
      <c r="F122" s="87"/>
      <c r="G122" s="88"/>
      <c r="H122" s="89"/>
      <c r="I122" s="90"/>
      <c r="J122" s="91"/>
      <c r="K122" s="92"/>
      <c r="L122" s="93"/>
      <c r="M122" s="94"/>
      <c r="N122" s="93"/>
      <c r="O122" s="94"/>
      <c r="P122" s="93"/>
      <c r="Q122" s="94"/>
      <c r="R122" s="93"/>
      <c r="S122" s="94"/>
      <c r="T122" s="93"/>
      <c r="U122" s="94"/>
      <c r="V122" s="93"/>
      <c r="W122" s="94"/>
      <c r="X122" s="93"/>
      <c r="Y122" s="94"/>
      <c r="Z122" s="93"/>
      <c r="AA122" s="94"/>
      <c r="AB122" s="93"/>
      <c r="AC122" s="94"/>
      <c r="AD122" s="95"/>
      <c r="AE122" s="94"/>
      <c r="AF122" s="95"/>
      <c r="AG122" s="94"/>
    </row>
    <row r="123" spans="1:33" x14ac:dyDescent="0.25">
      <c r="A123" s="15"/>
      <c r="B123" s="96"/>
      <c r="C123" s="97"/>
      <c r="D123" s="97"/>
      <c r="E123" s="97"/>
      <c r="F123" s="87"/>
      <c r="G123" s="88"/>
      <c r="H123" s="89"/>
      <c r="I123" s="90"/>
      <c r="J123" s="91"/>
      <c r="K123" s="92"/>
      <c r="L123" s="93"/>
      <c r="M123" s="94"/>
      <c r="N123" s="93"/>
      <c r="O123" s="94"/>
      <c r="P123" s="93"/>
      <c r="Q123" s="94"/>
      <c r="R123" s="93"/>
      <c r="S123" s="94"/>
      <c r="T123" s="93"/>
      <c r="U123" s="94"/>
      <c r="V123" s="93"/>
      <c r="W123" s="94"/>
      <c r="X123" s="93"/>
      <c r="Y123" s="94"/>
      <c r="Z123" s="93"/>
      <c r="AA123" s="94"/>
      <c r="AB123" s="93"/>
      <c r="AC123" s="94"/>
      <c r="AD123" s="95"/>
      <c r="AE123" s="94"/>
      <c r="AF123" s="95"/>
      <c r="AG123" s="94"/>
    </row>
    <row r="124" spans="1:33" ht="72" x14ac:dyDescent="0.25">
      <c r="A124" s="15"/>
      <c r="B124" s="96" t="str">
        <f>+'Análisis cotizaciones VF'!B36</f>
        <v>Escritorio en L oficina (mdetal-madera) Altura 73cm, Largo 154 cm, Ancho 106cm, Profundidad 48cm</v>
      </c>
      <c r="C124" s="97"/>
      <c r="D124" s="97"/>
      <c r="E124" s="97"/>
      <c r="F124" s="340" t="s">
        <v>22</v>
      </c>
      <c r="G124" s="88">
        <f>+'Análisis cotizaciones VF'!K36</f>
        <v>393395.4</v>
      </c>
      <c r="H124" s="89">
        <v>2</v>
      </c>
      <c r="I124" s="351">
        <f>+H124*G124</f>
        <v>786790.8</v>
      </c>
      <c r="J124" s="91"/>
      <c r="K124" s="92"/>
      <c r="L124" s="93"/>
      <c r="M124" s="94"/>
      <c r="N124" s="93"/>
      <c r="O124" s="94"/>
      <c r="P124" s="93"/>
      <c r="Q124" s="94"/>
      <c r="R124" s="93"/>
      <c r="S124" s="94"/>
      <c r="T124" s="93"/>
      <c r="U124" s="94"/>
      <c r="V124" s="93"/>
      <c r="W124" s="94"/>
      <c r="X124" s="93"/>
      <c r="Y124" s="94"/>
      <c r="Z124" s="93"/>
      <c r="AA124" s="94"/>
      <c r="AB124" s="93"/>
      <c r="AC124" s="94"/>
      <c r="AD124" s="95"/>
      <c r="AE124" s="94"/>
      <c r="AF124" s="95"/>
      <c r="AG124" s="94"/>
    </row>
    <row r="125" spans="1:33" ht="36" x14ac:dyDescent="0.25">
      <c r="A125" s="15"/>
      <c r="B125" s="96" t="str">
        <f>+'Análisis cotizaciones VF'!B37</f>
        <v>Silla Oficina Lyn  110X64X64 Negro</v>
      </c>
      <c r="C125" s="97"/>
      <c r="D125" s="97"/>
      <c r="E125" s="97"/>
      <c r="F125" s="340" t="s">
        <v>22</v>
      </c>
      <c r="G125" s="88">
        <f>+'Análisis cotizaciones VF'!K37</f>
        <v>336534.8</v>
      </c>
      <c r="H125" s="89">
        <v>2</v>
      </c>
      <c r="I125" s="351">
        <f t="shared" ref="I125:I128" si="78">+H125*G125</f>
        <v>673069.6</v>
      </c>
      <c r="J125" s="91"/>
      <c r="K125" s="92"/>
      <c r="L125" s="93"/>
      <c r="M125" s="94"/>
      <c r="N125" s="93"/>
      <c r="O125" s="94"/>
      <c r="P125" s="93"/>
      <c r="Q125" s="94"/>
      <c r="R125" s="93"/>
      <c r="S125" s="94"/>
      <c r="T125" s="93"/>
      <c r="U125" s="94"/>
      <c r="V125" s="93"/>
      <c r="W125" s="94"/>
      <c r="X125" s="93"/>
      <c r="Y125" s="94"/>
      <c r="Z125" s="93"/>
      <c r="AA125" s="94"/>
      <c r="AB125" s="93"/>
      <c r="AC125" s="94"/>
      <c r="AD125" s="95"/>
      <c r="AE125" s="94"/>
      <c r="AF125" s="95"/>
      <c r="AG125" s="94"/>
    </row>
    <row r="126" spans="1:33" ht="36" x14ac:dyDescent="0.25">
      <c r="A126" s="15"/>
      <c r="B126" s="96" t="str">
        <f>+'Análisis cotizaciones VF'!B38</f>
        <v>Archivador metalico ref. 2x1 38x48x70 negro</v>
      </c>
      <c r="C126" s="97"/>
      <c r="D126" s="97"/>
      <c r="E126" s="97"/>
      <c r="F126" s="340" t="s">
        <v>22</v>
      </c>
      <c r="G126" s="88">
        <f>+'Análisis cotizaciones VF'!K38</f>
        <v>531680.80000000005</v>
      </c>
      <c r="H126" s="89">
        <v>1</v>
      </c>
      <c r="I126" s="351">
        <f t="shared" si="78"/>
        <v>531680.80000000005</v>
      </c>
      <c r="J126" s="91"/>
      <c r="K126" s="92"/>
      <c r="L126" s="93"/>
      <c r="M126" s="94"/>
      <c r="N126" s="93"/>
      <c r="O126" s="94"/>
      <c r="P126" s="93"/>
      <c r="Q126" s="94"/>
      <c r="R126" s="93"/>
      <c r="S126" s="94"/>
      <c r="T126" s="93"/>
      <c r="U126" s="94"/>
      <c r="V126" s="93"/>
      <c r="W126" s="94"/>
      <c r="X126" s="93"/>
      <c r="Y126" s="94"/>
      <c r="Z126" s="93"/>
      <c r="AA126" s="94"/>
      <c r="AB126" s="93"/>
      <c r="AC126" s="94"/>
      <c r="AD126" s="95"/>
      <c r="AE126" s="94"/>
      <c r="AF126" s="95"/>
      <c r="AG126" s="94"/>
    </row>
    <row r="127" spans="1:33" ht="54" x14ac:dyDescent="0.25">
      <c r="A127" s="15"/>
      <c r="B127" s="96" t="str">
        <f>+'Análisis cotizaciones VF'!B39</f>
        <v>Computador All In One HP Pavilion 32-b1001la I7 16GB RAM 512GB SSD</v>
      </c>
      <c r="C127" s="97"/>
      <c r="D127" s="97"/>
      <c r="E127" s="97"/>
      <c r="F127" s="340" t="s">
        <v>22</v>
      </c>
      <c r="G127" s="88">
        <f>+'Análisis cotizaciones VF'!K39</f>
        <v>2787268.74</v>
      </c>
      <c r="H127" s="89">
        <v>1</v>
      </c>
      <c r="I127" s="351">
        <f t="shared" si="78"/>
        <v>2787268.74</v>
      </c>
      <c r="J127" s="91"/>
      <c r="K127" s="92"/>
      <c r="L127" s="93"/>
      <c r="M127" s="94"/>
      <c r="N127" s="93"/>
      <c r="O127" s="94"/>
      <c r="P127" s="93"/>
      <c r="Q127" s="94"/>
      <c r="R127" s="93"/>
      <c r="S127" s="94"/>
      <c r="T127" s="93"/>
      <c r="U127" s="94"/>
      <c r="V127" s="93"/>
      <c r="W127" s="94"/>
      <c r="X127" s="93"/>
      <c r="Y127" s="94"/>
      <c r="Z127" s="93"/>
      <c r="AA127" s="94"/>
      <c r="AB127" s="93"/>
      <c r="AC127" s="94"/>
      <c r="AD127" s="95"/>
      <c r="AE127" s="94"/>
      <c r="AF127" s="95"/>
      <c r="AG127" s="94"/>
    </row>
    <row r="128" spans="1:33" ht="54" x14ac:dyDescent="0.25">
      <c r="A128" s="15"/>
      <c r="B128" s="96" t="str">
        <f>+'Análisis cotizaciones VF'!B40</f>
        <v>Impresora Multifuncional EPSON Ecotank L5590 WiFi Hg-Of - Negro</v>
      </c>
      <c r="C128" s="97"/>
      <c r="D128" s="97"/>
      <c r="E128" s="97"/>
      <c r="F128" s="340" t="s">
        <v>22</v>
      </c>
      <c r="G128" s="88">
        <f>+'Análisis cotizaciones VF'!K40</f>
        <v>1466961.4</v>
      </c>
      <c r="H128" s="89">
        <v>1</v>
      </c>
      <c r="I128" s="351">
        <f t="shared" si="78"/>
        <v>1466961.4</v>
      </c>
      <c r="J128" s="91"/>
      <c r="K128" s="92"/>
      <c r="L128" s="93"/>
      <c r="M128" s="94"/>
      <c r="N128" s="93"/>
      <c r="O128" s="94"/>
      <c r="P128" s="93"/>
      <c r="Q128" s="94"/>
      <c r="R128" s="93"/>
      <c r="S128" s="94"/>
      <c r="T128" s="93"/>
      <c r="U128" s="94"/>
      <c r="V128" s="93"/>
      <c r="W128" s="94"/>
      <c r="X128" s="93"/>
      <c r="Y128" s="94"/>
      <c r="Z128" s="93"/>
      <c r="AA128" s="94"/>
      <c r="AB128" s="93"/>
      <c r="AC128" s="94"/>
      <c r="AD128" s="95"/>
      <c r="AE128" s="94"/>
      <c r="AF128" s="95"/>
      <c r="AG128" s="94"/>
    </row>
    <row r="129" spans="1:33" x14ac:dyDescent="0.25">
      <c r="A129" s="15"/>
      <c r="B129" s="96"/>
      <c r="C129" s="97"/>
      <c r="D129" s="97"/>
      <c r="E129" s="97"/>
      <c r="F129" s="87"/>
      <c r="G129" s="88"/>
      <c r="H129" s="93"/>
      <c r="I129" s="90"/>
      <c r="J129" s="91"/>
      <c r="K129" s="92"/>
      <c r="L129" s="93"/>
      <c r="M129" s="94"/>
      <c r="N129" s="93"/>
      <c r="O129" s="94"/>
      <c r="P129" s="93"/>
      <c r="Q129" s="94"/>
      <c r="R129" s="93"/>
      <c r="S129" s="94"/>
      <c r="T129" s="93"/>
      <c r="U129" s="94"/>
      <c r="V129" s="93"/>
      <c r="W129" s="94"/>
      <c r="X129" s="93"/>
      <c r="Y129" s="94"/>
      <c r="Z129" s="93"/>
      <c r="AA129" s="94"/>
      <c r="AB129" s="93"/>
      <c r="AC129" s="94"/>
      <c r="AD129" s="95"/>
      <c r="AE129" s="94"/>
      <c r="AF129" s="95"/>
      <c r="AG129" s="94"/>
    </row>
    <row r="130" spans="1:33" x14ac:dyDescent="0.25">
      <c r="A130" s="15"/>
      <c r="B130" s="619" t="s">
        <v>257</v>
      </c>
      <c r="C130" s="620"/>
      <c r="D130" s="620"/>
      <c r="E130" s="620"/>
      <c r="F130" s="87"/>
      <c r="G130" s="88"/>
      <c r="H130" s="93"/>
      <c r="I130" s="98">
        <f>SUM(I124:I129)</f>
        <v>6245771.3399999999</v>
      </c>
      <c r="J130" s="91"/>
      <c r="K130" s="92"/>
      <c r="L130" s="93"/>
      <c r="M130" s="94"/>
      <c r="N130" s="93"/>
      <c r="O130" s="94"/>
      <c r="P130" s="93"/>
      <c r="Q130" s="94"/>
      <c r="R130" s="93"/>
      <c r="S130" s="94"/>
      <c r="T130" s="93"/>
      <c r="U130" s="94"/>
      <c r="V130" s="93"/>
      <c r="W130" s="94"/>
      <c r="X130" s="93"/>
      <c r="Y130" s="94"/>
      <c r="Z130" s="93"/>
      <c r="AA130" s="94"/>
      <c r="AB130" s="93"/>
      <c r="AC130" s="94"/>
      <c r="AD130" s="95"/>
      <c r="AE130" s="94"/>
      <c r="AF130" s="95"/>
      <c r="AG130" s="94"/>
    </row>
    <row r="131" spans="1:33" x14ac:dyDescent="0.25">
      <c r="A131" s="15"/>
      <c r="B131" s="99"/>
      <c r="C131" s="100"/>
      <c r="D131" s="100"/>
      <c r="E131" s="100"/>
      <c r="F131" s="101"/>
      <c r="G131" s="102"/>
      <c r="H131" s="103"/>
      <c r="I131" s="104"/>
      <c r="J131" s="91"/>
      <c r="K131" s="92"/>
      <c r="L131" s="93"/>
      <c r="M131" s="94"/>
      <c r="N131" s="93"/>
      <c r="O131" s="94"/>
      <c r="P131" s="93"/>
      <c r="Q131" s="94"/>
      <c r="R131" s="93"/>
      <c r="S131" s="94"/>
      <c r="T131" s="93"/>
      <c r="U131" s="94"/>
      <c r="V131" s="93"/>
      <c r="W131" s="94"/>
      <c r="X131" s="93"/>
      <c r="Y131" s="94"/>
      <c r="Z131" s="93"/>
      <c r="AA131" s="94"/>
      <c r="AB131" s="93"/>
      <c r="AC131" s="94"/>
      <c r="AD131" s="95"/>
      <c r="AE131" s="94"/>
      <c r="AF131" s="95"/>
      <c r="AG131" s="94"/>
    </row>
    <row r="132" spans="1:33" ht="50.1" customHeight="1" x14ac:dyDescent="0.25">
      <c r="A132" s="15"/>
      <c r="B132" s="603" t="s">
        <v>71</v>
      </c>
      <c r="C132" s="604"/>
      <c r="D132" s="604"/>
      <c r="E132" s="604"/>
      <c r="F132" s="58"/>
      <c r="G132" s="59"/>
      <c r="H132" s="60"/>
      <c r="I132" s="61">
        <f>+SUM(I102:I121)</f>
        <v>333839537</v>
      </c>
      <c r="J132" s="60"/>
      <c r="K132" s="62">
        <f>+SUM(K102:K121)</f>
        <v>0</v>
      </c>
      <c r="L132" s="60"/>
      <c r="M132" s="62">
        <f>+SUM(M102:M121)</f>
        <v>0</v>
      </c>
      <c r="N132" s="84"/>
      <c r="O132" s="62">
        <f>+SUM(O102:O121)</f>
        <v>0</v>
      </c>
      <c r="P132" s="60"/>
      <c r="Q132" s="62">
        <f>+SUM(Q102:Q121)</f>
        <v>0</v>
      </c>
      <c r="R132" s="60"/>
      <c r="S132" s="62">
        <f>+SUM(S102:S121)</f>
        <v>0</v>
      </c>
      <c r="T132" s="60"/>
      <c r="U132" s="62">
        <f>+SUM(U102:U121)</f>
        <v>0</v>
      </c>
      <c r="V132" s="60"/>
      <c r="W132" s="62">
        <f>+SUM(W102:W121)</f>
        <v>0</v>
      </c>
      <c r="X132" s="60"/>
      <c r="Y132" s="62">
        <f>+SUM(Y102:Y121)</f>
        <v>0</v>
      </c>
      <c r="Z132" s="60"/>
      <c r="AA132" s="62">
        <f>+SUM(AA102:AA121)</f>
        <v>0</v>
      </c>
      <c r="AB132" s="60"/>
      <c r="AC132" s="62">
        <f>+SUM(AC102:AC121)</f>
        <v>0</v>
      </c>
      <c r="AD132" s="60"/>
      <c r="AE132" s="62">
        <f>+SUM(AE102:AE121)</f>
        <v>0</v>
      </c>
      <c r="AF132" s="60"/>
      <c r="AG132" s="62">
        <f>+SUM(AG102:AG121)</f>
        <v>0</v>
      </c>
    </row>
    <row r="133" spans="1:33" x14ac:dyDescent="0.25">
      <c r="A133" s="15"/>
      <c r="B133" s="22"/>
      <c r="C133" s="22"/>
      <c r="D133" s="22"/>
      <c r="E133" s="22"/>
      <c r="F133" s="22"/>
      <c r="G133" s="107"/>
      <c r="H133" s="22"/>
      <c r="I133" s="192"/>
      <c r="J133" s="22"/>
      <c r="K133" s="22"/>
      <c r="L133" s="22"/>
      <c r="M133" s="22"/>
      <c r="N133" s="22"/>
      <c r="O133" s="22"/>
      <c r="P133" s="22"/>
      <c r="Q133" s="22"/>
      <c r="R133" s="22"/>
      <c r="S133" s="22"/>
      <c r="T133" s="22"/>
      <c r="U133" s="22"/>
      <c r="V133" s="22"/>
      <c r="W133" s="22"/>
      <c r="X133" s="22"/>
      <c r="Y133" s="22"/>
      <c r="Z133" s="22"/>
      <c r="AA133" s="22"/>
      <c r="AB133" s="22"/>
      <c r="AC133" s="22"/>
      <c r="AD133" s="22"/>
      <c r="AE133" s="22"/>
    </row>
    <row r="134" spans="1:33" x14ac:dyDescent="0.25">
      <c r="A134" s="15"/>
      <c r="B134" s="605" t="s">
        <v>72</v>
      </c>
      <c r="C134" s="606"/>
      <c r="D134" s="606"/>
      <c r="E134" s="606"/>
      <c r="F134" s="108"/>
      <c r="G134" s="109"/>
      <c r="H134" s="110"/>
      <c r="I134" s="193">
        <f>+I40+I80+I97+I132+I130</f>
        <v>940556222.34000003</v>
      </c>
      <c r="J134" s="110"/>
      <c r="K134" s="111">
        <f>+K40+K80+K97+K132</f>
        <v>0</v>
      </c>
      <c r="L134" s="110"/>
      <c r="M134" s="111">
        <f>+M40+M80+M97+M132</f>
        <v>0</v>
      </c>
      <c r="N134" s="110"/>
      <c r="O134" s="111">
        <f>+O40+O80+O97+O132</f>
        <v>0</v>
      </c>
      <c r="P134" s="110"/>
      <c r="Q134" s="111">
        <f>+Q40+Q80+Q97+Q132</f>
        <v>0</v>
      </c>
      <c r="R134" s="110"/>
      <c r="S134" s="111">
        <f>+S40+S80+S97+S132</f>
        <v>0</v>
      </c>
      <c r="T134" s="110"/>
      <c r="U134" s="111">
        <f>+U40+U80+U97+U132</f>
        <v>0</v>
      </c>
      <c r="V134" s="110"/>
      <c r="W134" s="111">
        <f>+W40+W80+W97+W132</f>
        <v>0</v>
      </c>
      <c r="X134" s="110"/>
      <c r="Y134" s="111">
        <f>+Y40+Y80+Y97+Y132</f>
        <v>0</v>
      </c>
      <c r="Z134" s="110"/>
      <c r="AA134" s="111">
        <f>+AA40+AA80+AA97+AA132</f>
        <v>0</v>
      </c>
      <c r="AB134" s="110"/>
      <c r="AC134" s="111">
        <f>+AC40+AC80+AC97+AC132</f>
        <v>0</v>
      </c>
      <c r="AD134" s="110"/>
      <c r="AE134" s="111">
        <f>+AE40+AE80+AE97+AE132</f>
        <v>0</v>
      </c>
      <c r="AF134" s="110"/>
      <c r="AG134" s="111">
        <f>+AG40+AG80+AG97+AG132</f>
        <v>0</v>
      </c>
    </row>
    <row r="135" spans="1:33" x14ac:dyDescent="0.25">
      <c r="A135" s="15"/>
      <c r="B135" s="22"/>
      <c r="C135" s="22"/>
      <c r="D135" s="22"/>
      <c r="E135" s="22"/>
      <c r="F135" s="22"/>
      <c r="G135" s="107"/>
      <c r="H135" s="22"/>
      <c r="I135" s="192"/>
      <c r="J135" s="22"/>
      <c r="K135" s="22"/>
      <c r="L135" s="22"/>
      <c r="M135" s="22"/>
      <c r="N135" s="22"/>
      <c r="O135" s="22"/>
      <c r="P135" s="22"/>
      <c r="Q135" s="22"/>
      <c r="R135" s="22"/>
      <c r="S135" s="22"/>
      <c r="T135" s="22"/>
      <c r="U135" s="22"/>
      <c r="V135" s="22"/>
      <c r="W135" s="22"/>
      <c r="X135" s="22"/>
      <c r="Y135" s="22"/>
      <c r="Z135" s="22"/>
      <c r="AA135" s="22"/>
      <c r="AB135" s="22"/>
      <c r="AC135" s="22"/>
      <c r="AD135" s="22"/>
      <c r="AE135" s="22"/>
    </row>
    <row r="136" spans="1:33" ht="15" customHeight="1" x14ac:dyDescent="0.25">
      <c r="A136" s="15"/>
      <c r="B136" s="607" t="s">
        <v>73</v>
      </c>
      <c r="C136" s="608"/>
      <c r="D136" s="608"/>
      <c r="E136" s="609"/>
      <c r="F136" s="613" t="s">
        <v>22</v>
      </c>
      <c r="G136" s="615" t="s">
        <v>23</v>
      </c>
      <c r="H136" s="621" t="s">
        <v>24</v>
      </c>
      <c r="I136" s="622"/>
      <c r="J136" s="621" t="s">
        <v>25</v>
      </c>
      <c r="K136" s="622"/>
      <c r="L136" s="621" t="s">
        <v>26</v>
      </c>
      <c r="M136" s="622"/>
      <c r="N136" s="621" t="s">
        <v>27</v>
      </c>
      <c r="O136" s="622"/>
      <c r="P136" s="621" t="s">
        <v>28</v>
      </c>
      <c r="Q136" s="622"/>
      <c r="R136" s="621" t="s">
        <v>29</v>
      </c>
      <c r="S136" s="622"/>
      <c r="T136" s="621" t="s">
        <v>30</v>
      </c>
      <c r="U136" s="622"/>
      <c r="V136" s="621" t="s">
        <v>31</v>
      </c>
      <c r="W136" s="622"/>
      <c r="X136" s="621" t="s">
        <v>32</v>
      </c>
      <c r="Y136" s="622"/>
      <c r="Z136" s="621" t="s">
        <v>33</v>
      </c>
      <c r="AA136" s="622"/>
      <c r="AB136" s="621" t="s">
        <v>34</v>
      </c>
      <c r="AC136" s="622"/>
      <c r="AD136" s="621" t="s">
        <v>35</v>
      </c>
      <c r="AE136" s="622"/>
      <c r="AF136" s="621" t="s">
        <v>36</v>
      </c>
      <c r="AG136" s="622"/>
    </row>
    <row r="137" spans="1:33" x14ac:dyDescent="0.25">
      <c r="A137" s="15"/>
      <c r="B137" s="610"/>
      <c r="C137" s="611"/>
      <c r="D137" s="611"/>
      <c r="E137" s="612"/>
      <c r="F137" s="614"/>
      <c r="G137" s="616"/>
      <c r="H137" s="112" t="s">
        <v>37</v>
      </c>
      <c r="I137" s="194" t="s">
        <v>38</v>
      </c>
      <c r="J137" s="112" t="s">
        <v>37</v>
      </c>
      <c r="K137" s="112" t="s">
        <v>38</v>
      </c>
      <c r="L137" s="112" t="s">
        <v>37</v>
      </c>
      <c r="M137" s="112" t="s">
        <v>38</v>
      </c>
      <c r="N137" s="112" t="s">
        <v>37</v>
      </c>
      <c r="O137" s="112" t="s">
        <v>38</v>
      </c>
      <c r="P137" s="112" t="s">
        <v>37</v>
      </c>
      <c r="Q137" s="112" t="s">
        <v>38</v>
      </c>
      <c r="R137" s="112" t="s">
        <v>37</v>
      </c>
      <c r="S137" s="112" t="s">
        <v>38</v>
      </c>
      <c r="T137" s="112" t="s">
        <v>37</v>
      </c>
      <c r="U137" s="112" t="s">
        <v>38</v>
      </c>
      <c r="V137" s="112" t="s">
        <v>37</v>
      </c>
      <c r="W137" s="112" t="s">
        <v>38</v>
      </c>
      <c r="X137" s="112" t="s">
        <v>37</v>
      </c>
      <c r="Y137" s="112" t="s">
        <v>38</v>
      </c>
      <c r="Z137" s="112" t="s">
        <v>37</v>
      </c>
      <c r="AA137" s="112" t="s">
        <v>38</v>
      </c>
      <c r="AB137" s="112" t="s">
        <v>37</v>
      </c>
      <c r="AC137" s="112" t="s">
        <v>38</v>
      </c>
      <c r="AD137" s="112" t="s">
        <v>37</v>
      </c>
      <c r="AE137" s="112" t="s">
        <v>38</v>
      </c>
      <c r="AF137" s="112" t="s">
        <v>37</v>
      </c>
      <c r="AG137" s="112" t="s">
        <v>38</v>
      </c>
    </row>
    <row r="138" spans="1:33" ht="45" customHeight="1" x14ac:dyDescent="0.25">
      <c r="A138" s="15"/>
      <c r="B138" s="600"/>
      <c r="C138" s="601"/>
      <c r="D138" s="601"/>
      <c r="E138" s="602"/>
      <c r="F138" s="113"/>
      <c r="G138" s="308"/>
      <c r="H138" s="48"/>
      <c r="I138" s="341"/>
      <c r="J138" s="113"/>
      <c r="K138" s="49">
        <f t="shared" ref="K138:K142" si="79">+$G138*J138</f>
        <v>0</v>
      </c>
      <c r="L138" s="48"/>
      <c r="M138" s="49">
        <f>+$G138*L138</f>
        <v>0</v>
      </c>
      <c r="N138" s="50">
        <f>L138</f>
        <v>0</v>
      </c>
      <c r="O138" s="49">
        <f>+$G138*N138</f>
        <v>0</v>
      </c>
      <c r="P138" s="50">
        <f>N138</f>
        <v>0</v>
      </c>
      <c r="Q138" s="49">
        <f>+$G138*P138</f>
        <v>0</v>
      </c>
      <c r="R138" s="50">
        <f>P138</f>
        <v>0</v>
      </c>
      <c r="S138" s="49">
        <f>+$G138*R138</f>
        <v>0</v>
      </c>
      <c r="T138" s="50">
        <f>R138</f>
        <v>0</v>
      </c>
      <c r="U138" s="49">
        <f>+$G138*T138</f>
        <v>0</v>
      </c>
      <c r="V138" s="50">
        <f>T138</f>
        <v>0</v>
      </c>
      <c r="W138" s="49">
        <f>+$G138*V138</f>
        <v>0</v>
      </c>
      <c r="X138" s="50">
        <f>V138</f>
        <v>0</v>
      </c>
      <c r="Y138" s="49">
        <f>+$G138*X138</f>
        <v>0</v>
      </c>
      <c r="Z138" s="50">
        <f>X138</f>
        <v>0</v>
      </c>
      <c r="AA138" s="49">
        <f>+$G138*Z138</f>
        <v>0</v>
      </c>
      <c r="AB138" s="50">
        <f>Z138</f>
        <v>0</v>
      </c>
      <c r="AC138" s="49">
        <f>+$G138*AB138</f>
        <v>0</v>
      </c>
      <c r="AD138" s="50">
        <f>AB138</f>
        <v>0</v>
      </c>
      <c r="AE138" s="49">
        <f>+$G138*AD138</f>
        <v>0</v>
      </c>
      <c r="AF138" s="50">
        <f>AD138</f>
        <v>0</v>
      </c>
      <c r="AG138" s="49">
        <f>+$G138*AF138</f>
        <v>0</v>
      </c>
    </row>
    <row r="139" spans="1:33" ht="18" customHeight="1" x14ac:dyDescent="0.25">
      <c r="A139" s="15"/>
      <c r="B139" s="568" t="s">
        <v>112</v>
      </c>
      <c r="C139" s="569"/>
      <c r="D139" s="569"/>
      <c r="E139" s="570"/>
      <c r="F139" s="335" t="s">
        <v>75</v>
      </c>
      <c r="G139" s="308">
        <f>3000000+500000</f>
        <v>3500000</v>
      </c>
      <c r="H139" s="48">
        <v>8</v>
      </c>
      <c r="I139" s="341">
        <f>+ROUND(H139*G139,0)</f>
        <v>28000000</v>
      </c>
      <c r="J139" s="113"/>
      <c r="K139" s="114">
        <f t="shared" si="79"/>
        <v>0</v>
      </c>
      <c r="L139" s="48"/>
      <c r="M139" s="49">
        <f t="shared" ref="M139:M152" si="80">+$G139*L139</f>
        <v>0</v>
      </c>
      <c r="N139" s="43"/>
      <c r="O139" s="49">
        <f t="shared" ref="O139:O152" si="81">+$G139*N139</f>
        <v>0</v>
      </c>
      <c r="P139" s="43"/>
      <c r="Q139" s="49">
        <f t="shared" ref="Q139:Q152" si="82">+$G139*P139</f>
        <v>0</v>
      </c>
      <c r="R139" s="43"/>
      <c r="S139" s="49">
        <f t="shared" ref="S139:S152" si="83">+$G139*R139</f>
        <v>0</v>
      </c>
      <c r="T139" s="43"/>
      <c r="U139" s="49">
        <f t="shared" ref="U139:U152" si="84">+$G139*T139</f>
        <v>0</v>
      </c>
      <c r="V139" s="43"/>
      <c r="W139" s="49">
        <f t="shared" ref="W139:W152" si="85">+$G139*V139</f>
        <v>0</v>
      </c>
      <c r="X139" s="43"/>
      <c r="Y139" s="49">
        <f t="shared" ref="Y139:Y152" si="86">+$G139*X139</f>
        <v>0</v>
      </c>
      <c r="Z139" s="43"/>
      <c r="AA139" s="49">
        <f t="shared" ref="AA139:AA152" si="87">+$G139*Z139</f>
        <v>0</v>
      </c>
      <c r="AB139" s="43"/>
      <c r="AC139" s="49">
        <f t="shared" ref="AC139:AC152" si="88">+$G139*AB139</f>
        <v>0</v>
      </c>
      <c r="AD139" s="43"/>
      <c r="AE139" s="49">
        <f t="shared" ref="AE139:AE152" si="89">+$G139*AD139</f>
        <v>0</v>
      </c>
      <c r="AF139" s="43"/>
      <c r="AG139" s="49">
        <f t="shared" ref="AG139:AG152" si="90">+$G139*AF139</f>
        <v>0</v>
      </c>
    </row>
    <row r="140" spans="1:33" ht="18" customHeight="1" x14ac:dyDescent="0.25">
      <c r="A140" s="15"/>
      <c r="B140" s="568" t="s">
        <v>76</v>
      </c>
      <c r="C140" s="569"/>
      <c r="D140" s="569"/>
      <c r="E140" s="570"/>
      <c r="F140" s="336" t="s">
        <v>74</v>
      </c>
      <c r="G140" s="115">
        <f>+'Costos de implementación'!F5</f>
        <v>4358939.2</v>
      </c>
      <c r="H140" s="307">
        <v>8</v>
      </c>
      <c r="I140" s="341">
        <f>ROUND((H140*G140),0)</f>
        <v>34871514</v>
      </c>
      <c r="J140" s="113"/>
      <c r="K140" s="49">
        <f t="shared" si="79"/>
        <v>0</v>
      </c>
      <c r="L140" s="48"/>
      <c r="M140" s="49">
        <f t="shared" si="80"/>
        <v>0</v>
      </c>
      <c r="N140" s="43"/>
      <c r="O140" s="49">
        <f t="shared" si="81"/>
        <v>0</v>
      </c>
      <c r="P140" s="43"/>
      <c r="Q140" s="49">
        <f t="shared" si="82"/>
        <v>0</v>
      </c>
      <c r="R140" s="43"/>
      <c r="S140" s="49">
        <f t="shared" si="83"/>
        <v>0</v>
      </c>
      <c r="T140" s="43"/>
      <c r="U140" s="49">
        <f t="shared" si="84"/>
        <v>0</v>
      </c>
      <c r="V140" s="43"/>
      <c r="W140" s="49">
        <f t="shared" si="85"/>
        <v>0</v>
      </c>
      <c r="X140" s="43"/>
      <c r="Y140" s="49">
        <f t="shared" si="86"/>
        <v>0</v>
      </c>
      <c r="Z140" s="43"/>
      <c r="AA140" s="49">
        <f t="shared" si="87"/>
        <v>0</v>
      </c>
      <c r="AB140" s="43"/>
      <c r="AC140" s="49">
        <f t="shared" si="88"/>
        <v>0</v>
      </c>
      <c r="AD140" s="43"/>
      <c r="AE140" s="49">
        <f t="shared" si="89"/>
        <v>0</v>
      </c>
      <c r="AF140" s="43"/>
      <c r="AG140" s="49">
        <f t="shared" si="90"/>
        <v>0</v>
      </c>
    </row>
    <row r="141" spans="1:33" ht="18" customHeight="1" x14ac:dyDescent="0.25">
      <c r="A141" s="15"/>
      <c r="B141" s="568" t="s">
        <v>172</v>
      </c>
      <c r="C141" s="569"/>
      <c r="D141" s="569"/>
      <c r="E141" s="570"/>
      <c r="F141" s="336" t="s">
        <v>74</v>
      </c>
      <c r="G141" s="115">
        <f>+'Costos de implementación'!F5</f>
        <v>4358939.2</v>
      </c>
      <c r="H141" s="307">
        <v>8</v>
      </c>
      <c r="I141" s="341">
        <f>ROUND((H141*G141),0)</f>
        <v>34871514</v>
      </c>
      <c r="J141" s="113"/>
      <c r="K141" s="49">
        <f t="shared" si="79"/>
        <v>0</v>
      </c>
      <c r="L141" s="48"/>
      <c r="M141" s="49">
        <f t="shared" si="80"/>
        <v>0</v>
      </c>
      <c r="N141" s="50">
        <f>L141</f>
        <v>0</v>
      </c>
      <c r="O141" s="49">
        <f t="shared" si="81"/>
        <v>0</v>
      </c>
      <c r="P141" s="50">
        <f>N141</f>
        <v>0</v>
      </c>
      <c r="Q141" s="49">
        <f t="shared" si="82"/>
        <v>0</v>
      </c>
      <c r="R141" s="50">
        <f>P141</f>
        <v>0</v>
      </c>
      <c r="S141" s="49">
        <f t="shared" si="83"/>
        <v>0</v>
      </c>
      <c r="T141" s="50">
        <f>R141</f>
        <v>0</v>
      </c>
      <c r="U141" s="49">
        <f t="shared" si="84"/>
        <v>0</v>
      </c>
      <c r="V141" s="50">
        <f>T141</f>
        <v>0</v>
      </c>
      <c r="W141" s="49">
        <f t="shared" si="85"/>
        <v>0</v>
      </c>
      <c r="X141" s="50">
        <f>V141</f>
        <v>0</v>
      </c>
      <c r="Y141" s="49">
        <f t="shared" si="86"/>
        <v>0</v>
      </c>
      <c r="Z141" s="50">
        <f>X141</f>
        <v>0</v>
      </c>
      <c r="AA141" s="49">
        <f t="shared" si="87"/>
        <v>0</v>
      </c>
      <c r="AB141" s="50">
        <f>Z141</f>
        <v>0</v>
      </c>
      <c r="AC141" s="49">
        <f t="shared" si="88"/>
        <v>0</v>
      </c>
      <c r="AD141" s="50">
        <f>AB141</f>
        <v>0</v>
      </c>
      <c r="AE141" s="49">
        <f t="shared" si="89"/>
        <v>0</v>
      </c>
      <c r="AF141" s="50">
        <f>AD141</f>
        <v>0</v>
      </c>
      <c r="AG141" s="49">
        <f t="shared" si="90"/>
        <v>0</v>
      </c>
    </row>
    <row r="142" spans="1:33" ht="18" customHeight="1" x14ac:dyDescent="0.25">
      <c r="A142" s="15"/>
      <c r="B142" s="600" t="s">
        <v>78</v>
      </c>
      <c r="C142" s="601"/>
      <c r="D142" s="601"/>
      <c r="E142" s="602"/>
      <c r="F142" s="337" t="s">
        <v>49</v>
      </c>
      <c r="G142" s="306">
        <f>+'Análisis cotizaciones VF'!K44</f>
        <v>14041666</v>
      </c>
      <c r="H142" s="48">
        <v>1</v>
      </c>
      <c r="I142" s="57">
        <f>+ROUND(H142*G142,0)</f>
        <v>14041666</v>
      </c>
      <c r="J142" s="48"/>
      <c r="K142" s="49">
        <f t="shared" si="79"/>
        <v>0</v>
      </c>
      <c r="L142" s="48"/>
      <c r="M142" s="49">
        <f t="shared" si="80"/>
        <v>0</v>
      </c>
      <c r="N142" s="50">
        <f>L142</f>
        <v>0</v>
      </c>
      <c r="O142" s="49">
        <f t="shared" si="81"/>
        <v>0</v>
      </c>
      <c r="P142" s="50">
        <f>N142</f>
        <v>0</v>
      </c>
      <c r="Q142" s="49">
        <f t="shared" si="82"/>
        <v>0</v>
      </c>
      <c r="R142" s="50">
        <f>P142</f>
        <v>0</v>
      </c>
      <c r="S142" s="49">
        <f t="shared" si="83"/>
        <v>0</v>
      </c>
      <c r="T142" s="50">
        <f>R142</f>
        <v>0</v>
      </c>
      <c r="U142" s="49">
        <f t="shared" si="84"/>
        <v>0</v>
      </c>
      <c r="V142" s="50">
        <f>T142</f>
        <v>0</v>
      </c>
      <c r="W142" s="49">
        <f t="shared" si="85"/>
        <v>0</v>
      </c>
      <c r="X142" s="50">
        <f>V142</f>
        <v>0</v>
      </c>
      <c r="Y142" s="49">
        <f t="shared" si="86"/>
        <v>0</v>
      </c>
      <c r="Z142" s="50">
        <f>X142</f>
        <v>0</v>
      </c>
      <c r="AA142" s="49">
        <f t="shared" si="87"/>
        <v>0</v>
      </c>
      <c r="AB142" s="50">
        <f>Z142</f>
        <v>0</v>
      </c>
      <c r="AC142" s="49">
        <f t="shared" si="88"/>
        <v>0</v>
      </c>
      <c r="AD142" s="50">
        <f>AB142</f>
        <v>0</v>
      </c>
      <c r="AE142" s="49">
        <f t="shared" si="89"/>
        <v>0</v>
      </c>
      <c r="AF142" s="50">
        <f>AD142</f>
        <v>0</v>
      </c>
      <c r="AG142" s="49">
        <f t="shared" si="90"/>
        <v>0</v>
      </c>
    </row>
    <row r="143" spans="1:33" ht="24.95" customHeight="1" x14ac:dyDescent="0.25">
      <c r="A143" s="15"/>
      <c r="B143" s="600" t="s">
        <v>111</v>
      </c>
      <c r="C143" s="601"/>
      <c r="D143" s="601"/>
      <c r="E143" s="602"/>
      <c r="F143" s="337" t="s">
        <v>49</v>
      </c>
      <c r="G143" s="44">
        <f>(55+4)*(5000+15000+5000)+75000</f>
        <v>1550000</v>
      </c>
      <c r="H143" s="48">
        <v>3</v>
      </c>
      <c r="I143" s="57">
        <f t="shared" ref="I143:I147" si="91">+ROUND(H143*G143,-3)</f>
        <v>4650000</v>
      </c>
      <c r="J143" s="48"/>
      <c r="K143" s="49"/>
      <c r="L143" s="48"/>
      <c r="M143" s="49"/>
      <c r="N143" s="50"/>
      <c r="O143" s="49"/>
      <c r="P143" s="50"/>
      <c r="Q143" s="49"/>
      <c r="R143" s="50"/>
      <c r="S143" s="49"/>
      <c r="T143" s="50"/>
      <c r="U143" s="49"/>
      <c r="V143" s="50"/>
      <c r="W143" s="49"/>
      <c r="X143" s="50"/>
      <c r="Y143" s="49"/>
      <c r="Z143" s="50"/>
      <c r="AA143" s="49"/>
      <c r="AB143" s="50"/>
      <c r="AC143" s="49"/>
      <c r="AD143" s="50"/>
      <c r="AE143" s="49"/>
      <c r="AF143" s="50"/>
      <c r="AG143" s="49"/>
    </row>
    <row r="144" spans="1:33" ht="24.95" customHeight="1" x14ac:dyDescent="0.25">
      <c r="A144" s="15"/>
      <c r="B144" s="600" t="s">
        <v>388</v>
      </c>
      <c r="C144" s="601"/>
      <c r="D144" s="601"/>
      <c r="E144" s="602"/>
      <c r="F144" s="337" t="s">
        <v>49</v>
      </c>
      <c r="G144" s="44">
        <f>((55+20)*(5000+15000+5000)+75000)</f>
        <v>1950000</v>
      </c>
      <c r="H144" s="48">
        <v>1</v>
      </c>
      <c r="I144" s="57">
        <f t="shared" si="91"/>
        <v>1950000</v>
      </c>
      <c r="J144" s="48"/>
      <c r="K144" s="49"/>
      <c r="L144" s="48"/>
      <c r="M144" s="49"/>
      <c r="N144" s="50"/>
      <c r="O144" s="49"/>
      <c r="P144" s="50"/>
      <c r="Q144" s="49"/>
      <c r="R144" s="50"/>
      <c r="S144" s="49"/>
      <c r="T144" s="50"/>
      <c r="U144" s="49"/>
      <c r="V144" s="50"/>
      <c r="W144" s="49"/>
      <c r="X144" s="50"/>
      <c r="Y144" s="49"/>
      <c r="Z144" s="50"/>
      <c r="AA144" s="49"/>
      <c r="AB144" s="50"/>
      <c r="AC144" s="49"/>
      <c r="AD144" s="50"/>
      <c r="AE144" s="49"/>
      <c r="AF144" s="50"/>
      <c r="AG144" s="49"/>
    </row>
    <row r="145" spans="1:33" ht="24.95" customHeight="1" x14ac:dyDescent="0.25">
      <c r="A145" s="15"/>
      <c r="B145" s="600" t="s">
        <v>161</v>
      </c>
      <c r="C145" s="601"/>
      <c r="D145" s="601"/>
      <c r="E145" s="602"/>
      <c r="F145" s="337" t="s">
        <v>49</v>
      </c>
      <c r="G145" s="44">
        <f>((15)*(5000+15000+5000)+75000)+1500000</f>
        <v>1950000</v>
      </c>
      <c r="H145" s="48">
        <v>2</v>
      </c>
      <c r="I145" s="57">
        <f t="shared" si="91"/>
        <v>3900000</v>
      </c>
      <c r="J145" s="48"/>
      <c r="K145" s="49"/>
      <c r="L145" s="48"/>
      <c r="M145" s="49"/>
      <c r="N145" s="50"/>
      <c r="O145" s="49"/>
      <c r="P145" s="50"/>
      <c r="Q145" s="49"/>
      <c r="R145" s="50"/>
      <c r="S145" s="49"/>
      <c r="T145" s="50"/>
      <c r="U145" s="49"/>
      <c r="V145" s="50"/>
      <c r="W145" s="49"/>
      <c r="X145" s="50"/>
      <c r="Y145" s="49"/>
      <c r="Z145" s="50"/>
      <c r="AA145" s="49"/>
      <c r="AB145" s="50"/>
      <c r="AC145" s="49"/>
      <c r="AD145" s="50"/>
      <c r="AE145" s="49"/>
      <c r="AF145" s="50"/>
      <c r="AG145" s="49"/>
    </row>
    <row r="146" spans="1:33" ht="24.95" customHeight="1" x14ac:dyDescent="0.25">
      <c r="A146" s="15"/>
      <c r="B146" s="600" t="s">
        <v>170</v>
      </c>
      <c r="C146" s="601"/>
      <c r="D146" s="601"/>
      <c r="E146" s="602"/>
      <c r="F146" s="337" t="s">
        <v>49</v>
      </c>
      <c r="G146" s="44">
        <f>((55+20)*(5000+15000+5000)+75000)</f>
        <v>1950000</v>
      </c>
      <c r="H146" s="48">
        <v>4</v>
      </c>
      <c r="I146" s="57">
        <f>+ROUND(H146*G146,0)</f>
        <v>7800000</v>
      </c>
      <c r="J146" s="48"/>
      <c r="K146" s="49"/>
      <c r="L146" s="48"/>
      <c r="M146" s="49"/>
      <c r="N146" s="50"/>
      <c r="O146" s="49"/>
      <c r="P146" s="50"/>
      <c r="Q146" s="49"/>
      <c r="R146" s="50"/>
      <c r="S146" s="49"/>
      <c r="T146" s="50"/>
      <c r="U146" s="49"/>
      <c r="V146" s="50"/>
      <c r="W146" s="49"/>
      <c r="X146" s="50"/>
      <c r="Y146" s="49"/>
      <c r="Z146" s="50"/>
      <c r="AA146" s="49"/>
      <c r="AB146" s="50"/>
      <c r="AC146" s="49"/>
      <c r="AD146" s="50"/>
      <c r="AE146" s="49"/>
      <c r="AF146" s="50"/>
      <c r="AG146" s="49"/>
    </row>
    <row r="147" spans="1:33" ht="24.95" customHeight="1" x14ac:dyDescent="0.25">
      <c r="A147" s="15"/>
      <c r="B147" s="568" t="s">
        <v>171</v>
      </c>
      <c r="C147" s="569"/>
      <c r="D147" s="569"/>
      <c r="E147" s="570"/>
      <c r="F147" s="337" t="s">
        <v>49</v>
      </c>
      <c r="G147" s="44">
        <f>((55+4)*(5000+15000+5000)+75000)</f>
        <v>1550000</v>
      </c>
      <c r="H147" s="48">
        <v>6</v>
      </c>
      <c r="I147" s="57">
        <f t="shared" si="91"/>
        <v>9300000</v>
      </c>
      <c r="J147" s="48"/>
      <c r="K147" s="49"/>
      <c r="L147" s="48"/>
      <c r="M147" s="49"/>
      <c r="N147" s="50"/>
      <c r="O147" s="49"/>
      <c r="P147" s="50"/>
      <c r="Q147" s="49"/>
      <c r="R147" s="50"/>
      <c r="S147" s="49"/>
      <c r="T147" s="50"/>
      <c r="U147" s="49"/>
      <c r="V147" s="50"/>
      <c r="W147" s="49"/>
      <c r="X147" s="50"/>
      <c r="Y147" s="49"/>
      <c r="Z147" s="50"/>
      <c r="AA147" s="49"/>
      <c r="AB147" s="50"/>
      <c r="AC147" s="49"/>
      <c r="AD147" s="50"/>
      <c r="AE147" s="49"/>
      <c r="AF147" s="50"/>
      <c r="AG147" s="49"/>
    </row>
    <row r="148" spans="1:33" ht="24.95" customHeight="1" x14ac:dyDescent="0.25">
      <c r="A148" s="15"/>
      <c r="B148" s="600" t="s">
        <v>77</v>
      </c>
      <c r="C148" s="601"/>
      <c r="D148" s="601"/>
      <c r="E148" s="602"/>
      <c r="F148" s="337" t="s">
        <v>49</v>
      </c>
      <c r="G148" s="306">
        <f>4000000</f>
        <v>4000000</v>
      </c>
      <c r="H148" s="48">
        <v>1</v>
      </c>
      <c r="I148" s="57">
        <f>+ROUND(H148*G148,0)</f>
        <v>4000000</v>
      </c>
      <c r="J148" s="48"/>
      <c r="K148" s="49"/>
      <c r="L148" s="48"/>
      <c r="M148" s="49"/>
      <c r="N148" s="43"/>
      <c r="O148" s="49"/>
      <c r="P148" s="43"/>
      <c r="Q148" s="49"/>
      <c r="R148" s="50"/>
      <c r="S148" s="49"/>
      <c r="T148" s="50"/>
      <c r="U148" s="49"/>
      <c r="V148" s="43"/>
      <c r="W148" s="49"/>
      <c r="X148" s="43"/>
      <c r="Y148" s="49"/>
      <c r="Z148" s="43"/>
      <c r="AA148" s="49"/>
      <c r="AB148" s="43"/>
      <c r="AC148" s="49"/>
      <c r="AD148" s="43"/>
      <c r="AE148" s="49"/>
      <c r="AF148" s="43"/>
      <c r="AG148" s="49"/>
    </row>
    <row r="149" spans="1:33" hidden="1" x14ac:dyDescent="0.25">
      <c r="A149" s="15"/>
      <c r="B149" s="600"/>
      <c r="C149" s="601"/>
      <c r="D149" s="601"/>
      <c r="E149" s="602"/>
      <c r="F149" s="75"/>
      <c r="G149" s="44"/>
      <c r="H149" s="48"/>
      <c r="I149" s="57">
        <f>+$G149*H149</f>
        <v>0</v>
      </c>
      <c r="J149" s="48"/>
      <c r="K149" s="49">
        <f>+$G149*J149</f>
        <v>0</v>
      </c>
      <c r="L149" s="48"/>
      <c r="M149" s="49">
        <f t="shared" si="80"/>
        <v>0</v>
      </c>
      <c r="N149" s="43"/>
      <c r="O149" s="49">
        <f t="shared" si="81"/>
        <v>0</v>
      </c>
      <c r="P149" s="43"/>
      <c r="Q149" s="49">
        <f t="shared" si="82"/>
        <v>0</v>
      </c>
      <c r="R149" s="43"/>
      <c r="S149" s="49">
        <f t="shared" si="83"/>
        <v>0</v>
      </c>
      <c r="T149" s="43"/>
      <c r="U149" s="49">
        <f t="shared" si="84"/>
        <v>0</v>
      </c>
      <c r="V149" s="43"/>
      <c r="W149" s="49">
        <f t="shared" si="85"/>
        <v>0</v>
      </c>
      <c r="X149" s="43"/>
      <c r="Y149" s="49">
        <f t="shared" si="86"/>
        <v>0</v>
      </c>
      <c r="Z149" s="43"/>
      <c r="AA149" s="49">
        <f t="shared" si="87"/>
        <v>0</v>
      </c>
      <c r="AB149" s="43"/>
      <c r="AC149" s="49">
        <f t="shared" si="88"/>
        <v>0</v>
      </c>
      <c r="AD149" s="43"/>
      <c r="AE149" s="49">
        <f t="shared" si="89"/>
        <v>0</v>
      </c>
      <c r="AF149" s="43"/>
      <c r="AG149" s="49">
        <f t="shared" si="90"/>
        <v>0</v>
      </c>
    </row>
    <row r="150" spans="1:33" hidden="1" x14ac:dyDescent="0.25">
      <c r="A150" s="15"/>
      <c r="B150" s="600"/>
      <c r="C150" s="601"/>
      <c r="D150" s="601"/>
      <c r="E150" s="602"/>
      <c r="F150" s="75"/>
      <c r="G150" s="44"/>
      <c r="H150" s="48"/>
      <c r="I150" s="57">
        <f>+$G150*H150</f>
        <v>0</v>
      </c>
      <c r="J150" s="48"/>
      <c r="K150" s="49">
        <f>+$G150*J150</f>
        <v>0</v>
      </c>
      <c r="L150" s="48"/>
      <c r="M150" s="49">
        <f t="shared" si="80"/>
        <v>0</v>
      </c>
      <c r="N150" s="43"/>
      <c r="O150" s="49">
        <f t="shared" si="81"/>
        <v>0</v>
      </c>
      <c r="P150" s="43"/>
      <c r="Q150" s="49">
        <f t="shared" si="82"/>
        <v>0</v>
      </c>
      <c r="R150" s="43"/>
      <c r="S150" s="49">
        <f t="shared" si="83"/>
        <v>0</v>
      </c>
      <c r="T150" s="43"/>
      <c r="U150" s="49">
        <f t="shared" si="84"/>
        <v>0</v>
      </c>
      <c r="V150" s="43"/>
      <c r="W150" s="49">
        <f t="shared" si="85"/>
        <v>0</v>
      </c>
      <c r="X150" s="43"/>
      <c r="Y150" s="49">
        <f t="shared" si="86"/>
        <v>0</v>
      </c>
      <c r="Z150" s="43"/>
      <c r="AA150" s="49">
        <f t="shared" si="87"/>
        <v>0</v>
      </c>
      <c r="AB150" s="43"/>
      <c r="AC150" s="49">
        <f t="shared" si="88"/>
        <v>0</v>
      </c>
      <c r="AD150" s="43"/>
      <c r="AE150" s="49">
        <f t="shared" si="89"/>
        <v>0</v>
      </c>
      <c r="AF150" s="43"/>
      <c r="AG150" s="49">
        <f t="shared" si="90"/>
        <v>0</v>
      </c>
    </row>
    <row r="151" spans="1:33" hidden="1" x14ac:dyDescent="0.25">
      <c r="A151" s="15"/>
      <c r="B151" s="600"/>
      <c r="C151" s="601"/>
      <c r="D151" s="601"/>
      <c r="E151" s="602"/>
      <c r="F151" s="75"/>
      <c r="G151" s="44"/>
      <c r="H151" s="48"/>
      <c r="I151" s="57">
        <f>+$G151*H151</f>
        <v>0</v>
      </c>
      <c r="J151" s="48"/>
      <c r="K151" s="49">
        <f>+$G151*J151</f>
        <v>0</v>
      </c>
      <c r="L151" s="48"/>
      <c r="M151" s="49">
        <f t="shared" si="80"/>
        <v>0</v>
      </c>
      <c r="N151" s="43"/>
      <c r="O151" s="49">
        <f t="shared" si="81"/>
        <v>0</v>
      </c>
      <c r="P151" s="43"/>
      <c r="Q151" s="49">
        <f t="shared" si="82"/>
        <v>0</v>
      </c>
      <c r="R151" s="43"/>
      <c r="S151" s="49">
        <f t="shared" si="83"/>
        <v>0</v>
      </c>
      <c r="T151" s="43"/>
      <c r="U151" s="49">
        <f t="shared" si="84"/>
        <v>0</v>
      </c>
      <c r="V151" s="43"/>
      <c r="W151" s="49">
        <f t="shared" si="85"/>
        <v>0</v>
      </c>
      <c r="X151" s="43"/>
      <c r="Y151" s="49">
        <f t="shared" si="86"/>
        <v>0</v>
      </c>
      <c r="Z151" s="43"/>
      <c r="AA151" s="49">
        <f t="shared" si="87"/>
        <v>0</v>
      </c>
      <c r="AB151" s="43"/>
      <c r="AC151" s="49">
        <f t="shared" si="88"/>
        <v>0</v>
      </c>
      <c r="AD151" s="43"/>
      <c r="AE151" s="49">
        <f t="shared" si="89"/>
        <v>0</v>
      </c>
      <c r="AF151" s="43"/>
      <c r="AG151" s="49">
        <f t="shared" si="90"/>
        <v>0</v>
      </c>
    </row>
    <row r="152" spans="1:33" hidden="1" x14ac:dyDescent="0.25">
      <c r="A152" s="15"/>
      <c r="B152" s="600"/>
      <c r="C152" s="601"/>
      <c r="D152" s="601"/>
      <c r="E152" s="602"/>
      <c r="F152" s="75"/>
      <c r="G152" s="44"/>
      <c r="H152" s="48"/>
      <c r="I152" s="57">
        <f>+$G152*H152</f>
        <v>0</v>
      </c>
      <c r="J152" s="48"/>
      <c r="K152" s="49">
        <f>+$G152*J152</f>
        <v>0</v>
      </c>
      <c r="L152" s="48"/>
      <c r="M152" s="49">
        <f t="shared" si="80"/>
        <v>0</v>
      </c>
      <c r="N152" s="43"/>
      <c r="O152" s="49">
        <f t="shared" si="81"/>
        <v>0</v>
      </c>
      <c r="P152" s="43"/>
      <c r="Q152" s="49">
        <f t="shared" si="82"/>
        <v>0</v>
      </c>
      <c r="R152" s="43"/>
      <c r="S152" s="49">
        <f t="shared" si="83"/>
        <v>0</v>
      </c>
      <c r="T152" s="43"/>
      <c r="U152" s="49">
        <f t="shared" si="84"/>
        <v>0</v>
      </c>
      <c r="V152" s="43"/>
      <c r="W152" s="49">
        <f t="shared" si="85"/>
        <v>0</v>
      </c>
      <c r="X152" s="43"/>
      <c r="Y152" s="49">
        <f t="shared" si="86"/>
        <v>0</v>
      </c>
      <c r="Z152" s="43"/>
      <c r="AA152" s="49">
        <f t="shared" si="87"/>
        <v>0</v>
      </c>
      <c r="AB152" s="43"/>
      <c r="AC152" s="49">
        <f t="shared" si="88"/>
        <v>0</v>
      </c>
      <c r="AD152" s="43"/>
      <c r="AE152" s="49">
        <f t="shared" si="89"/>
        <v>0</v>
      </c>
      <c r="AF152" s="43"/>
      <c r="AG152" s="49">
        <f t="shared" si="90"/>
        <v>0</v>
      </c>
    </row>
    <row r="153" spans="1:33" x14ac:dyDescent="0.25">
      <c r="A153" s="15"/>
      <c r="B153" s="605" t="s">
        <v>79</v>
      </c>
      <c r="C153" s="606"/>
      <c r="D153" s="606"/>
      <c r="E153" s="606"/>
      <c r="F153" s="108"/>
      <c r="G153" s="109"/>
      <c r="H153" s="110"/>
      <c r="I153" s="193">
        <f>+SUM(I138:I152)</f>
        <v>143384694</v>
      </c>
      <c r="J153" s="116"/>
      <c r="K153" s="111">
        <f>+SUM(K138:K152)</f>
        <v>0</v>
      </c>
      <c r="L153" s="116"/>
      <c r="M153" s="111">
        <f>+SUM(M138:M152)</f>
        <v>0</v>
      </c>
      <c r="N153" s="116"/>
      <c r="O153" s="111">
        <f>+SUM(O138:O152)</f>
        <v>0</v>
      </c>
      <c r="P153" s="110"/>
      <c r="Q153" s="111">
        <f>+SUM(Q138:Q152)</f>
        <v>0</v>
      </c>
      <c r="R153" s="116"/>
      <c r="S153" s="111">
        <f>+SUM(S138:S152)</f>
        <v>0</v>
      </c>
      <c r="T153" s="116"/>
      <c r="U153" s="111">
        <f>+SUM(U138:U152)</f>
        <v>0</v>
      </c>
      <c r="V153" s="110"/>
      <c r="W153" s="111">
        <f>+SUM(W138:W152)</f>
        <v>0</v>
      </c>
      <c r="X153" s="110"/>
      <c r="Y153" s="111">
        <f>+SUM(Y138:Y152)</f>
        <v>0</v>
      </c>
      <c r="Z153" s="110"/>
      <c r="AA153" s="111">
        <f>+SUM(AA138:AA152)</f>
        <v>0</v>
      </c>
      <c r="AB153" s="110"/>
      <c r="AC153" s="111">
        <f>+SUM(AC138:AC152)</f>
        <v>0</v>
      </c>
      <c r="AD153" s="110"/>
      <c r="AE153" s="111">
        <f>+SUM(AE138:AE152)</f>
        <v>0</v>
      </c>
      <c r="AF153" s="110"/>
      <c r="AG153" s="111">
        <f>+SUM(AG138:AG152)</f>
        <v>0</v>
      </c>
    </row>
    <row r="154" spans="1:33" x14ac:dyDescent="0.25">
      <c r="A154" s="15"/>
      <c r="B154" s="22"/>
      <c r="C154" s="22"/>
      <c r="D154" s="22"/>
      <c r="E154" s="22"/>
      <c r="F154" s="22"/>
      <c r="G154" s="107"/>
      <c r="H154" s="22"/>
      <c r="I154" s="192"/>
      <c r="J154" s="22"/>
      <c r="K154" s="22"/>
      <c r="L154" s="22"/>
      <c r="M154" s="22"/>
      <c r="N154" s="22"/>
      <c r="O154" s="22"/>
      <c r="P154" s="22"/>
      <c r="Q154" s="22"/>
      <c r="R154" s="22"/>
      <c r="S154" s="22"/>
      <c r="T154" s="22"/>
      <c r="U154" s="22"/>
      <c r="V154" s="22"/>
      <c r="W154" s="22"/>
      <c r="X154" s="22"/>
      <c r="Y154" s="22"/>
      <c r="Z154" s="22"/>
      <c r="AA154" s="22"/>
      <c r="AB154" s="22"/>
      <c r="AC154" s="22"/>
      <c r="AD154" s="22"/>
      <c r="AE154" s="22"/>
      <c r="AF154" s="22"/>
      <c r="AG154" s="22"/>
    </row>
    <row r="155" spans="1:33" x14ac:dyDescent="0.25">
      <c r="A155" s="15"/>
      <c r="B155" s="117" t="s">
        <v>80</v>
      </c>
      <c r="C155" s="117"/>
      <c r="D155" s="117"/>
      <c r="E155" s="117"/>
      <c r="F155" s="118"/>
      <c r="G155" s="119"/>
      <c r="H155" s="110"/>
      <c r="I155" s="193">
        <f>+I134+I153</f>
        <v>1083940916.3400002</v>
      </c>
      <c r="J155" s="110"/>
      <c r="K155" s="111">
        <f>+K134+K153</f>
        <v>0</v>
      </c>
      <c r="L155" s="110"/>
      <c r="M155" s="111">
        <f>+M134+M153</f>
        <v>0</v>
      </c>
      <c r="N155" s="110"/>
      <c r="O155" s="111">
        <f>+O134+O153</f>
        <v>0</v>
      </c>
      <c r="P155" s="110"/>
      <c r="Q155" s="111">
        <f>+Q134+Q153</f>
        <v>0</v>
      </c>
      <c r="R155" s="110"/>
      <c r="S155" s="111">
        <f>+S134+S153</f>
        <v>0</v>
      </c>
      <c r="T155" s="110"/>
      <c r="U155" s="111">
        <f>+U134+U153</f>
        <v>0</v>
      </c>
      <c r="V155" s="110"/>
      <c r="W155" s="111">
        <f>+W134+W153</f>
        <v>0</v>
      </c>
      <c r="X155" s="110"/>
      <c r="Y155" s="111">
        <f>+Y134+Y153</f>
        <v>0</v>
      </c>
      <c r="Z155" s="110"/>
      <c r="AA155" s="111">
        <f>+AA134+AA153</f>
        <v>0</v>
      </c>
      <c r="AB155" s="110"/>
      <c r="AC155" s="111">
        <f>+AC134+AC153</f>
        <v>0</v>
      </c>
      <c r="AD155" s="110"/>
      <c r="AE155" s="111">
        <f>+AE134+AE153</f>
        <v>0</v>
      </c>
      <c r="AF155" s="110"/>
      <c r="AG155" s="111">
        <f>+AG134+AG153</f>
        <v>0</v>
      </c>
    </row>
    <row r="156" spans="1:33" x14ac:dyDescent="0.25">
      <c r="A156" s="15"/>
      <c r="B156" s="15" t="s">
        <v>169</v>
      </c>
      <c r="C156" s="15"/>
      <c r="D156" s="15"/>
      <c r="E156" s="15"/>
      <c r="F156" s="15"/>
      <c r="G156" s="23"/>
      <c r="H156" s="15"/>
      <c r="I156" s="182"/>
      <c r="J156" s="15"/>
      <c r="K156" s="15"/>
      <c r="L156" s="15"/>
      <c r="M156" s="15"/>
      <c r="N156" s="15"/>
      <c r="O156" s="15"/>
      <c r="P156" s="15"/>
      <c r="Q156" s="15"/>
      <c r="R156" s="15"/>
      <c r="S156" s="15"/>
      <c r="T156" s="15"/>
      <c r="U156" s="15"/>
      <c r="V156" s="15"/>
      <c r="W156" s="15"/>
      <c r="X156" s="15"/>
      <c r="Y156" s="15"/>
      <c r="Z156" s="15"/>
      <c r="AA156" s="15"/>
      <c r="AB156" s="15"/>
      <c r="AC156" s="15"/>
      <c r="AD156" s="15"/>
      <c r="AE156" s="15"/>
    </row>
    <row r="157" spans="1:33" x14ac:dyDescent="0.25">
      <c r="A157" s="15"/>
      <c r="B157" s="15"/>
      <c r="C157" s="15"/>
      <c r="D157" s="15"/>
      <c r="E157" s="15"/>
      <c r="F157" s="15"/>
      <c r="G157" s="23"/>
      <c r="H157" s="15"/>
      <c r="I157" s="182"/>
      <c r="J157" s="15"/>
      <c r="K157" s="15"/>
      <c r="L157" s="15"/>
      <c r="M157" s="15"/>
      <c r="N157" s="15"/>
      <c r="O157" s="15"/>
      <c r="P157" s="15"/>
      <c r="Q157" s="15"/>
      <c r="R157" s="15"/>
      <c r="S157" s="15"/>
      <c r="T157" s="15"/>
      <c r="U157" s="15"/>
      <c r="V157" s="15"/>
      <c r="W157" s="15"/>
      <c r="X157" s="15"/>
      <c r="Y157" s="15"/>
      <c r="Z157" s="15"/>
      <c r="AA157" s="15"/>
      <c r="AB157" s="15"/>
      <c r="AC157" s="15"/>
      <c r="AD157" s="15"/>
      <c r="AE157" s="15"/>
    </row>
    <row r="158" spans="1:33" ht="25.5" customHeight="1" x14ac:dyDescent="0.25">
      <c r="A158" s="15"/>
      <c r="B158" s="623" t="s">
        <v>81</v>
      </c>
      <c r="C158" s="625" t="s">
        <v>82</v>
      </c>
      <c r="D158" s="625"/>
      <c r="E158" s="626"/>
      <c r="F158" s="624" t="s">
        <v>83</v>
      </c>
      <c r="G158" s="627"/>
      <c r="H158" s="627"/>
      <c r="I158" s="627"/>
      <c r="J158" s="627"/>
      <c r="K158" s="627"/>
      <c r="L158" s="627"/>
      <c r="M158" s="627"/>
      <c r="N158" s="627"/>
      <c r="O158" s="627"/>
      <c r="P158" s="627"/>
      <c r="Q158" s="627"/>
      <c r="R158" s="627"/>
      <c r="S158" s="627"/>
      <c r="T158" s="627"/>
      <c r="U158" s="627"/>
      <c r="V158" s="627"/>
      <c r="W158" s="627"/>
      <c r="X158" s="627"/>
      <c r="Y158" s="627"/>
      <c r="Z158" s="627"/>
      <c r="AA158" s="627"/>
      <c r="AB158" s="627"/>
      <c r="AC158" s="627"/>
      <c r="AD158" s="627"/>
      <c r="AE158" s="627"/>
      <c r="AF158" s="627"/>
      <c r="AG158" s="627"/>
    </row>
    <row r="159" spans="1:33" ht="15" customHeight="1" x14ac:dyDescent="0.25">
      <c r="A159" s="15"/>
      <c r="B159" s="624"/>
      <c r="C159" s="627"/>
      <c r="D159" s="627"/>
      <c r="E159" s="628"/>
      <c r="F159" s="621" t="s">
        <v>22</v>
      </c>
      <c r="G159" s="622"/>
      <c r="H159" s="621" t="s">
        <v>24</v>
      </c>
      <c r="I159" s="622"/>
      <c r="J159" s="621" t="s">
        <v>25</v>
      </c>
      <c r="K159" s="622"/>
      <c r="L159" s="621" t="s">
        <v>26</v>
      </c>
      <c r="M159" s="622"/>
      <c r="N159" s="621" t="s">
        <v>27</v>
      </c>
      <c r="O159" s="622"/>
      <c r="P159" s="621" t="s">
        <v>28</v>
      </c>
      <c r="Q159" s="622"/>
      <c r="R159" s="621" t="s">
        <v>29</v>
      </c>
      <c r="S159" s="622"/>
      <c r="T159" s="621" t="s">
        <v>30</v>
      </c>
      <c r="U159" s="622"/>
      <c r="V159" s="621" t="s">
        <v>31</v>
      </c>
      <c r="W159" s="622"/>
      <c r="X159" s="621" t="s">
        <v>32</v>
      </c>
      <c r="Y159" s="622"/>
      <c r="Z159" s="621" t="s">
        <v>33</v>
      </c>
      <c r="AA159" s="622"/>
      <c r="AB159" s="621" t="s">
        <v>34</v>
      </c>
      <c r="AC159" s="622"/>
      <c r="AD159" s="621" t="s">
        <v>35</v>
      </c>
      <c r="AE159" s="622"/>
      <c r="AF159" s="621" t="s">
        <v>36</v>
      </c>
      <c r="AG159" s="622"/>
    </row>
    <row r="160" spans="1:33" ht="15" customHeight="1" x14ac:dyDescent="0.25">
      <c r="A160" s="15"/>
      <c r="B160" s="120" t="s">
        <v>3</v>
      </c>
      <c r="C160" s="629"/>
      <c r="D160" s="629"/>
      <c r="E160" s="630"/>
      <c r="F160" s="539" t="s">
        <v>84</v>
      </c>
      <c r="G160" s="631"/>
      <c r="H160" s="121"/>
      <c r="I160" s="195"/>
      <c r="J160" s="122"/>
      <c r="K160" s="48">
        <f>20*13*55</f>
        <v>14300</v>
      </c>
      <c r="L160" s="122"/>
      <c r="M160" s="123">
        <f>25*13*55</f>
        <v>17875</v>
      </c>
      <c r="N160" s="122"/>
      <c r="O160" s="124">
        <f>34*13*55</f>
        <v>24310</v>
      </c>
      <c r="P160" s="125"/>
      <c r="Q160" s="124">
        <f>O160</f>
        <v>24310</v>
      </c>
      <c r="R160" s="122"/>
      <c r="S160" s="124">
        <f>Q160</f>
        <v>24310</v>
      </c>
      <c r="T160" s="122"/>
      <c r="U160" s="124">
        <f>S160</f>
        <v>24310</v>
      </c>
      <c r="V160" s="122"/>
      <c r="W160" s="124">
        <f>U160</f>
        <v>24310</v>
      </c>
      <c r="X160" s="122"/>
      <c r="Y160" s="124">
        <f>W160</f>
        <v>24310</v>
      </c>
      <c r="Z160" s="122"/>
      <c r="AA160" s="124">
        <f>Y160</f>
        <v>24310</v>
      </c>
      <c r="AB160" s="122"/>
      <c r="AC160" s="124">
        <f>AA160</f>
        <v>24310</v>
      </c>
      <c r="AD160" s="122"/>
      <c r="AE160" s="124">
        <f>AC160</f>
        <v>24310</v>
      </c>
      <c r="AF160" s="122"/>
      <c r="AG160" s="124">
        <f>AE160</f>
        <v>24310</v>
      </c>
    </row>
    <row r="161" spans="1:245" x14ac:dyDescent="0.25">
      <c r="A161" s="15"/>
      <c r="B161" s="120" t="s">
        <v>85</v>
      </c>
      <c r="C161" s="629"/>
      <c r="D161" s="629"/>
      <c r="E161" s="630"/>
      <c r="F161" s="539" t="s">
        <v>84</v>
      </c>
      <c r="G161" s="631"/>
      <c r="H161" s="121"/>
      <c r="I161" s="195"/>
      <c r="J161" s="122"/>
      <c r="K161" s="48">
        <f>0.15*13*21</f>
        <v>40.949999999999996</v>
      </c>
      <c r="L161" s="122"/>
      <c r="M161" s="124">
        <f>0.175*13*21</f>
        <v>47.774999999999999</v>
      </c>
      <c r="N161" s="122"/>
      <c r="O161" s="124">
        <f>0.2*13*21</f>
        <v>54.6</v>
      </c>
      <c r="P161" s="125"/>
      <c r="Q161" s="124">
        <f>O161</f>
        <v>54.6</v>
      </c>
      <c r="R161" s="122"/>
      <c r="S161" s="124">
        <f>Q161</f>
        <v>54.6</v>
      </c>
      <c r="T161" s="122"/>
      <c r="U161" s="124">
        <f>S161</f>
        <v>54.6</v>
      </c>
      <c r="V161" s="122"/>
      <c r="W161" s="124">
        <f>U161</f>
        <v>54.6</v>
      </c>
      <c r="X161" s="122"/>
      <c r="Y161" s="124">
        <f>W161</f>
        <v>54.6</v>
      </c>
      <c r="Z161" s="122"/>
      <c r="AA161" s="124">
        <f>Y161</f>
        <v>54.6</v>
      </c>
      <c r="AB161" s="122"/>
      <c r="AC161" s="124">
        <f>AA161</f>
        <v>54.6</v>
      </c>
      <c r="AD161" s="122"/>
      <c r="AE161" s="124">
        <f>AC161</f>
        <v>54.6</v>
      </c>
      <c r="AF161" s="122"/>
      <c r="AG161" s="124">
        <f>AE161</f>
        <v>54.6</v>
      </c>
    </row>
    <row r="162" spans="1:245" x14ac:dyDescent="0.25">
      <c r="A162" s="15"/>
      <c r="B162" s="120" t="s">
        <v>86</v>
      </c>
      <c r="C162" s="629"/>
      <c r="D162" s="629"/>
      <c r="E162" s="630"/>
      <c r="F162" s="539" t="s">
        <v>84</v>
      </c>
      <c r="G162" s="631"/>
      <c r="H162" s="121"/>
      <c r="I162" s="195"/>
      <c r="J162" s="122"/>
      <c r="K162" s="48">
        <f>0.5*13*21</f>
        <v>136.5</v>
      </c>
      <c r="L162" s="122"/>
      <c r="M162" s="124">
        <f>0.6*13*21</f>
        <v>163.79999999999998</v>
      </c>
      <c r="N162" s="122"/>
      <c r="O162" s="124">
        <f>0.7*13*21</f>
        <v>191.1</v>
      </c>
      <c r="P162" s="125"/>
      <c r="Q162" s="124">
        <f>O162</f>
        <v>191.1</v>
      </c>
      <c r="R162" s="122"/>
      <c r="S162" s="124">
        <f>Q162</f>
        <v>191.1</v>
      </c>
      <c r="T162" s="122"/>
      <c r="U162" s="124">
        <f>S162</f>
        <v>191.1</v>
      </c>
      <c r="V162" s="122"/>
      <c r="W162" s="124">
        <f>U162</f>
        <v>191.1</v>
      </c>
      <c r="X162" s="122"/>
      <c r="Y162" s="124">
        <f>W162</f>
        <v>191.1</v>
      </c>
      <c r="Z162" s="122"/>
      <c r="AA162" s="124">
        <f>Y162</f>
        <v>191.1</v>
      </c>
      <c r="AB162" s="122"/>
      <c r="AC162" s="124">
        <f>AA162</f>
        <v>191.1</v>
      </c>
      <c r="AD162" s="122"/>
      <c r="AE162" s="124">
        <f>AC162</f>
        <v>191.1</v>
      </c>
      <c r="AF162" s="122"/>
      <c r="AG162" s="124">
        <f>AE162</f>
        <v>191.1</v>
      </c>
    </row>
    <row r="163" spans="1:245" x14ac:dyDescent="0.25">
      <c r="A163" s="15"/>
      <c r="B163" s="120" t="s">
        <v>366</v>
      </c>
      <c r="C163" s="629"/>
      <c r="D163" s="629"/>
      <c r="E163" s="630"/>
      <c r="F163" s="539" t="s">
        <v>367</v>
      </c>
      <c r="G163" s="631"/>
      <c r="H163" s="126"/>
      <c r="I163" s="196"/>
      <c r="J163" s="127"/>
      <c r="K163" s="48">
        <v>0</v>
      </c>
      <c r="L163" s="48">
        <v>0</v>
      </c>
      <c r="M163" s="48">
        <v>0</v>
      </c>
      <c r="N163" s="48">
        <v>0</v>
      </c>
      <c r="O163" s="48">
        <v>0</v>
      </c>
      <c r="P163" s="48">
        <v>0</v>
      </c>
      <c r="Q163" s="48">
        <v>0</v>
      </c>
      <c r="R163" s="48">
        <v>0</v>
      </c>
      <c r="S163" s="48">
        <v>0</v>
      </c>
      <c r="T163" s="48">
        <v>0</v>
      </c>
      <c r="U163" s="48">
        <v>0</v>
      </c>
      <c r="V163" s="48">
        <v>0</v>
      </c>
      <c r="W163" s="48">
        <v>0</v>
      </c>
      <c r="X163" s="48">
        <v>0</v>
      </c>
      <c r="Y163" s="48">
        <v>0</v>
      </c>
      <c r="Z163" s="48">
        <v>0</v>
      </c>
      <c r="AA163" s="48">
        <v>0</v>
      </c>
      <c r="AB163" s="48">
        <v>0</v>
      </c>
      <c r="AC163" s="48">
        <v>0</v>
      </c>
      <c r="AD163" s="48">
        <v>0</v>
      </c>
      <c r="AE163" s="48">
        <v>0</v>
      </c>
      <c r="AF163" s="48">
        <v>0</v>
      </c>
      <c r="AG163" s="48">
        <v>0</v>
      </c>
    </row>
    <row r="164" spans="1:245" x14ac:dyDescent="0.25">
      <c r="A164" s="15"/>
      <c r="B164" s="120"/>
      <c r="C164" s="629"/>
      <c r="D164" s="629"/>
      <c r="E164" s="630"/>
      <c r="F164" s="539"/>
      <c r="G164" s="631"/>
      <c r="H164" s="126"/>
      <c r="I164" s="196"/>
      <c r="J164" s="127"/>
      <c r="K164" s="48"/>
      <c r="L164" s="128"/>
      <c r="M164" s="129"/>
      <c r="N164" s="128"/>
      <c r="O164" s="129"/>
      <c r="P164" s="128"/>
      <c r="Q164" s="129"/>
      <c r="R164" s="128"/>
      <c r="S164" s="129"/>
      <c r="T164" s="128"/>
      <c r="U164" s="129"/>
      <c r="V164" s="128"/>
      <c r="W164" s="129"/>
      <c r="X164" s="128"/>
      <c r="Y164" s="129"/>
      <c r="Z164" s="128"/>
      <c r="AA164" s="129"/>
      <c r="AB164" s="128"/>
      <c r="AC164" s="129"/>
      <c r="AD164" s="128"/>
      <c r="AE164" s="129"/>
      <c r="AF164" s="128"/>
      <c r="AG164" s="129"/>
    </row>
    <row r="165" spans="1:245" x14ac:dyDescent="0.25">
      <c r="A165" s="15"/>
      <c r="B165" s="120"/>
      <c r="C165" s="629"/>
      <c r="D165" s="629"/>
      <c r="E165" s="630"/>
      <c r="F165" s="632"/>
      <c r="G165" s="633"/>
      <c r="H165" s="126"/>
      <c r="I165" s="196"/>
      <c r="J165" s="127"/>
      <c r="K165" s="48">
        <f>SUM(K160:K162)</f>
        <v>14477.45</v>
      </c>
      <c r="L165" s="129"/>
      <c r="M165" s="48">
        <f t="shared" ref="M165:AE165" si="92">SUM(M160:M162)</f>
        <v>18086.575000000001</v>
      </c>
      <c r="N165" s="129"/>
      <c r="O165" s="48">
        <f t="shared" si="92"/>
        <v>24555.699999999997</v>
      </c>
      <c r="P165" s="129"/>
      <c r="Q165" s="48">
        <f t="shared" si="92"/>
        <v>24555.699999999997</v>
      </c>
      <c r="R165" s="129"/>
      <c r="S165" s="48">
        <f t="shared" si="92"/>
        <v>24555.699999999997</v>
      </c>
      <c r="T165" s="129"/>
      <c r="U165" s="48">
        <f t="shared" si="92"/>
        <v>24555.699999999997</v>
      </c>
      <c r="V165" s="129"/>
      <c r="W165" s="48">
        <f t="shared" si="92"/>
        <v>24555.699999999997</v>
      </c>
      <c r="X165" s="129"/>
      <c r="Y165" s="48">
        <f t="shared" si="92"/>
        <v>24555.699999999997</v>
      </c>
      <c r="Z165" s="129"/>
      <c r="AA165" s="48">
        <f t="shared" si="92"/>
        <v>24555.699999999997</v>
      </c>
      <c r="AB165" s="129"/>
      <c r="AC165" s="48">
        <f t="shared" si="92"/>
        <v>24555.699999999997</v>
      </c>
      <c r="AD165" s="129"/>
      <c r="AE165" s="48">
        <f t="shared" si="92"/>
        <v>24555.699999999997</v>
      </c>
      <c r="AF165" s="129"/>
      <c r="AG165" s="48">
        <f>SUM(AG160:AG162)</f>
        <v>24555.699999999997</v>
      </c>
    </row>
    <row r="166" spans="1:245" x14ac:dyDescent="0.25">
      <c r="A166" s="15"/>
      <c r="B166" s="15"/>
      <c r="C166" s="15"/>
      <c r="D166" s="15"/>
      <c r="E166" s="15"/>
      <c r="F166" s="634" t="s">
        <v>87</v>
      </c>
      <c r="G166" s="634"/>
      <c r="H166" s="634" t="s">
        <v>88</v>
      </c>
      <c r="I166" s="634"/>
      <c r="J166" s="634" t="s">
        <v>89</v>
      </c>
      <c r="K166" s="634"/>
      <c r="L166" s="634" t="s">
        <v>90</v>
      </c>
      <c r="M166" s="634"/>
      <c r="N166" s="634" t="s">
        <v>91</v>
      </c>
      <c r="O166" s="634"/>
      <c r="P166" s="15"/>
      <c r="Q166" s="15"/>
      <c r="R166" s="15"/>
      <c r="S166" s="15"/>
      <c r="T166" s="15"/>
      <c r="U166" s="15"/>
      <c r="V166" s="15"/>
      <c r="W166" s="15"/>
      <c r="X166" s="15"/>
      <c r="Y166" s="15"/>
      <c r="Z166" s="15"/>
      <c r="AA166" s="15"/>
      <c r="AB166" s="15"/>
      <c r="AC166" s="15"/>
      <c r="AD166" s="12"/>
      <c r="AE166" s="17"/>
      <c r="AF166" s="17"/>
    </row>
    <row r="167" spans="1:245" ht="72" x14ac:dyDescent="0.25">
      <c r="A167" s="15"/>
      <c r="B167" s="15"/>
      <c r="C167" s="15"/>
      <c r="D167" s="15"/>
      <c r="E167" s="120" t="s">
        <v>3</v>
      </c>
      <c r="F167" s="130" t="s">
        <v>92</v>
      </c>
      <c r="G167" s="131">
        <v>9000</v>
      </c>
      <c r="H167" s="130" t="s">
        <v>92</v>
      </c>
      <c r="I167" s="197">
        <v>10000</v>
      </c>
      <c r="J167" s="130" t="s">
        <v>92</v>
      </c>
      <c r="K167" s="132">
        <v>11000</v>
      </c>
      <c r="L167" s="130" t="s">
        <v>92</v>
      </c>
      <c r="M167" s="132"/>
      <c r="N167" s="130" t="s">
        <v>92</v>
      </c>
      <c r="O167" s="132"/>
      <c r="P167" s="15">
        <f>+O160*G167</f>
        <v>218790000</v>
      </c>
      <c r="Q167" s="15"/>
      <c r="R167" s="15"/>
      <c r="S167" s="15"/>
      <c r="T167" s="15"/>
      <c r="U167" s="15"/>
      <c r="V167" s="15"/>
      <c r="W167" s="15"/>
      <c r="X167" s="15"/>
      <c r="Y167" s="15"/>
      <c r="Z167" s="15"/>
      <c r="AA167" s="15"/>
      <c r="AB167" s="15"/>
      <c r="AC167" s="15"/>
      <c r="AD167" s="12"/>
      <c r="AE167" s="17"/>
      <c r="AF167" s="17"/>
    </row>
    <row r="168" spans="1:245" ht="144" x14ac:dyDescent="0.25">
      <c r="B168" s="15"/>
      <c r="C168" s="15"/>
      <c r="D168" s="15"/>
      <c r="E168" s="120" t="s">
        <v>85</v>
      </c>
      <c r="F168" s="130" t="s">
        <v>92</v>
      </c>
      <c r="G168" s="131">
        <v>30000</v>
      </c>
      <c r="H168" s="130" t="s">
        <v>92</v>
      </c>
      <c r="I168" s="197">
        <v>31000</v>
      </c>
      <c r="J168" s="130" t="s">
        <v>92</v>
      </c>
      <c r="K168" s="132">
        <v>32000</v>
      </c>
      <c r="L168" s="130" t="s">
        <v>92</v>
      </c>
      <c r="M168" s="132"/>
      <c r="N168" s="130" t="s">
        <v>92</v>
      </c>
      <c r="O168" s="132"/>
      <c r="P168" s="15">
        <f>+O161*G168</f>
        <v>1638000</v>
      </c>
      <c r="Q168" s="15"/>
      <c r="R168" s="15"/>
      <c r="S168" s="15"/>
      <c r="T168" s="15"/>
      <c r="U168" s="15"/>
      <c r="V168" s="15"/>
      <c r="W168" s="15"/>
      <c r="X168" s="15"/>
      <c r="Y168" s="15"/>
      <c r="Z168" s="15"/>
      <c r="AA168" s="15"/>
      <c r="AB168" s="15"/>
      <c r="AC168" s="15"/>
      <c r="AD168" s="15"/>
      <c r="AE168" s="15"/>
    </row>
    <row r="169" spans="1:245" ht="72" x14ac:dyDescent="0.25">
      <c r="B169" s="15"/>
      <c r="C169" s="15"/>
      <c r="D169" s="15"/>
      <c r="E169" s="120" t="s">
        <v>86</v>
      </c>
      <c r="F169" s="130" t="s">
        <v>92</v>
      </c>
      <c r="G169" s="131">
        <v>22000</v>
      </c>
      <c r="H169" s="130" t="s">
        <v>92</v>
      </c>
      <c r="I169" s="197">
        <v>23000</v>
      </c>
      <c r="J169" s="130" t="s">
        <v>92</v>
      </c>
      <c r="K169" s="132">
        <v>24000</v>
      </c>
      <c r="L169" s="130" t="s">
        <v>92</v>
      </c>
      <c r="M169" s="132"/>
      <c r="N169" s="130" t="s">
        <v>92</v>
      </c>
      <c r="O169" s="132"/>
      <c r="P169" s="15">
        <f>+O162*G169</f>
        <v>4204200</v>
      </c>
      <c r="Q169" s="15"/>
      <c r="R169" s="15"/>
      <c r="S169" s="15"/>
      <c r="T169" s="15"/>
      <c r="U169" s="15"/>
      <c r="V169" s="15"/>
      <c r="W169" s="15"/>
      <c r="X169" s="15"/>
      <c r="Y169" s="15"/>
      <c r="Z169" s="15"/>
      <c r="AA169" s="15"/>
      <c r="AB169" s="15"/>
      <c r="AC169" s="15"/>
      <c r="AD169" s="15"/>
      <c r="AE169" s="15"/>
    </row>
    <row r="170" spans="1:245" x14ac:dyDescent="0.25">
      <c r="B170" s="15"/>
      <c r="C170" s="15"/>
      <c r="D170" s="15"/>
      <c r="E170" s="120"/>
      <c r="F170" s="15"/>
      <c r="G170" s="23"/>
      <c r="H170" s="15"/>
      <c r="I170" s="182"/>
      <c r="J170" s="15"/>
      <c r="K170" s="15"/>
      <c r="L170" s="15"/>
      <c r="M170" s="15"/>
      <c r="N170" s="15"/>
      <c r="O170" s="15"/>
      <c r="P170" s="15"/>
      <c r="Q170" s="15"/>
      <c r="R170" s="15"/>
      <c r="S170" s="15"/>
      <c r="T170" s="15"/>
      <c r="U170" s="15"/>
      <c r="V170" s="15"/>
      <c r="W170" s="15"/>
      <c r="X170" s="15"/>
      <c r="Y170" s="15"/>
      <c r="Z170" s="15"/>
      <c r="AA170" s="15"/>
      <c r="AB170" s="15"/>
      <c r="AC170" s="15"/>
      <c r="AD170" s="15"/>
      <c r="AE170" s="15"/>
    </row>
    <row r="171" spans="1:245" x14ac:dyDescent="0.25">
      <c r="B171" s="15"/>
      <c r="C171" s="15"/>
      <c r="D171" s="15"/>
      <c r="E171" s="15"/>
      <c r="F171" s="15" t="s">
        <v>368</v>
      </c>
      <c r="G171" s="23">
        <v>120000</v>
      </c>
      <c r="H171" s="15"/>
      <c r="I171" s="182"/>
      <c r="J171" s="15"/>
      <c r="K171" s="23">
        <v>0</v>
      </c>
      <c r="L171" s="15"/>
      <c r="M171" s="15">
        <f>+K171*1.05</f>
        <v>0</v>
      </c>
      <c r="N171" s="15"/>
      <c r="O171" s="15">
        <f>+M171*1.05</f>
        <v>0</v>
      </c>
      <c r="P171" s="15"/>
      <c r="Q171" s="15">
        <f>+O171*1.05</f>
        <v>0</v>
      </c>
      <c r="R171" s="15"/>
      <c r="S171" s="15">
        <f>+Q171*1.05</f>
        <v>0</v>
      </c>
      <c r="T171" s="15"/>
      <c r="U171" s="15">
        <f>+S171*1.05</f>
        <v>0</v>
      </c>
      <c r="V171" s="15"/>
      <c r="W171" s="15">
        <f>+U171*1.05</f>
        <v>0</v>
      </c>
      <c r="X171" s="15"/>
      <c r="Y171" s="15">
        <f>+W171*1.05</f>
        <v>0</v>
      </c>
      <c r="Z171" s="15"/>
      <c r="AA171" s="15">
        <f>+Y171*1.05</f>
        <v>0</v>
      </c>
      <c r="AB171" s="15"/>
      <c r="AC171" s="15">
        <f>+AA171*1.05</f>
        <v>0</v>
      </c>
      <c r="AD171" s="15"/>
      <c r="AE171" s="15">
        <f>+AC171*1.05</f>
        <v>0</v>
      </c>
      <c r="AG171" s="15">
        <f>+AE171*1.05</f>
        <v>0</v>
      </c>
    </row>
    <row r="172" spans="1:245" x14ac:dyDescent="0.25">
      <c r="A172" s="15"/>
      <c r="B172" s="637" t="s">
        <v>93</v>
      </c>
      <c r="C172" s="637"/>
      <c r="D172" s="637"/>
      <c r="E172" s="637"/>
      <c r="F172" s="637"/>
      <c r="G172" s="638"/>
      <c r="H172" s="621" t="s">
        <v>24</v>
      </c>
      <c r="I172" s="622"/>
      <c r="J172" s="621" t="s">
        <v>25</v>
      </c>
      <c r="K172" s="622"/>
      <c r="L172" s="621" t="s">
        <v>26</v>
      </c>
      <c r="M172" s="622"/>
      <c r="N172" s="621" t="s">
        <v>27</v>
      </c>
      <c r="O172" s="622"/>
      <c r="P172" s="621" t="s">
        <v>28</v>
      </c>
      <c r="Q172" s="622"/>
      <c r="R172" s="621" t="s">
        <v>29</v>
      </c>
      <c r="S172" s="622"/>
      <c r="T172" s="621" t="s">
        <v>30</v>
      </c>
      <c r="U172" s="622"/>
      <c r="V172" s="621" t="s">
        <v>31</v>
      </c>
      <c r="W172" s="622"/>
      <c r="X172" s="621" t="s">
        <v>32</v>
      </c>
      <c r="Y172" s="622"/>
      <c r="Z172" s="621" t="s">
        <v>33</v>
      </c>
      <c r="AA172" s="622"/>
      <c r="AB172" s="621" t="s">
        <v>34</v>
      </c>
      <c r="AC172" s="622"/>
      <c r="AD172" s="621" t="s">
        <v>35</v>
      </c>
      <c r="AE172" s="622"/>
      <c r="AF172" s="621" t="s">
        <v>36</v>
      </c>
      <c r="AG172" s="622"/>
      <c r="DU172" s="16"/>
      <c r="DV172" s="16"/>
      <c r="DW172" s="16"/>
      <c r="DX172" s="16"/>
      <c r="DY172" s="16"/>
      <c r="DZ172" s="16"/>
      <c r="EA172" s="16"/>
      <c r="EB172" s="16"/>
      <c r="EC172" s="16"/>
      <c r="ED172" s="16"/>
      <c r="EE172" s="16"/>
      <c r="EF172" s="16"/>
      <c r="EG172" s="16"/>
      <c r="EH172" s="16"/>
      <c r="EI172" s="16"/>
      <c r="EJ172" s="16"/>
      <c r="EK172" s="16"/>
      <c r="EL172" s="16"/>
      <c r="EM172" s="16"/>
      <c r="EN172" s="16"/>
      <c r="EO172" s="16"/>
      <c r="EP172" s="16"/>
      <c r="EQ172" s="16"/>
      <c r="ER172" s="16"/>
      <c r="ES172" s="16"/>
      <c r="ET172" s="16"/>
      <c r="EU172" s="16"/>
      <c r="EV172" s="16"/>
      <c r="EW172" s="16"/>
      <c r="EX172" s="16"/>
      <c r="EY172" s="16"/>
      <c r="EZ172" s="16"/>
      <c r="FA172" s="16"/>
      <c r="FB172" s="16"/>
      <c r="FC172" s="16"/>
      <c r="FD172" s="16"/>
      <c r="FE172" s="16"/>
      <c r="FF172" s="16"/>
      <c r="FG172" s="16"/>
      <c r="FH172" s="16"/>
      <c r="FI172" s="16"/>
      <c r="FJ172" s="16"/>
      <c r="FK172" s="16"/>
      <c r="FL172" s="16"/>
      <c r="FM172" s="16"/>
      <c r="FN172" s="16"/>
      <c r="FO172" s="16"/>
      <c r="FP172" s="16"/>
      <c r="FQ172" s="16"/>
      <c r="FR172" s="16"/>
      <c r="FS172" s="16"/>
      <c r="FT172" s="16"/>
      <c r="FU172" s="16"/>
      <c r="FV172" s="16"/>
      <c r="FW172" s="16"/>
      <c r="FX172" s="16"/>
      <c r="FY172" s="16"/>
      <c r="FZ172" s="16"/>
      <c r="GA172" s="16"/>
      <c r="GB172" s="16"/>
      <c r="GC172" s="16"/>
      <c r="GD172" s="16"/>
      <c r="GE172" s="16"/>
      <c r="GF172" s="16"/>
      <c r="GG172" s="16"/>
      <c r="GH172" s="16"/>
      <c r="GI172" s="16"/>
      <c r="GJ172" s="16"/>
      <c r="GK172" s="16"/>
      <c r="GL172" s="16"/>
      <c r="GM172" s="16"/>
      <c r="GN172" s="16"/>
      <c r="GO172" s="16"/>
      <c r="GP172" s="16"/>
      <c r="GQ172" s="16"/>
      <c r="GR172" s="16"/>
      <c r="GS172" s="16"/>
      <c r="GT172" s="16"/>
      <c r="GU172" s="16"/>
      <c r="GV172" s="16"/>
      <c r="GW172" s="16"/>
      <c r="GX172" s="16"/>
      <c r="GY172" s="16"/>
      <c r="GZ172" s="16"/>
      <c r="HA172" s="16"/>
      <c r="HB172" s="16"/>
      <c r="HC172" s="16"/>
      <c r="HD172" s="16"/>
      <c r="HE172" s="16"/>
      <c r="HF172" s="16"/>
      <c r="HG172" s="16"/>
      <c r="HH172" s="16"/>
      <c r="HI172" s="16"/>
      <c r="HJ172" s="16"/>
      <c r="HK172" s="16"/>
      <c r="HL172" s="16"/>
      <c r="HM172" s="16"/>
      <c r="HN172" s="16"/>
      <c r="HO172" s="16"/>
      <c r="HP172" s="16"/>
      <c r="HQ172" s="16"/>
      <c r="HR172" s="16"/>
      <c r="HS172" s="16"/>
      <c r="HT172" s="16"/>
      <c r="HU172" s="16"/>
      <c r="HV172" s="16"/>
      <c r="HW172" s="16"/>
      <c r="HX172" s="16"/>
      <c r="HY172" s="16"/>
      <c r="HZ172" s="16"/>
      <c r="IA172" s="16"/>
      <c r="IB172" s="16"/>
      <c r="IC172" s="16"/>
      <c r="ID172" s="16"/>
      <c r="IE172" s="16"/>
      <c r="IF172" s="16"/>
      <c r="IG172" s="16"/>
      <c r="IH172" s="16"/>
      <c r="II172" s="16"/>
      <c r="IJ172" s="16"/>
      <c r="IK172" s="16"/>
    </row>
    <row r="173" spans="1:245" x14ac:dyDescent="0.25">
      <c r="A173" s="15"/>
      <c r="B173" s="641" t="s">
        <v>94</v>
      </c>
      <c r="C173" s="642"/>
      <c r="D173" s="642"/>
      <c r="E173" s="642"/>
      <c r="F173" s="642"/>
      <c r="G173" s="643"/>
      <c r="H173" s="644"/>
      <c r="I173" s="645"/>
      <c r="J173" s="635">
        <f>+ROUND((K160*$G$167)+(K161*$G$168)+(K162*$G$169)+(K171*K163),-3)</f>
        <v>132932000</v>
      </c>
      <c r="K173" s="636"/>
      <c r="L173" s="635">
        <f>+ROUND((M160*$I$167)+(M161*$I$168)+(M162*$I$169)+(3840*M171),-3)</f>
        <v>183998000</v>
      </c>
      <c r="M173" s="636"/>
      <c r="N173" s="635">
        <f>+ROUND((O160*$K$167)+(O161*$K$168)+(O162*$K$169)+(3840*O171),-3)</f>
        <v>273744000</v>
      </c>
      <c r="O173" s="636"/>
      <c r="P173" s="635">
        <f>+ROUND((Q160*$G$167)+(Q161*$G$168)+(Q162*$G$169)+(3840*Q171),-3)</f>
        <v>224632000</v>
      </c>
      <c r="Q173" s="636"/>
      <c r="R173" s="635">
        <f>+ROUND((S160*$G$167)+(S161*$G$168)+(S162*$G$169)+(3840*S171),-3)</f>
        <v>224632000</v>
      </c>
      <c r="S173" s="636"/>
      <c r="T173" s="635">
        <f>+ROUND((U160*$G$167)+(U161*$G$168)+(U162*$G$169)+(3840*U171),-3)</f>
        <v>224632000</v>
      </c>
      <c r="U173" s="636"/>
      <c r="V173" s="635">
        <f>+ROUND((W160*$G$167)+(W161*$G$168)+(W162*$G$169)+(3840*W171),-3)</f>
        <v>224632000</v>
      </c>
      <c r="W173" s="636"/>
      <c r="X173" s="635">
        <f>+ROUND((Y160*$G$167)+(Y161*$G$168)+(Y162*$G$169)+(3840*Y171),-3)</f>
        <v>224632000</v>
      </c>
      <c r="Y173" s="636"/>
      <c r="Z173" s="635">
        <f>+ROUND((AA160*$G$167)+(AA161*$G$168)+(AA162*$G$169)+(3840*AA171),-3)</f>
        <v>224632000</v>
      </c>
      <c r="AA173" s="636"/>
      <c r="AB173" s="635">
        <f>+ROUND((AC160*$G$167)+(AC161*$G$168)+(AC162*$G$169)+(3840*AC171),-3)</f>
        <v>224632000</v>
      </c>
      <c r="AC173" s="636"/>
      <c r="AD173" s="635">
        <f>+ROUND((AE160*$G$167)+(AE161*$G$168)+(AE162*$G$169)+(3840*AE171),-3)</f>
        <v>224632000</v>
      </c>
      <c r="AE173" s="636"/>
      <c r="AF173" s="635">
        <f>+ROUND((AG160*$G$167)+(AG161*$G$168)+(AG162*$G$169)+(3840*AG171),-3)</f>
        <v>224632000</v>
      </c>
      <c r="AG173" s="636"/>
    </row>
    <row r="174" spans="1:245" ht="18.75" thickBot="1" x14ac:dyDescent="0.3">
      <c r="A174" s="15"/>
      <c r="B174" s="653" t="s">
        <v>95</v>
      </c>
      <c r="C174" s="654"/>
      <c r="D174" s="654"/>
      <c r="E174" s="654"/>
      <c r="F174" s="654"/>
      <c r="G174" s="655"/>
      <c r="H174" s="656">
        <f>+I155</f>
        <v>1083940916.3400002</v>
      </c>
      <c r="I174" s="657"/>
      <c r="J174" s="639">
        <f>+K155</f>
        <v>0</v>
      </c>
      <c r="K174" s="640"/>
      <c r="L174" s="639">
        <f>+M155</f>
        <v>0</v>
      </c>
      <c r="M174" s="640"/>
      <c r="N174" s="639">
        <f>+O155</f>
        <v>0</v>
      </c>
      <c r="O174" s="640"/>
      <c r="P174" s="639">
        <f>+Q155</f>
        <v>0</v>
      </c>
      <c r="Q174" s="640"/>
      <c r="R174" s="639">
        <f>+S155</f>
        <v>0</v>
      </c>
      <c r="S174" s="640"/>
      <c r="T174" s="639">
        <f>+U155</f>
        <v>0</v>
      </c>
      <c r="U174" s="640"/>
      <c r="V174" s="639">
        <f>+W155</f>
        <v>0</v>
      </c>
      <c r="W174" s="640"/>
      <c r="X174" s="639">
        <f>+Y155</f>
        <v>0</v>
      </c>
      <c r="Y174" s="640"/>
      <c r="Z174" s="639">
        <f>+AA155</f>
        <v>0</v>
      </c>
      <c r="AA174" s="640"/>
      <c r="AB174" s="639">
        <f>+AC155</f>
        <v>0</v>
      </c>
      <c r="AC174" s="640"/>
      <c r="AD174" s="639">
        <f>+AE155</f>
        <v>0</v>
      </c>
      <c r="AE174" s="640"/>
      <c r="AF174" s="639">
        <f>+AG155</f>
        <v>0</v>
      </c>
      <c r="AG174" s="640"/>
    </row>
    <row r="175" spans="1:245" ht="18.75" thickTop="1" x14ac:dyDescent="0.25">
      <c r="A175" s="15"/>
      <c r="B175" s="646" t="s">
        <v>93</v>
      </c>
      <c r="C175" s="647"/>
      <c r="D175" s="647"/>
      <c r="E175" s="647"/>
      <c r="F175" s="647"/>
      <c r="G175" s="648"/>
      <c r="H175" s="649">
        <f>+H173-H174</f>
        <v>-1083940916.3400002</v>
      </c>
      <c r="I175" s="650"/>
      <c r="J175" s="651">
        <f>+J173-J174</f>
        <v>132932000</v>
      </c>
      <c r="K175" s="652"/>
      <c r="L175" s="651">
        <f>+L173-L174</f>
        <v>183998000</v>
      </c>
      <c r="M175" s="652"/>
      <c r="N175" s="651">
        <f>+N173-N174</f>
        <v>273744000</v>
      </c>
      <c r="O175" s="652"/>
      <c r="P175" s="651">
        <f>+P173-P174</f>
        <v>224632000</v>
      </c>
      <c r="Q175" s="652"/>
      <c r="R175" s="651">
        <f>+R173-R174</f>
        <v>224632000</v>
      </c>
      <c r="S175" s="652"/>
      <c r="T175" s="651">
        <f>+T173-T174</f>
        <v>224632000</v>
      </c>
      <c r="U175" s="652"/>
      <c r="V175" s="651">
        <f>+V173-V174</f>
        <v>224632000</v>
      </c>
      <c r="W175" s="652"/>
      <c r="X175" s="651">
        <f>+X173-X174</f>
        <v>224632000</v>
      </c>
      <c r="Y175" s="652"/>
      <c r="Z175" s="651">
        <f>+Z173-Z174</f>
        <v>224632000</v>
      </c>
      <c r="AA175" s="652"/>
      <c r="AB175" s="651">
        <f>+AB173-AB174</f>
        <v>224632000</v>
      </c>
      <c r="AC175" s="652"/>
      <c r="AD175" s="651">
        <f>+AD173-AD174</f>
        <v>224632000</v>
      </c>
      <c r="AE175" s="652"/>
      <c r="AF175" s="651">
        <f>+AF173-AF174</f>
        <v>224632000</v>
      </c>
      <c r="AG175" s="652"/>
    </row>
    <row r="176" spans="1:245" x14ac:dyDescent="0.25">
      <c r="A176" s="15"/>
      <c r="B176" s="641" t="s">
        <v>96</v>
      </c>
      <c r="C176" s="642"/>
      <c r="D176" s="642"/>
      <c r="E176" s="642"/>
      <c r="F176" s="642"/>
      <c r="G176" s="643"/>
      <c r="H176" s="658"/>
      <c r="I176" s="659"/>
      <c r="J176" s="660">
        <f>H176+J175</f>
        <v>132932000</v>
      </c>
      <c r="K176" s="661"/>
      <c r="L176" s="660">
        <f>J176+L175</f>
        <v>316930000</v>
      </c>
      <c r="M176" s="661"/>
      <c r="N176" s="660">
        <f>L176+N175</f>
        <v>590674000</v>
      </c>
      <c r="O176" s="661"/>
      <c r="P176" s="660">
        <f>N176+P175</f>
        <v>815306000</v>
      </c>
      <c r="Q176" s="661"/>
      <c r="R176" s="660">
        <f>P176+R175</f>
        <v>1039938000</v>
      </c>
      <c r="S176" s="661"/>
      <c r="T176" s="660">
        <f>R176+T175</f>
        <v>1264570000</v>
      </c>
      <c r="U176" s="661"/>
      <c r="V176" s="660">
        <f>T176+V175</f>
        <v>1489202000</v>
      </c>
      <c r="W176" s="661"/>
      <c r="X176" s="660">
        <f>V176+X175</f>
        <v>1713834000</v>
      </c>
      <c r="Y176" s="661"/>
      <c r="Z176" s="660">
        <f>X176+Z175</f>
        <v>1938466000</v>
      </c>
      <c r="AA176" s="661"/>
      <c r="AB176" s="660">
        <f>Z176+AB175</f>
        <v>2163098000</v>
      </c>
      <c r="AC176" s="661"/>
      <c r="AD176" s="660">
        <f>AB176+AD175</f>
        <v>2387730000</v>
      </c>
      <c r="AE176" s="661"/>
      <c r="AF176" s="660">
        <f>AD176+AF175</f>
        <v>2612362000</v>
      </c>
      <c r="AG176" s="661"/>
    </row>
    <row r="177" spans="1:33" x14ac:dyDescent="0.25">
      <c r="A177" s="15"/>
      <c r="B177" s="641" t="s">
        <v>97</v>
      </c>
      <c r="C177" s="642"/>
      <c r="D177" s="642"/>
      <c r="E177" s="643"/>
      <c r="F177" s="666">
        <f>IFERROR(IRR(H175:AG175)," ")</f>
        <v>0.16119181642883951</v>
      </c>
      <c r="G177" s="667"/>
      <c r="H177" s="22"/>
      <c r="I177" s="192"/>
      <c r="J177" s="22"/>
      <c r="K177" s="133"/>
      <c r="L177" s="133"/>
      <c r="M177" s="133"/>
      <c r="N177" s="133"/>
      <c r="O177" s="133"/>
      <c r="P177" s="133"/>
      <c r="Q177" s="133"/>
      <c r="R177" s="133"/>
      <c r="S177" s="133"/>
      <c r="T177" s="133"/>
      <c r="U177" s="133"/>
      <c r="V177" s="133"/>
      <c r="W177" s="133"/>
      <c r="X177" s="133"/>
      <c r="Y177" s="133"/>
      <c r="Z177" s="133"/>
      <c r="AA177" s="133"/>
      <c r="AB177" s="133"/>
      <c r="AC177" s="133"/>
      <c r="AD177" s="133"/>
      <c r="AE177" s="133"/>
      <c r="AF177" s="133"/>
      <c r="AG177" s="133"/>
    </row>
    <row r="178" spans="1:33" x14ac:dyDescent="0.25">
      <c r="A178" s="15"/>
      <c r="B178" s="662" t="s">
        <v>98</v>
      </c>
      <c r="C178" s="662"/>
      <c r="D178" s="662"/>
      <c r="E178" s="662"/>
      <c r="F178" s="668">
        <f>+ROUND(H175+NPV(14%,J175:AG175),-3)</f>
        <v>108986000</v>
      </c>
      <c r="G178" s="668"/>
      <c r="H178" s="22"/>
      <c r="I178" s="192"/>
      <c r="J178" s="22"/>
      <c r="K178" s="22"/>
      <c r="L178" s="22"/>
      <c r="M178" s="22"/>
      <c r="N178" s="22"/>
      <c r="O178" s="22"/>
      <c r="P178" s="22"/>
      <c r="Q178" s="22"/>
      <c r="R178" s="22"/>
      <c r="S178" s="22"/>
      <c r="T178" s="22"/>
      <c r="U178" s="22"/>
      <c r="V178" s="22"/>
      <c r="W178" s="22"/>
      <c r="X178" s="22"/>
      <c r="Y178" s="22"/>
      <c r="Z178" s="22"/>
      <c r="AA178" s="22"/>
      <c r="AB178" s="22"/>
      <c r="AC178" s="22"/>
      <c r="AD178" s="22"/>
      <c r="AE178" s="22"/>
    </row>
    <row r="179" spans="1:33" x14ac:dyDescent="0.25">
      <c r="A179" s="15"/>
      <c r="B179" s="662" t="s">
        <v>99</v>
      </c>
      <c r="C179" s="662"/>
      <c r="D179" s="662"/>
      <c r="E179" s="662"/>
      <c r="F179" s="669">
        <f>(NPV(14%,J173:AG173))/((H174+NPV(14%,J174:AG174)))</f>
        <v>1.100545965017043</v>
      </c>
      <c r="G179" s="669"/>
      <c r="H179" s="22"/>
      <c r="I179" s="192"/>
      <c r="J179" s="22"/>
      <c r="K179" s="22"/>
      <c r="L179" s="22"/>
      <c r="M179" s="22"/>
      <c r="N179" s="22"/>
      <c r="O179" s="22"/>
      <c r="P179" s="22"/>
      <c r="Q179" s="22"/>
      <c r="R179" s="22"/>
      <c r="S179" s="22"/>
      <c r="T179" s="22"/>
      <c r="U179" s="22"/>
      <c r="V179" s="22"/>
      <c r="W179" s="22"/>
      <c r="X179" s="22"/>
      <c r="Y179" s="22"/>
      <c r="Z179" s="22"/>
      <c r="AA179" s="22"/>
      <c r="AB179" s="22"/>
      <c r="AC179" s="22"/>
      <c r="AD179" s="22"/>
      <c r="AE179" s="22"/>
    </row>
    <row r="180" spans="1:33" x14ac:dyDescent="0.25">
      <c r="A180" s="15"/>
      <c r="B180" s="662" t="s">
        <v>100</v>
      </c>
      <c r="C180" s="662"/>
      <c r="D180" s="662"/>
      <c r="E180" s="662"/>
      <c r="F180" s="663">
        <f>5+(((-H175)-R176)/R175)</f>
        <v>5.1958889042522891</v>
      </c>
      <c r="G180" s="663"/>
      <c r="H180" s="22"/>
      <c r="I180" s="192"/>
      <c r="J180" s="22"/>
      <c r="K180" s="22"/>
      <c r="L180" s="22"/>
      <c r="M180" s="22"/>
      <c r="N180" s="22"/>
      <c r="O180" s="22"/>
      <c r="P180" s="22"/>
      <c r="Q180" s="22"/>
      <c r="R180" s="22"/>
      <c r="S180" s="22"/>
      <c r="T180" s="22"/>
      <c r="U180" s="22"/>
      <c r="V180" s="22"/>
      <c r="W180" s="22"/>
      <c r="X180" s="22"/>
      <c r="Y180" s="22"/>
      <c r="Z180" s="22"/>
      <c r="AA180" s="22"/>
      <c r="AB180" s="22"/>
      <c r="AC180" s="22"/>
      <c r="AD180" s="22"/>
      <c r="AE180" s="22"/>
    </row>
    <row r="181" spans="1:33" x14ac:dyDescent="0.25">
      <c r="A181" s="15"/>
      <c r="B181" s="22"/>
      <c r="C181" s="22"/>
      <c r="D181" s="22"/>
      <c r="E181" s="22"/>
      <c r="F181" s="22"/>
      <c r="G181" s="107"/>
      <c r="H181" s="22"/>
      <c r="I181" s="192"/>
      <c r="J181" s="22"/>
      <c r="K181" s="134"/>
      <c r="L181" s="134"/>
      <c r="M181" s="134"/>
      <c r="N181" s="134"/>
      <c r="O181" s="134"/>
      <c r="P181" s="134"/>
      <c r="Q181" s="134"/>
      <c r="R181" s="134"/>
      <c r="S181" s="134"/>
      <c r="T181" s="134"/>
      <c r="U181" s="134"/>
      <c r="V181" s="134"/>
      <c r="W181" s="134"/>
      <c r="X181" s="134"/>
      <c r="Y181" s="134"/>
      <c r="Z181" s="134"/>
      <c r="AA181" s="134"/>
      <c r="AB181" s="134"/>
      <c r="AC181" s="134"/>
      <c r="AD181" s="134"/>
      <c r="AE181" s="134"/>
      <c r="AF181" s="134"/>
      <c r="AG181" s="134"/>
    </row>
    <row r="182" spans="1:33" x14ac:dyDescent="0.25">
      <c r="A182" s="15"/>
      <c r="B182" s="641" t="s">
        <v>101</v>
      </c>
      <c r="C182" s="642"/>
      <c r="D182" s="642"/>
      <c r="E182" s="642"/>
      <c r="F182" s="642"/>
      <c r="G182" s="643"/>
      <c r="H182" s="664">
        <f>+SUMIF(F:F,U10,I:I)</f>
        <v>0</v>
      </c>
      <c r="I182" s="665"/>
      <c r="J182" s="635">
        <f>+SUMIF($F:$F,$U$10,K:K)+SUMIF($F:$F,$U$9,K:K)+SUMIF($F:$F,$U$8,K:K)</f>
        <v>0</v>
      </c>
      <c r="K182" s="636"/>
      <c r="L182" s="635">
        <f>+SUMIF($F:$F,$U$10,M:M)+SUMIF($F:$F,$U$9,M:M)+SUMIF($F:$F,$U$8,M:M)</f>
        <v>0</v>
      </c>
      <c r="M182" s="636"/>
      <c r="N182" s="635">
        <f>+SUMIF($F:$F,$U$10,O:O)+SUMIF($F:$F,$U$9,O:O)+SUMIF($F:$F,$U$8,O:O)</f>
        <v>0</v>
      </c>
      <c r="O182" s="636"/>
      <c r="P182" s="635">
        <f>+SUMIF($F:$F,$U$10,Q:Q)+SUMIF($F:$F,$U$9,Q:Q)+SUMIF($F:$F,$U$8,Q:Q)</f>
        <v>0</v>
      </c>
      <c r="Q182" s="636"/>
      <c r="R182" s="635">
        <f>+SUMIF($F:$F,$U$10,S:S)+SUMIF($F:$F,$U$9,S:S)+SUMIF($F:$F,$U$8,S:S)</f>
        <v>0</v>
      </c>
      <c r="S182" s="636"/>
      <c r="T182" s="635">
        <f>+SUMIF($F:$F,$U$10,U:U)+SUMIF($F:$F,$U$9,U:U)+SUMIF($F:$F,$U$8,U:U)</f>
        <v>0</v>
      </c>
      <c r="U182" s="636"/>
      <c r="V182" s="635">
        <f>+SUMIF($F:$F,$U$10,W:W)+SUMIF($F:$F,$U$9,W:W)+SUMIF($F:$F,$U$8,W:W)</f>
        <v>0</v>
      </c>
      <c r="W182" s="636"/>
      <c r="X182" s="635">
        <f>+SUMIF($F:$F,$U$10,Y:Y)+SUMIF($F:$F,$U$9,Y:Y)+SUMIF($F:$F,$U$8,Y:Y)</f>
        <v>0</v>
      </c>
      <c r="Y182" s="636"/>
      <c r="Z182" s="635">
        <f>+SUMIF($F:$F,$U$10,AA:AA)+SUMIF($F:$F,$U$9,AA:AA)+SUMIF($F:$F,$U$8,AA:AA)</f>
        <v>0</v>
      </c>
      <c r="AA182" s="636"/>
      <c r="AB182" s="635">
        <f>+SUMIF($F:$F,$U$10,AC:AC)+SUMIF($F:$F,$U$9,AC:AC)+SUMIF($F:$F,$U$8,AC:AC)</f>
        <v>0</v>
      </c>
      <c r="AC182" s="636"/>
      <c r="AD182" s="635">
        <f>+SUMIF($F:$F,$U$10,AE:AE)+SUMIF($F:$F,$U$9,AE:AE)+SUMIF($F:$F,$U$8,AE:AE)</f>
        <v>0</v>
      </c>
      <c r="AE182" s="636"/>
      <c r="AF182" s="635">
        <f>+SUMIF($F:$F,$U$10,AG:AG)+SUMIF($F:$F,$U$9,AG:AG)+SUMIF($F:$F,$U$8,AG:AG)</f>
        <v>0</v>
      </c>
      <c r="AG182" s="636"/>
    </row>
    <row r="183" spans="1:33" x14ac:dyDescent="0.25">
      <c r="A183" s="15"/>
      <c r="B183" s="641" t="s">
        <v>102</v>
      </c>
      <c r="C183" s="642"/>
      <c r="D183" s="642"/>
      <c r="E183" s="642"/>
      <c r="F183" s="642"/>
      <c r="G183" s="643"/>
      <c r="H183" s="664">
        <f>+H174-H182</f>
        <v>1083940916.3400002</v>
      </c>
      <c r="I183" s="665"/>
      <c r="J183" s="635">
        <f>+J174-J182</f>
        <v>0</v>
      </c>
      <c r="K183" s="636"/>
      <c r="L183" s="635">
        <f>+L174-L182</f>
        <v>0</v>
      </c>
      <c r="M183" s="636"/>
      <c r="N183" s="635">
        <f>+N174-N182</f>
        <v>0</v>
      </c>
      <c r="O183" s="636"/>
      <c r="P183" s="635">
        <f>+P174-P182</f>
        <v>0</v>
      </c>
      <c r="Q183" s="636"/>
      <c r="R183" s="635">
        <f>+R174-R182</f>
        <v>0</v>
      </c>
      <c r="S183" s="636"/>
      <c r="T183" s="635">
        <f>+T174-T182</f>
        <v>0</v>
      </c>
      <c r="U183" s="636"/>
      <c r="V183" s="635">
        <f>+V174-V182</f>
        <v>0</v>
      </c>
      <c r="W183" s="636"/>
      <c r="X183" s="635">
        <f>+X174-X182</f>
        <v>0</v>
      </c>
      <c r="Y183" s="636"/>
      <c r="Z183" s="635">
        <f>+Z174-Z182</f>
        <v>0</v>
      </c>
      <c r="AA183" s="636"/>
      <c r="AB183" s="635">
        <f>+AB174-AB182</f>
        <v>0</v>
      </c>
      <c r="AC183" s="636"/>
      <c r="AD183" s="635">
        <f>+AD174-AD182</f>
        <v>0</v>
      </c>
      <c r="AE183" s="636"/>
      <c r="AF183" s="635">
        <f>+AF174-AF182</f>
        <v>0</v>
      </c>
      <c r="AG183" s="636"/>
    </row>
    <row r="184" spans="1:33" x14ac:dyDescent="0.25">
      <c r="A184" s="15"/>
      <c r="B184" s="641" t="s">
        <v>103</v>
      </c>
      <c r="C184" s="642"/>
      <c r="D184" s="642"/>
      <c r="E184" s="642"/>
      <c r="F184" s="642"/>
      <c r="G184" s="643"/>
      <c r="H184" s="664">
        <f>+SUMIF($F:$F,$T$6,I:I)+SUMIF($F:$F,$T$7,I:I)</f>
        <v>0</v>
      </c>
      <c r="I184" s="665"/>
      <c r="J184" s="670">
        <f>+SUMIF($F:$F,$T$6,K:K)+SUMIF($F:$F,$T$7,K:K)</f>
        <v>0</v>
      </c>
      <c r="K184" s="671"/>
      <c r="L184" s="670">
        <f>+SUMIF($F:$F,$T$6,M:M)+SUMIF($F:$F,$T$7,M:M)</f>
        <v>0</v>
      </c>
      <c r="M184" s="671"/>
      <c r="N184" s="670">
        <f>+SUMIF($F:$F,$T$6,O:O)+SUMIF($F:$F,$T$7,O:O)</f>
        <v>0</v>
      </c>
      <c r="O184" s="671"/>
      <c r="P184" s="670">
        <f>+SUMIF($F:$F,$T$6,Q:Q)+SUMIF($F:$F,$T$7,Q:Q)</f>
        <v>0</v>
      </c>
      <c r="Q184" s="671"/>
      <c r="R184" s="670">
        <f>+SUMIF($F:$F,$T$6,S:S)+SUMIF($F:$F,$T$7,S:S)</f>
        <v>0</v>
      </c>
      <c r="S184" s="671"/>
      <c r="T184" s="670">
        <f>+SUMIF($F:$F,$T$6,U:U)+SUMIF($F:$F,$T$7,U:U)</f>
        <v>0</v>
      </c>
      <c r="U184" s="671"/>
      <c r="V184" s="670">
        <f>+SUMIF($F:$F,$T$6,W:W)+SUMIF($F:$F,$T$7,W:W)</f>
        <v>0</v>
      </c>
      <c r="W184" s="671"/>
      <c r="X184" s="670">
        <f>+SUMIF($F:$F,$T$6,Y:Y)+SUMIF($F:$F,$T$7,Y:Y)</f>
        <v>0</v>
      </c>
      <c r="Y184" s="671"/>
      <c r="Z184" s="670">
        <f>+SUMIF($F:$F,$T$6,AA:AA)+SUMIF($F:$F,$T$7,AA:AA)</f>
        <v>0</v>
      </c>
      <c r="AA184" s="671"/>
      <c r="AB184" s="670">
        <f>+SUMIF($F:$F,$T$6,AC:AC)+SUMIF($F:$F,$T$7,AC:AC)</f>
        <v>0</v>
      </c>
      <c r="AC184" s="671"/>
      <c r="AD184" s="670">
        <f>+SUMIF($F:$F,$T$6,AE:AE)+SUMIF($F:$F,$T$7,AE:AE)</f>
        <v>0</v>
      </c>
      <c r="AE184" s="671"/>
      <c r="AF184" s="670">
        <f>+SUMIF($F:$F,$T$6,AG:AG)+SUMIF($F:$F,$T$7,AG:AG)</f>
        <v>0</v>
      </c>
      <c r="AG184" s="671"/>
    </row>
    <row r="185" spans="1:33" x14ac:dyDescent="0.25">
      <c r="A185" s="15"/>
      <c r="B185" s="641" t="s">
        <v>104</v>
      </c>
      <c r="C185" s="642"/>
      <c r="D185" s="642"/>
      <c r="E185" s="642"/>
      <c r="F185" s="642"/>
      <c r="G185" s="643"/>
      <c r="H185" s="664">
        <f>+SUMIF($F:$F,$T$7,H:H)+SUMIF($F:$F,$T$6,H:H)</f>
        <v>0</v>
      </c>
      <c r="I185" s="665"/>
      <c r="J185" s="670">
        <f>+SUMIF($F:$F,$T$7,J:J)+SUMIF($F:$F,$T$6,J:J)</f>
        <v>0</v>
      </c>
      <c r="K185" s="671"/>
      <c r="L185" s="670">
        <f>+SUMIF($F:$F,$T$7,L:L)+SUMIF($F:$F,$T$6,L:L)</f>
        <v>0</v>
      </c>
      <c r="M185" s="671"/>
      <c r="N185" s="670">
        <f>+SUMIF($F:$F,$T$7,N:N)+SUMIF($F:$F,$T$6,N:N)</f>
        <v>0</v>
      </c>
      <c r="O185" s="671"/>
      <c r="P185" s="670">
        <f>+SUMIF($F:$F,$T$7,P:P)+SUMIF($F:$F,$T$6,P:P)</f>
        <v>0</v>
      </c>
      <c r="Q185" s="671"/>
      <c r="R185" s="670">
        <f>+SUMIF($F:$F,$T$7,R:R)+SUMIF($F:$F,$T$6,R:R)</f>
        <v>0</v>
      </c>
      <c r="S185" s="671"/>
      <c r="T185" s="670">
        <f>+SUMIF($F:$F,$T$7,T:T)+SUMIF($F:$F,$T$6,T:T)</f>
        <v>0</v>
      </c>
      <c r="U185" s="671"/>
      <c r="V185" s="670">
        <f>+SUMIF($F:$F,$T$7,V:V)+SUMIF($F:$F,$T$6,V:V)</f>
        <v>0</v>
      </c>
      <c r="W185" s="671"/>
      <c r="X185" s="670">
        <f>+SUMIF($F:$F,$T$7,X:X)+SUMIF($F:$F,$T$6,X:X)</f>
        <v>0</v>
      </c>
      <c r="Y185" s="671"/>
      <c r="Z185" s="670">
        <f>+SUMIF($F:$F,$T$7,Z:Z)+SUMIF($F:$F,$T$6,Z:Z)</f>
        <v>0</v>
      </c>
      <c r="AA185" s="671"/>
      <c r="AB185" s="670">
        <f>+SUMIF($F:$F,$T$7,AB:AB)+SUMIF($F:$F,$T$6,AB:AB)</f>
        <v>0</v>
      </c>
      <c r="AC185" s="671"/>
      <c r="AD185" s="670">
        <f>+SUMIF($F:$F,$T$7,AD:AD)+SUMIF($F:$F,$T$6,AD:AD)</f>
        <v>0</v>
      </c>
      <c r="AE185" s="671"/>
      <c r="AF185" s="670">
        <f>+SUMIF($F:$F,$T$7,AF:AF)+SUMIF($F:$F,$T$6,AF:AF)</f>
        <v>0</v>
      </c>
      <c r="AG185" s="671"/>
    </row>
    <row r="186" spans="1:33" x14ac:dyDescent="0.25">
      <c r="A186" s="15"/>
      <c r="B186" s="15"/>
      <c r="C186" s="15"/>
      <c r="D186" s="15"/>
      <c r="E186" s="15"/>
      <c r="F186" s="15"/>
      <c r="G186" s="23"/>
      <c r="H186" s="15"/>
      <c r="I186" s="182"/>
      <c r="J186" s="15"/>
      <c r="K186" s="15"/>
      <c r="L186" s="15"/>
      <c r="M186" s="15"/>
      <c r="N186" s="15"/>
      <c r="O186" s="15"/>
      <c r="P186" s="15"/>
      <c r="Q186" s="15"/>
      <c r="R186" s="15"/>
      <c r="S186" s="15"/>
      <c r="T186" s="15"/>
      <c r="U186" s="15"/>
      <c r="V186" s="15"/>
      <c r="W186" s="15"/>
      <c r="X186" s="15"/>
      <c r="Y186" s="15"/>
      <c r="Z186" s="15"/>
      <c r="AA186" s="15"/>
      <c r="AB186" s="15"/>
      <c r="AC186" s="15"/>
      <c r="AD186" s="15"/>
      <c r="AE186" s="15"/>
    </row>
    <row r="187" spans="1:33" x14ac:dyDescent="0.25">
      <c r="A187" s="15"/>
      <c r="B187" s="15"/>
      <c r="C187" s="15"/>
      <c r="D187" s="15"/>
      <c r="E187" s="15"/>
      <c r="F187" s="15"/>
      <c r="G187" s="23"/>
      <c r="H187" s="15"/>
      <c r="I187" s="182"/>
      <c r="J187" s="15"/>
      <c r="K187" s="135"/>
      <c r="L187" s="135"/>
      <c r="M187" s="135"/>
      <c r="N187" s="135"/>
      <c r="O187" s="135"/>
      <c r="P187" s="15"/>
      <c r="Q187" s="15"/>
      <c r="R187" s="15"/>
      <c r="S187" s="15"/>
      <c r="T187" s="15"/>
      <c r="U187" s="15"/>
      <c r="V187" s="15"/>
      <c r="W187" s="15"/>
      <c r="X187" s="15"/>
      <c r="Y187" s="15"/>
      <c r="Z187" s="15"/>
      <c r="AA187" s="15"/>
      <c r="AB187" s="15"/>
      <c r="AC187" s="15"/>
      <c r="AD187" s="15"/>
      <c r="AE187" s="15"/>
    </row>
    <row r="188" spans="1:33" x14ac:dyDescent="0.25">
      <c r="A188" s="15"/>
      <c r="B188" s="22"/>
      <c r="C188" s="136" t="s">
        <v>105</v>
      </c>
      <c r="D188" s="136" t="s">
        <v>106</v>
      </c>
      <c r="E188" s="15"/>
      <c r="F188" s="15"/>
      <c r="G188" s="23"/>
      <c r="H188" s="15"/>
      <c r="I188" s="182"/>
      <c r="J188" s="137"/>
      <c r="K188" s="137"/>
      <c r="L188" s="137"/>
      <c r="M188" s="137"/>
      <c r="N188" s="137"/>
      <c r="O188" s="137"/>
      <c r="P188" s="137"/>
      <c r="Q188" s="137"/>
      <c r="R188" s="137"/>
      <c r="S188" s="137"/>
      <c r="T188" s="137"/>
      <c r="U188" s="137"/>
      <c r="V188" s="137"/>
      <c r="W188" s="137"/>
      <c r="X188" s="137"/>
      <c r="Y188" s="137"/>
      <c r="Z188" s="137"/>
      <c r="AA188" s="137"/>
      <c r="AB188" s="137"/>
      <c r="AC188" s="137"/>
      <c r="AD188" s="137"/>
      <c r="AE188" s="137"/>
      <c r="AF188" s="137"/>
      <c r="AG188" s="137"/>
    </row>
    <row r="189" spans="1:33" x14ac:dyDescent="0.25">
      <c r="A189" s="15"/>
      <c r="B189" s="136" t="s">
        <v>107</v>
      </c>
      <c r="C189" s="138">
        <f>+SUMIF($F:$F,$U$10,E:E)+SUMIF($F:$F,$U$9,E:E)+SUMIF($F:$F,$U$8,E:E)</f>
        <v>0</v>
      </c>
      <c r="D189" s="138">
        <f>+SUMIF($F:$F,$U$10,D:D)+SUMIF($F:$F,$U$9,D:D)+SUMIF($F:$F,$U$8,D:D)</f>
        <v>0</v>
      </c>
      <c r="E189" s="15"/>
      <c r="F189" s="15"/>
      <c r="G189" s="23"/>
      <c r="H189" s="15"/>
      <c r="I189" s="182"/>
      <c r="J189" s="137"/>
      <c r="K189" s="137"/>
      <c r="L189" s="137"/>
      <c r="M189" s="137"/>
      <c r="N189" s="137"/>
      <c r="O189" s="137"/>
      <c r="P189" s="137"/>
      <c r="Q189" s="137"/>
      <c r="R189" s="137"/>
      <c r="S189" s="137"/>
      <c r="T189" s="137"/>
      <c r="U189" s="137"/>
      <c r="V189" s="137"/>
      <c r="W189" s="137"/>
      <c r="X189" s="137"/>
      <c r="Y189" s="137"/>
      <c r="Z189" s="137"/>
      <c r="AA189" s="137"/>
      <c r="AB189" s="137"/>
      <c r="AC189" s="137"/>
      <c r="AD189" s="137"/>
      <c r="AE189" s="137"/>
      <c r="AF189" s="137"/>
      <c r="AG189" s="137"/>
    </row>
    <row r="190" spans="1:33" x14ac:dyDescent="0.25">
      <c r="A190" s="15"/>
      <c r="B190" s="15"/>
      <c r="C190" s="15"/>
      <c r="D190" s="15"/>
      <c r="E190" s="15"/>
      <c r="F190" s="15"/>
      <c r="G190" s="23"/>
      <c r="H190" s="15"/>
      <c r="I190" s="182">
        <f>+I155-I17-I18-I19-I20-I45-I85</f>
        <v>1005225152.3400002</v>
      </c>
      <c r="J190" s="137"/>
      <c r="K190" s="137"/>
      <c r="L190" s="137"/>
      <c r="M190" s="137"/>
      <c r="N190" s="137"/>
      <c r="O190" s="137"/>
      <c r="P190" s="137"/>
      <c r="Q190" s="137"/>
      <c r="R190" s="137"/>
      <c r="S190" s="137"/>
      <c r="T190" s="137"/>
      <c r="U190" s="137"/>
      <c r="V190" s="137"/>
      <c r="W190" s="137"/>
      <c r="X190" s="137"/>
      <c r="Y190" s="137"/>
      <c r="Z190" s="137"/>
      <c r="AA190" s="137"/>
      <c r="AB190" s="137"/>
      <c r="AC190" s="137"/>
      <c r="AD190" s="137"/>
      <c r="AE190" s="137"/>
      <c r="AF190" s="137"/>
      <c r="AG190" s="137"/>
    </row>
    <row r="191" spans="1:33" x14ac:dyDescent="0.25">
      <c r="A191" s="15"/>
      <c r="B191" s="15"/>
      <c r="C191" s="15"/>
      <c r="D191" s="15"/>
      <c r="E191" s="15"/>
      <c r="F191" s="15"/>
      <c r="G191" s="30"/>
      <c r="H191" s="139"/>
      <c r="I191" s="182">
        <f>+I190-'Presupuesto Inversión Directa'!H86</f>
        <v>0</v>
      </c>
      <c r="J191" s="137"/>
      <c r="K191" s="137"/>
      <c r="L191" s="137"/>
      <c r="M191" s="137"/>
      <c r="N191" s="137"/>
      <c r="O191" s="137"/>
      <c r="P191" s="137"/>
      <c r="Q191" s="137"/>
      <c r="R191" s="137"/>
      <c r="S191" s="137"/>
      <c r="T191" s="137"/>
      <c r="U191" s="137"/>
      <c r="V191" s="137"/>
      <c r="W191" s="137"/>
      <c r="X191" s="137"/>
      <c r="Y191" s="137"/>
      <c r="Z191" s="137"/>
      <c r="AA191" s="137"/>
      <c r="AB191" s="137"/>
      <c r="AC191" s="137"/>
      <c r="AD191" s="137"/>
      <c r="AE191" s="137"/>
      <c r="AF191" s="137"/>
      <c r="AG191" s="137"/>
    </row>
    <row r="192" spans="1:33" x14ac:dyDescent="0.25">
      <c r="A192" s="15"/>
      <c r="B192" s="15"/>
      <c r="C192" s="15"/>
      <c r="D192" s="15"/>
      <c r="E192" s="15"/>
      <c r="F192" s="15"/>
      <c r="G192" s="23"/>
      <c r="H192" s="15"/>
      <c r="I192" s="182"/>
      <c r="J192" s="15"/>
      <c r="K192" s="15"/>
      <c r="L192" s="15"/>
      <c r="M192" s="15"/>
      <c r="N192" s="15"/>
      <c r="O192" s="15"/>
      <c r="P192" s="15"/>
      <c r="Q192" s="15"/>
      <c r="R192" s="15"/>
      <c r="S192" s="15"/>
      <c r="T192" s="15"/>
      <c r="U192" s="15"/>
      <c r="V192" s="15"/>
      <c r="W192" s="15"/>
      <c r="X192" s="15"/>
      <c r="Y192" s="15"/>
      <c r="Z192" s="15"/>
      <c r="AA192" s="15"/>
      <c r="AB192" s="15"/>
      <c r="AC192" s="15"/>
      <c r="AD192" s="15"/>
      <c r="AE192" s="15"/>
    </row>
    <row r="193" spans="1:31" x14ac:dyDescent="0.25">
      <c r="A193" s="15"/>
      <c r="B193" s="15"/>
      <c r="C193" s="15"/>
      <c r="D193" s="15"/>
      <c r="E193" s="15"/>
      <c r="F193" s="15"/>
      <c r="G193" s="23"/>
      <c r="H193" s="15"/>
      <c r="I193" s="182"/>
      <c r="J193" s="15"/>
      <c r="K193" s="15"/>
      <c r="L193" s="15"/>
      <c r="M193" s="15"/>
      <c r="N193" s="15"/>
      <c r="O193" s="15"/>
      <c r="P193" s="15"/>
      <c r="Q193" s="15"/>
      <c r="R193" s="15"/>
      <c r="S193" s="15"/>
      <c r="T193" s="15"/>
      <c r="U193" s="15"/>
      <c r="V193" s="15"/>
      <c r="W193" s="15"/>
      <c r="X193" s="15"/>
      <c r="Y193" s="15"/>
      <c r="Z193" s="15"/>
      <c r="AA193" s="15"/>
      <c r="AB193" s="15"/>
      <c r="AC193" s="15"/>
      <c r="AD193" s="15"/>
      <c r="AE193" s="15"/>
    </row>
    <row r="194" spans="1:31" x14ac:dyDescent="0.25">
      <c r="A194" s="15"/>
      <c r="B194" s="15"/>
      <c r="C194" s="15"/>
      <c r="D194" s="15"/>
      <c r="E194" s="15"/>
      <c r="F194" s="15"/>
      <c r="G194" s="23"/>
      <c r="H194" s="15"/>
      <c r="I194" s="182"/>
      <c r="J194" s="15"/>
      <c r="K194" s="15"/>
      <c r="L194" s="15"/>
      <c r="M194" s="15"/>
      <c r="N194" s="15"/>
      <c r="O194" s="15"/>
      <c r="P194" s="15"/>
      <c r="Q194" s="15"/>
      <c r="R194" s="15"/>
      <c r="S194" s="15"/>
      <c r="T194" s="15"/>
      <c r="U194" s="15"/>
      <c r="V194" s="15"/>
      <c r="W194" s="15"/>
      <c r="X194" s="15"/>
      <c r="Y194" s="15"/>
      <c r="Z194" s="15"/>
      <c r="AA194" s="15"/>
      <c r="AB194" s="15"/>
      <c r="AC194" s="15"/>
      <c r="AD194" s="15"/>
      <c r="AE194" s="15"/>
    </row>
    <row r="195" spans="1:31" x14ac:dyDescent="0.25">
      <c r="A195" s="15"/>
      <c r="B195" s="15"/>
      <c r="C195" s="15"/>
      <c r="D195" s="15"/>
      <c r="E195" s="15"/>
      <c r="F195" s="15"/>
      <c r="G195" s="23"/>
      <c r="H195" s="15"/>
      <c r="I195" s="182"/>
      <c r="J195" s="15"/>
      <c r="K195" s="15"/>
      <c r="L195" s="15"/>
      <c r="M195" s="15"/>
      <c r="N195" s="15"/>
      <c r="O195" s="15"/>
      <c r="P195" s="15"/>
      <c r="Q195" s="15"/>
      <c r="R195" s="15"/>
      <c r="S195" s="15"/>
      <c r="T195" s="15"/>
      <c r="U195" s="15"/>
      <c r="V195" s="15"/>
      <c r="W195" s="15"/>
      <c r="X195" s="15"/>
      <c r="Y195" s="15"/>
      <c r="Z195" s="15"/>
      <c r="AA195" s="15"/>
      <c r="AB195" s="15"/>
      <c r="AC195" s="15"/>
      <c r="AD195" s="15"/>
      <c r="AE195" s="15"/>
    </row>
    <row r="196" spans="1:31" x14ac:dyDescent="0.25">
      <c r="A196" s="15"/>
      <c r="B196" s="15"/>
      <c r="C196" s="15"/>
      <c r="D196" s="15"/>
      <c r="E196" s="15"/>
      <c r="F196" s="15"/>
      <c r="G196" s="23"/>
      <c r="H196" s="15"/>
      <c r="I196" s="182"/>
      <c r="J196" s="15"/>
      <c r="K196" s="15"/>
      <c r="L196" s="15"/>
      <c r="M196" s="15"/>
      <c r="N196" s="15"/>
      <c r="O196" s="15"/>
      <c r="P196" s="15"/>
      <c r="Q196" s="15"/>
      <c r="R196" s="15"/>
      <c r="S196" s="15"/>
      <c r="T196" s="15"/>
      <c r="U196" s="15"/>
      <c r="V196" s="15"/>
      <c r="W196" s="15"/>
      <c r="X196" s="15"/>
      <c r="Y196" s="15"/>
      <c r="Z196" s="15"/>
      <c r="AA196" s="15"/>
      <c r="AB196" s="15"/>
      <c r="AC196" s="15"/>
      <c r="AD196" s="15"/>
      <c r="AE196" s="15"/>
    </row>
    <row r="197" spans="1:31" x14ac:dyDescent="0.25">
      <c r="A197" s="15"/>
      <c r="B197" s="15"/>
      <c r="C197" s="15"/>
      <c r="D197" s="15"/>
      <c r="E197" s="15"/>
      <c r="F197" s="15"/>
      <c r="G197" s="23"/>
      <c r="H197" s="15"/>
      <c r="I197" s="182"/>
      <c r="J197" s="15"/>
      <c r="K197" s="15"/>
      <c r="L197" s="15"/>
      <c r="M197" s="15"/>
      <c r="N197" s="15"/>
      <c r="O197" s="15"/>
      <c r="P197" s="15"/>
      <c r="Q197" s="15"/>
      <c r="R197" s="15"/>
      <c r="S197" s="15"/>
      <c r="T197" s="15"/>
      <c r="U197" s="15"/>
      <c r="V197" s="15"/>
      <c r="W197" s="15"/>
      <c r="X197" s="15"/>
      <c r="Y197" s="15"/>
      <c r="Z197" s="15"/>
      <c r="AA197" s="15"/>
      <c r="AB197" s="15"/>
      <c r="AC197" s="15"/>
      <c r="AD197" s="15"/>
      <c r="AE197" s="15"/>
    </row>
    <row r="198" spans="1:31" x14ac:dyDescent="0.25">
      <c r="A198" s="15"/>
      <c r="B198" s="15"/>
      <c r="C198" s="15"/>
      <c r="D198" s="15"/>
      <c r="E198" s="15"/>
      <c r="F198" s="15"/>
      <c r="G198" s="23"/>
      <c r="H198" s="15"/>
      <c r="I198" s="182"/>
      <c r="J198" s="15"/>
      <c r="K198" s="15"/>
      <c r="L198" s="15"/>
      <c r="M198" s="15"/>
      <c r="N198" s="15"/>
      <c r="O198" s="15"/>
      <c r="P198" s="15"/>
      <c r="Q198" s="15"/>
      <c r="R198" s="15"/>
      <c r="S198" s="15"/>
      <c r="T198" s="15"/>
      <c r="U198" s="15"/>
      <c r="V198" s="15"/>
      <c r="W198" s="15"/>
      <c r="X198" s="15"/>
      <c r="Y198" s="15"/>
      <c r="Z198" s="15"/>
      <c r="AA198" s="15"/>
      <c r="AB198" s="15"/>
      <c r="AC198" s="15"/>
      <c r="AD198" s="15"/>
      <c r="AE198" s="15"/>
    </row>
    <row r="199" spans="1:31" x14ac:dyDescent="0.25">
      <c r="A199" s="15"/>
      <c r="B199" s="15"/>
      <c r="C199" s="15"/>
      <c r="D199" s="15"/>
      <c r="E199" s="15"/>
      <c r="F199" s="15"/>
      <c r="G199" s="23"/>
      <c r="H199" s="15"/>
      <c r="I199" s="182"/>
      <c r="J199" s="15"/>
      <c r="K199" s="15"/>
      <c r="L199" s="15"/>
      <c r="M199" s="15"/>
      <c r="N199" s="15"/>
      <c r="O199" s="15"/>
      <c r="P199" s="15"/>
      <c r="Q199" s="15"/>
      <c r="R199" s="15"/>
      <c r="S199" s="15"/>
      <c r="T199" s="15"/>
      <c r="U199" s="15"/>
      <c r="V199" s="15"/>
      <c r="W199" s="15"/>
      <c r="X199" s="15"/>
      <c r="Y199" s="15"/>
      <c r="Z199" s="15"/>
      <c r="AA199" s="15"/>
      <c r="AB199" s="15"/>
      <c r="AC199" s="15"/>
      <c r="AD199" s="15"/>
      <c r="AE199" s="15"/>
    </row>
    <row r="200" spans="1:31" x14ac:dyDescent="0.25">
      <c r="A200" s="15"/>
      <c r="B200" s="15"/>
      <c r="C200" s="15"/>
      <c r="D200" s="15"/>
      <c r="E200" s="15"/>
      <c r="F200" s="15"/>
      <c r="G200" s="23"/>
      <c r="H200" s="15"/>
      <c r="I200" s="182"/>
      <c r="J200" s="15"/>
      <c r="K200" s="15"/>
      <c r="L200" s="15"/>
      <c r="M200" s="15"/>
      <c r="N200" s="15"/>
      <c r="O200" s="15"/>
      <c r="P200" s="15"/>
      <c r="Q200" s="15"/>
      <c r="R200" s="15"/>
      <c r="S200" s="15"/>
      <c r="T200" s="15"/>
      <c r="U200" s="15"/>
      <c r="V200" s="15"/>
      <c r="W200" s="15"/>
      <c r="X200" s="15"/>
      <c r="Y200" s="15"/>
      <c r="Z200" s="15"/>
      <c r="AA200" s="15"/>
      <c r="AB200" s="15"/>
      <c r="AC200" s="15"/>
      <c r="AD200" s="15"/>
      <c r="AE200" s="15"/>
    </row>
    <row r="201" spans="1:31" x14ac:dyDescent="0.25">
      <c r="A201" s="15"/>
      <c r="B201" s="15"/>
      <c r="C201" s="15"/>
      <c r="D201" s="15"/>
      <c r="E201" s="15"/>
      <c r="F201" s="15"/>
      <c r="G201" s="23"/>
      <c r="H201" s="15"/>
      <c r="I201" s="182"/>
      <c r="J201" s="15"/>
      <c r="K201" s="15"/>
      <c r="L201" s="15"/>
      <c r="M201" s="15"/>
      <c r="N201" s="15"/>
      <c r="O201" s="15"/>
      <c r="P201" s="15"/>
      <c r="Q201" s="15"/>
      <c r="R201" s="15"/>
      <c r="S201" s="15"/>
      <c r="T201" s="15"/>
      <c r="U201" s="15"/>
      <c r="V201" s="15"/>
      <c r="W201" s="15"/>
      <c r="X201" s="15"/>
      <c r="Y201" s="15"/>
      <c r="Z201" s="15"/>
      <c r="AA201" s="15"/>
      <c r="AB201" s="15"/>
      <c r="AC201" s="15"/>
      <c r="AD201" s="15"/>
      <c r="AE201" s="15"/>
    </row>
    <row r="202" spans="1:31" x14ac:dyDescent="0.25">
      <c r="A202" s="15"/>
      <c r="B202" s="15"/>
      <c r="C202" s="15"/>
      <c r="D202" s="15"/>
      <c r="E202" s="15"/>
      <c r="F202" s="15"/>
      <c r="G202" s="23"/>
      <c r="H202" s="15"/>
      <c r="I202" s="182"/>
      <c r="J202" s="15"/>
      <c r="K202" s="15"/>
      <c r="L202" s="15"/>
      <c r="M202" s="15"/>
      <c r="N202" s="15"/>
      <c r="O202" s="15"/>
      <c r="P202" s="15"/>
      <c r="Q202" s="15"/>
      <c r="R202" s="15"/>
      <c r="S202" s="15"/>
      <c r="T202" s="15"/>
      <c r="U202" s="15"/>
      <c r="V202" s="15"/>
      <c r="W202" s="15"/>
      <c r="X202" s="15"/>
      <c r="Y202" s="15"/>
      <c r="Z202" s="15"/>
      <c r="AA202" s="15"/>
      <c r="AB202" s="15"/>
      <c r="AC202" s="15"/>
      <c r="AD202" s="15"/>
      <c r="AE202" s="15"/>
    </row>
    <row r="203" spans="1:31" x14ac:dyDescent="0.25">
      <c r="A203" s="15"/>
      <c r="B203" s="15"/>
      <c r="C203" s="15"/>
      <c r="D203" s="15"/>
      <c r="E203" s="15"/>
      <c r="F203" s="15"/>
      <c r="G203" s="23"/>
      <c r="H203" s="15"/>
      <c r="I203" s="182"/>
      <c r="J203" s="15"/>
      <c r="K203" s="15"/>
      <c r="L203" s="15"/>
      <c r="M203" s="15"/>
      <c r="N203" s="15"/>
      <c r="O203" s="15"/>
      <c r="P203" s="15"/>
      <c r="Q203" s="15"/>
      <c r="R203" s="15"/>
      <c r="S203" s="15"/>
      <c r="T203" s="15"/>
      <c r="U203" s="15"/>
      <c r="V203" s="15"/>
      <c r="W203" s="15"/>
      <c r="X203" s="15"/>
      <c r="Y203" s="15"/>
      <c r="Z203" s="15"/>
      <c r="AA203" s="15"/>
      <c r="AB203" s="15"/>
      <c r="AC203" s="15"/>
      <c r="AD203" s="15"/>
      <c r="AE203" s="15"/>
    </row>
    <row r="204" spans="1:31" x14ac:dyDescent="0.25">
      <c r="A204" s="15"/>
      <c r="B204" s="15"/>
      <c r="C204" s="15"/>
      <c r="D204" s="15"/>
      <c r="E204" s="15"/>
      <c r="F204" s="15"/>
      <c r="G204" s="23"/>
      <c r="H204" s="15"/>
      <c r="I204" s="182"/>
      <c r="J204" s="15"/>
      <c r="K204" s="15"/>
      <c r="L204" s="15"/>
      <c r="M204" s="15"/>
      <c r="N204" s="15"/>
      <c r="O204" s="15"/>
      <c r="P204" s="15"/>
      <c r="Q204" s="15"/>
      <c r="R204" s="15"/>
      <c r="S204" s="15"/>
      <c r="T204" s="15"/>
      <c r="U204" s="15"/>
      <c r="V204" s="15"/>
      <c r="W204" s="15"/>
      <c r="X204" s="15"/>
      <c r="Y204" s="15"/>
      <c r="Z204" s="15"/>
      <c r="AA204" s="15"/>
      <c r="AB204" s="15"/>
      <c r="AC204" s="15"/>
      <c r="AD204" s="15"/>
      <c r="AE204" s="15"/>
    </row>
    <row r="205" spans="1:31" x14ac:dyDescent="0.25">
      <c r="A205" s="15"/>
      <c r="B205" s="15"/>
      <c r="C205" s="15"/>
      <c r="D205" s="15"/>
      <c r="E205" s="15"/>
      <c r="F205" s="15"/>
      <c r="G205" s="23"/>
      <c r="H205" s="15"/>
      <c r="I205" s="182"/>
      <c r="J205" s="15"/>
      <c r="K205" s="15"/>
      <c r="L205" s="15"/>
      <c r="M205" s="15"/>
      <c r="N205" s="15"/>
      <c r="O205" s="15"/>
      <c r="P205" s="15"/>
      <c r="Q205" s="15"/>
      <c r="R205" s="15"/>
      <c r="S205" s="15"/>
      <c r="T205" s="15"/>
      <c r="U205" s="15"/>
      <c r="V205" s="15"/>
      <c r="W205" s="15"/>
      <c r="X205" s="15"/>
      <c r="Y205" s="15"/>
      <c r="Z205" s="15"/>
      <c r="AA205" s="15"/>
      <c r="AB205" s="15"/>
      <c r="AC205" s="15"/>
      <c r="AD205" s="15"/>
      <c r="AE205" s="15"/>
    </row>
    <row r="206" spans="1:31" x14ac:dyDescent="0.25">
      <c r="A206" s="15"/>
      <c r="B206" s="15"/>
      <c r="C206" s="15"/>
      <c r="D206" s="15"/>
      <c r="E206" s="15"/>
      <c r="F206" s="15"/>
      <c r="G206" s="23"/>
      <c r="H206" s="15"/>
      <c r="I206" s="182"/>
      <c r="J206" s="15"/>
      <c r="K206" s="15"/>
      <c r="L206" s="15"/>
      <c r="M206" s="15"/>
      <c r="N206" s="15"/>
      <c r="O206" s="15"/>
      <c r="P206" s="15"/>
      <c r="Q206" s="15"/>
      <c r="R206" s="15"/>
      <c r="S206" s="15"/>
      <c r="T206" s="15"/>
      <c r="U206" s="15"/>
      <c r="V206" s="15"/>
      <c r="W206" s="15"/>
      <c r="X206" s="15"/>
      <c r="Y206" s="15"/>
      <c r="Z206" s="15"/>
      <c r="AA206" s="15"/>
      <c r="AB206" s="15"/>
      <c r="AC206" s="15"/>
      <c r="AD206" s="15"/>
      <c r="AE206" s="15"/>
    </row>
    <row r="207" spans="1:31" x14ac:dyDescent="0.25">
      <c r="A207" s="15"/>
      <c r="B207" s="15"/>
      <c r="C207" s="15"/>
      <c r="D207" s="15"/>
      <c r="E207" s="15"/>
      <c r="F207" s="15"/>
      <c r="G207" s="23"/>
      <c r="H207" s="15"/>
      <c r="I207" s="182"/>
      <c r="J207" s="15"/>
      <c r="K207" s="15"/>
      <c r="L207" s="15"/>
      <c r="M207" s="15"/>
      <c r="N207" s="15"/>
      <c r="O207" s="15"/>
      <c r="P207" s="15"/>
      <c r="Q207" s="15"/>
      <c r="R207" s="15"/>
      <c r="S207" s="15"/>
      <c r="T207" s="15"/>
      <c r="U207" s="15"/>
      <c r="V207" s="15"/>
      <c r="W207" s="15"/>
      <c r="X207" s="15"/>
      <c r="Y207" s="15"/>
      <c r="Z207" s="15"/>
      <c r="AA207" s="15"/>
      <c r="AB207" s="15"/>
      <c r="AC207" s="15"/>
      <c r="AD207" s="15"/>
      <c r="AE207" s="15"/>
    </row>
    <row r="208" spans="1:31" x14ac:dyDescent="0.25">
      <c r="A208" s="15"/>
      <c r="B208" s="15"/>
      <c r="C208" s="15"/>
      <c r="D208" s="15"/>
      <c r="E208" s="15"/>
      <c r="F208" s="15"/>
      <c r="G208" s="23"/>
      <c r="H208" s="15"/>
      <c r="I208" s="182"/>
      <c r="J208" s="15"/>
      <c r="K208" s="15"/>
      <c r="L208" s="15"/>
      <c r="M208" s="15"/>
      <c r="N208" s="15"/>
      <c r="O208" s="15"/>
      <c r="P208" s="15"/>
      <c r="Q208" s="15"/>
      <c r="R208" s="15"/>
      <c r="S208" s="15"/>
      <c r="T208" s="15"/>
      <c r="U208" s="15"/>
      <c r="V208" s="15"/>
      <c r="W208" s="15"/>
      <c r="X208" s="15"/>
      <c r="Y208" s="15"/>
      <c r="Z208" s="15"/>
      <c r="AA208" s="15"/>
      <c r="AB208" s="15"/>
      <c r="AC208" s="15"/>
      <c r="AD208" s="15"/>
      <c r="AE208" s="15"/>
    </row>
    <row r="209" spans="1:31" x14ac:dyDescent="0.25">
      <c r="A209" s="15"/>
      <c r="B209" s="15"/>
      <c r="C209" s="15"/>
      <c r="D209" s="15"/>
      <c r="E209" s="15"/>
      <c r="F209" s="15"/>
      <c r="G209" s="23"/>
      <c r="H209" s="15"/>
      <c r="I209" s="182"/>
      <c r="J209" s="15"/>
      <c r="K209" s="15"/>
      <c r="L209" s="15"/>
      <c r="M209" s="15"/>
      <c r="N209" s="15"/>
      <c r="O209" s="15"/>
      <c r="P209" s="15"/>
      <c r="Q209" s="15"/>
      <c r="R209" s="15"/>
      <c r="S209" s="15"/>
      <c r="T209" s="15"/>
      <c r="U209" s="15"/>
      <c r="V209" s="15"/>
      <c r="W209" s="15"/>
      <c r="X209" s="15"/>
      <c r="Y209" s="15"/>
      <c r="Z209" s="15"/>
      <c r="AA209" s="15"/>
      <c r="AB209" s="15"/>
      <c r="AC209" s="15"/>
      <c r="AD209" s="15"/>
      <c r="AE209" s="15"/>
    </row>
    <row r="210" spans="1:31" x14ac:dyDescent="0.25">
      <c r="A210" s="15"/>
      <c r="B210" s="15"/>
      <c r="C210" s="15"/>
      <c r="D210" s="15"/>
      <c r="E210" s="15"/>
      <c r="F210" s="15"/>
      <c r="G210" s="23"/>
      <c r="H210" s="15"/>
      <c r="I210" s="182"/>
      <c r="J210" s="15"/>
      <c r="K210" s="15"/>
      <c r="L210" s="15"/>
      <c r="M210" s="15"/>
      <c r="N210" s="15"/>
      <c r="O210" s="15"/>
      <c r="P210" s="15"/>
      <c r="Q210" s="15"/>
      <c r="R210" s="15"/>
      <c r="S210" s="15"/>
      <c r="T210" s="15"/>
      <c r="U210" s="15"/>
      <c r="V210" s="15"/>
      <c r="W210" s="15"/>
      <c r="X210" s="15"/>
      <c r="Y210" s="15"/>
      <c r="Z210" s="15"/>
      <c r="AA210" s="15"/>
      <c r="AB210" s="15"/>
      <c r="AC210" s="15"/>
      <c r="AD210" s="15"/>
      <c r="AE210" s="15"/>
    </row>
    <row r="211" spans="1:31" x14ac:dyDescent="0.25">
      <c r="A211" s="15"/>
      <c r="B211" s="15"/>
      <c r="C211" s="15"/>
      <c r="D211" s="15"/>
      <c r="E211" s="15"/>
      <c r="F211" s="15"/>
      <c r="G211" s="23"/>
      <c r="H211" s="15"/>
      <c r="I211" s="182"/>
      <c r="J211" s="15"/>
      <c r="K211" s="15"/>
      <c r="L211" s="15"/>
      <c r="M211" s="15"/>
      <c r="N211" s="15"/>
      <c r="O211" s="15"/>
      <c r="P211" s="15"/>
      <c r="Q211" s="15"/>
      <c r="R211" s="15"/>
      <c r="S211" s="15"/>
      <c r="T211" s="15"/>
      <c r="U211" s="15"/>
      <c r="V211" s="15"/>
      <c r="W211" s="15"/>
      <c r="X211" s="15"/>
      <c r="Y211" s="15"/>
      <c r="Z211" s="15"/>
      <c r="AA211" s="15"/>
      <c r="AB211" s="15"/>
      <c r="AC211" s="15"/>
      <c r="AD211" s="15"/>
      <c r="AE211" s="15"/>
    </row>
    <row r="212" spans="1:31" x14ac:dyDescent="0.25">
      <c r="A212" s="15"/>
      <c r="B212" s="15"/>
      <c r="C212" s="15"/>
      <c r="D212" s="15"/>
      <c r="E212" s="15"/>
      <c r="F212" s="15"/>
      <c r="G212" s="23"/>
      <c r="H212" s="15"/>
      <c r="I212" s="182"/>
      <c r="J212" s="15"/>
      <c r="K212" s="15"/>
      <c r="L212" s="15"/>
      <c r="M212" s="15"/>
      <c r="N212" s="15"/>
      <c r="O212" s="15"/>
      <c r="P212" s="15"/>
      <c r="Q212" s="15"/>
      <c r="R212" s="15"/>
      <c r="S212" s="15"/>
      <c r="T212" s="15"/>
      <c r="U212" s="15"/>
      <c r="V212" s="15"/>
      <c r="W212" s="15"/>
      <c r="X212" s="15"/>
      <c r="Y212" s="15"/>
      <c r="Z212" s="15"/>
      <c r="AA212" s="15"/>
      <c r="AB212" s="15"/>
      <c r="AC212" s="15"/>
      <c r="AD212" s="15"/>
      <c r="AE212" s="15"/>
    </row>
    <row r="213" spans="1:31" x14ac:dyDescent="0.25">
      <c r="A213" s="15"/>
      <c r="B213" s="15"/>
      <c r="C213" s="15"/>
      <c r="D213" s="15"/>
      <c r="E213" s="15"/>
      <c r="F213" s="15"/>
      <c r="G213" s="23"/>
      <c r="H213" s="15"/>
      <c r="I213" s="182"/>
      <c r="J213" s="15"/>
      <c r="K213" s="15"/>
      <c r="L213" s="15"/>
      <c r="M213" s="15"/>
      <c r="N213" s="15"/>
      <c r="O213" s="15"/>
      <c r="P213" s="15"/>
      <c r="Q213" s="15"/>
      <c r="R213" s="15"/>
      <c r="S213" s="15"/>
      <c r="T213" s="15"/>
      <c r="U213" s="15"/>
      <c r="V213" s="15"/>
      <c r="W213" s="15"/>
      <c r="X213" s="15"/>
      <c r="Y213" s="15"/>
      <c r="Z213" s="15"/>
      <c r="AA213" s="15"/>
      <c r="AB213" s="15"/>
      <c r="AC213" s="15"/>
      <c r="AD213" s="15"/>
      <c r="AE213" s="15"/>
    </row>
    <row r="214" spans="1:31" x14ac:dyDescent="0.25">
      <c r="A214" s="15"/>
      <c r="B214" s="15"/>
      <c r="C214" s="15"/>
      <c r="D214" s="15"/>
      <c r="E214" s="15"/>
      <c r="F214" s="15"/>
      <c r="G214" s="23"/>
      <c r="H214" s="15"/>
      <c r="I214" s="182"/>
      <c r="J214" s="15"/>
      <c r="K214" s="15"/>
      <c r="L214" s="15"/>
      <c r="M214" s="15"/>
      <c r="N214" s="15"/>
      <c r="O214" s="15"/>
      <c r="P214" s="15"/>
      <c r="Q214" s="15"/>
      <c r="R214" s="15"/>
      <c r="S214" s="15"/>
      <c r="T214" s="15"/>
      <c r="U214" s="15"/>
      <c r="V214" s="15"/>
      <c r="W214" s="15"/>
      <c r="X214" s="15"/>
      <c r="Y214" s="15"/>
      <c r="Z214" s="15"/>
      <c r="AA214" s="15"/>
      <c r="AB214" s="15"/>
      <c r="AC214" s="15"/>
      <c r="AD214" s="15"/>
      <c r="AE214" s="15"/>
    </row>
    <row r="215" spans="1:31" x14ac:dyDescent="0.25">
      <c r="A215" s="15"/>
      <c r="B215" s="15"/>
      <c r="C215" s="15"/>
      <c r="D215" s="15"/>
      <c r="E215" s="15"/>
      <c r="F215" s="15"/>
      <c r="G215" s="23"/>
      <c r="H215" s="15"/>
      <c r="I215" s="182"/>
      <c r="J215" s="15"/>
      <c r="K215" s="15"/>
      <c r="L215" s="15"/>
      <c r="M215" s="15"/>
      <c r="N215" s="15"/>
      <c r="O215" s="15"/>
      <c r="P215" s="15"/>
      <c r="Q215" s="15"/>
      <c r="R215" s="15"/>
      <c r="S215" s="15"/>
      <c r="T215" s="15"/>
      <c r="U215" s="15"/>
      <c r="V215" s="15"/>
      <c r="W215" s="15"/>
      <c r="X215" s="15"/>
      <c r="Y215" s="15"/>
      <c r="Z215" s="15"/>
      <c r="AA215" s="15"/>
      <c r="AB215" s="15"/>
      <c r="AC215" s="15"/>
      <c r="AD215" s="15"/>
      <c r="AE215" s="15"/>
    </row>
    <row r="216" spans="1:31" x14ac:dyDescent="0.25">
      <c r="A216" s="15"/>
      <c r="B216" s="15"/>
      <c r="C216" s="15"/>
      <c r="D216" s="15"/>
      <c r="E216" s="15"/>
      <c r="F216" s="15"/>
      <c r="G216" s="23"/>
      <c r="H216" s="15"/>
      <c r="I216" s="182"/>
      <c r="J216" s="15"/>
      <c r="K216" s="15"/>
      <c r="L216" s="15"/>
      <c r="M216" s="15"/>
      <c r="N216" s="15"/>
      <c r="O216" s="15"/>
      <c r="P216" s="15"/>
      <c r="Q216" s="15"/>
      <c r="R216" s="15"/>
      <c r="S216" s="15"/>
      <c r="T216" s="15"/>
      <c r="U216" s="15"/>
      <c r="V216" s="15"/>
      <c r="W216" s="15"/>
      <c r="X216" s="15"/>
      <c r="Y216" s="15"/>
      <c r="Z216" s="15"/>
      <c r="AA216" s="15"/>
      <c r="AB216" s="15"/>
      <c r="AC216" s="15"/>
      <c r="AD216" s="15"/>
      <c r="AE216" s="15"/>
    </row>
    <row r="217" spans="1:31" x14ac:dyDescent="0.25">
      <c r="A217" s="15"/>
      <c r="B217" s="15"/>
      <c r="C217" s="15"/>
      <c r="D217" s="15"/>
      <c r="E217" s="15"/>
      <c r="F217" s="15"/>
      <c r="G217" s="23"/>
      <c r="H217" s="15"/>
      <c r="I217" s="182"/>
      <c r="J217" s="15"/>
      <c r="K217" s="15"/>
      <c r="L217" s="15"/>
      <c r="M217" s="15"/>
      <c r="N217" s="15"/>
      <c r="O217" s="15"/>
      <c r="P217" s="15"/>
      <c r="Q217" s="15"/>
      <c r="R217" s="15"/>
      <c r="S217" s="15"/>
      <c r="T217" s="15"/>
      <c r="U217" s="15"/>
      <c r="V217" s="15"/>
      <c r="W217" s="15"/>
      <c r="X217" s="15"/>
      <c r="Y217" s="15"/>
      <c r="Z217" s="15"/>
      <c r="AA217" s="15"/>
      <c r="AB217" s="15"/>
      <c r="AC217" s="15"/>
      <c r="AD217" s="15"/>
      <c r="AE217" s="15"/>
    </row>
    <row r="218" spans="1:31" x14ac:dyDescent="0.25">
      <c r="A218" s="15"/>
      <c r="B218" s="15"/>
      <c r="C218" s="15"/>
      <c r="D218" s="15"/>
      <c r="E218" s="15"/>
      <c r="F218" s="15"/>
      <c r="G218" s="23"/>
      <c r="H218" s="15"/>
      <c r="I218" s="182"/>
      <c r="J218" s="15"/>
      <c r="K218" s="15"/>
      <c r="L218" s="15"/>
      <c r="M218" s="15"/>
      <c r="N218" s="15"/>
      <c r="O218" s="15"/>
      <c r="P218" s="15"/>
      <c r="Q218" s="15"/>
      <c r="R218" s="15"/>
      <c r="S218" s="15"/>
      <c r="T218" s="15"/>
      <c r="U218" s="15"/>
      <c r="V218" s="15"/>
      <c r="W218" s="15"/>
      <c r="X218" s="15"/>
      <c r="Y218" s="15"/>
      <c r="Z218" s="15"/>
      <c r="AA218" s="15"/>
      <c r="AB218" s="15"/>
      <c r="AC218" s="15"/>
      <c r="AD218" s="15"/>
      <c r="AE218" s="15"/>
    </row>
    <row r="219" spans="1:31" x14ac:dyDescent="0.25">
      <c r="A219" s="15"/>
      <c r="B219" s="15"/>
      <c r="C219" s="15"/>
      <c r="D219" s="15"/>
      <c r="E219" s="15"/>
      <c r="F219" s="15"/>
      <c r="G219" s="23"/>
      <c r="H219" s="15"/>
      <c r="I219" s="182"/>
      <c r="J219" s="15"/>
      <c r="K219" s="15"/>
      <c r="L219" s="15"/>
      <c r="M219" s="15"/>
      <c r="N219" s="15"/>
      <c r="O219" s="15"/>
      <c r="P219" s="15"/>
      <c r="Q219" s="15"/>
      <c r="R219" s="15"/>
      <c r="S219" s="15"/>
      <c r="T219" s="15"/>
      <c r="U219" s="15"/>
      <c r="V219" s="15"/>
      <c r="W219" s="15"/>
      <c r="X219" s="15"/>
      <c r="Y219" s="15"/>
      <c r="Z219" s="15"/>
      <c r="AA219" s="15"/>
      <c r="AB219" s="15"/>
      <c r="AC219" s="15"/>
      <c r="AD219" s="15"/>
      <c r="AE219" s="15"/>
    </row>
    <row r="220" spans="1:31" x14ac:dyDescent="0.25">
      <c r="A220" s="15"/>
      <c r="B220" s="15"/>
      <c r="C220" s="15"/>
      <c r="D220" s="15"/>
      <c r="E220" s="15"/>
      <c r="F220" s="15"/>
      <c r="G220" s="23"/>
      <c r="H220" s="15"/>
      <c r="I220" s="182"/>
      <c r="J220" s="15"/>
      <c r="K220" s="15"/>
      <c r="L220" s="15"/>
      <c r="M220" s="15"/>
      <c r="N220" s="15"/>
      <c r="O220" s="15"/>
      <c r="P220" s="15"/>
      <c r="Q220" s="15"/>
      <c r="R220" s="15"/>
      <c r="S220" s="15"/>
      <c r="T220" s="15"/>
      <c r="U220" s="15"/>
      <c r="V220" s="15"/>
      <c r="W220" s="15"/>
      <c r="X220" s="15"/>
      <c r="Y220" s="15"/>
      <c r="Z220" s="15"/>
      <c r="AA220" s="15"/>
      <c r="AB220" s="15"/>
      <c r="AC220" s="15"/>
      <c r="AD220" s="15"/>
      <c r="AE220" s="15"/>
    </row>
    <row r="221" spans="1:31" x14ac:dyDescent="0.25">
      <c r="A221" s="15"/>
      <c r="B221" s="15"/>
      <c r="C221" s="15"/>
      <c r="D221" s="15"/>
      <c r="E221" s="15"/>
      <c r="F221" s="15"/>
      <c r="G221" s="23"/>
      <c r="H221" s="15"/>
      <c r="I221" s="182"/>
      <c r="J221" s="15"/>
      <c r="K221" s="15"/>
      <c r="L221" s="15"/>
      <c r="M221" s="15"/>
      <c r="N221" s="15"/>
      <c r="O221" s="15"/>
      <c r="P221" s="15"/>
      <c r="Q221" s="15"/>
      <c r="R221" s="15"/>
      <c r="S221" s="15"/>
      <c r="T221" s="15"/>
      <c r="U221" s="15"/>
      <c r="V221" s="15"/>
      <c r="W221" s="15"/>
      <c r="X221" s="15"/>
      <c r="Y221" s="15"/>
      <c r="Z221" s="15"/>
      <c r="AA221" s="15"/>
      <c r="AB221" s="15"/>
      <c r="AC221" s="15"/>
      <c r="AD221" s="15"/>
      <c r="AE221" s="15"/>
    </row>
    <row r="222" spans="1:31" x14ac:dyDescent="0.25">
      <c r="A222" s="15"/>
      <c r="B222" s="15"/>
      <c r="C222" s="15"/>
      <c r="D222" s="15"/>
      <c r="E222" s="15"/>
      <c r="F222" s="15"/>
      <c r="G222" s="23"/>
      <c r="H222" s="15"/>
      <c r="I222" s="182"/>
      <c r="J222" s="15"/>
      <c r="K222" s="15"/>
      <c r="L222" s="15"/>
      <c r="M222" s="15"/>
      <c r="N222" s="15"/>
      <c r="O222" s="15"/>
      <c r="P222" s="15"/>
      <c r="Q222" s="15"/>
      <c r="R222" s="15"/>
      <c r="S222" s="15"/>
      <c r="T222" s="15"/>
      <c r="U222" s="15"/>
      <c r="V222" s="15"/>
      <c r="W222" s="15"/>
      <c r="X222" s="15"/>
      <c r="Y222" s="15"/>
      <c r="Z222" s="15"/>
      <c r="AA222" s="15"/>
      <c r="AB222" s="15"/>
      <c r="AC222" s="15"/>
      <c r="AD222" s="15"/>
      <c r="AE222" s="15"/>
    </row>
    <row r="223" spans="1:31" x14ac:dyDescent="0.25">
      <c r="A223" s="15"/>
      <c r="B223" s="15"/>
      <c r="C223" s="15"/>
      <c r="D223" s="15"/>
      <c r="E223" s="15"/>
      <c r="F223" s="15"/>
      <c r="G223" s="23"/>
      <c r="H223" s="15"/>
      <c r="I223" s="182"/>
      <c r="J223" s="15"/>
      <c r="K223" s="15"/>
      <c r="L223" s="15"/>
      <c r="M223" s="15"/>
      <c r="N223" s="15"/>
      <c r="O223" s="15"/>
      <c r="P223" s="15"/>
      <c r="Q223" s="15"/>
      <c r="R223" s="15"/>
      <c r="S223" s="15"/>
      <c r="T223" s="15"/>
      <c r="U223" s="15"/>
      <c r="V223" s="15"/>
      <c r="W223" s="15"/>
      <c r="X223" s="15"/>
      <c r="Y223" s="15"/>
      <c r="Z223" s="15"/>
      <c r="AA223" s="15"/>
      <c r="AB223" s="15"/>
      <c r="AC223" s="15"/>
      <c r="AD223" s="15"/>
      <c r="AE223" s="15"/>
    </row>
    <row r="224" spans="1:31" x14ac:dyDescent="0.25">
      <c r="A224" s="15"/>
      <c r="B224" s="15"/>
      <c r="C224" s="15"/>
      <c r="D224" s="15"/>
      <c r="E224" s="15"/>
      <c r="F224" s="15"/>
      <c r="G224" s="23"/>
      <c r="H224" s="15"/>
      <c r="I224" s="182"/>
      <c r="J224" s="15"/>
      <c r="K224" s="15"/>
      <c r="L224" s="15"/>
      <c r="M224" s="15"/>
      <c r="N224" s="15"/>
      <c r="O224" s="15"/>
      <c r="P224" s="15"/>
      <c r="Q224" s="15"/>
      <c r="R224" s="15"/>
      <c r="S224" s="15"/>
      <c r="T224" s="15"/>
      <c r="U224" s="15"/>
      <c r="V224" s="15"/>
      <c r="W224" s="15"/>
      <c r="X224" s="15"/>
      <c r="Y224" s="15"/>
      <c r="Z224" s="15"/>
      <c r="AA224" s="15"/>
      <c r="AB224" s="15"/>
      <c r="AC224" s="15"/>
      <c r="AD224" s="15"/>
      <c r="AE224" s="15"/>
    </row>
    <row r="225" spans="1:31" x14ac:dyDescent="0.25">
      <c r="A225" s="15"/>
      <c r="B225" s="15"/>
      <c r="C225" s="15"/>
      <c r="D225" s="15"/>
      <c r="E225" s="15"/>
      <c r="F225" s="15"/>
      <c r="G225" s="23"/>
      <c r="H225" s="15"/>
      <c r="I225" s="182"/>
      <c r="J225" s="15"/>
      <c r="K225" s="15"/>
      <c r="L225" s="15"/>
      <c r="M225" s="15"/>
      <c r="N225" s="15"/>
      <c r="O225" s="15"/>
      <c r="P225" s="15"/>
      <c r="Q225" s="15"/>
      <c r="R225" s="15"/>
      <c r="S225" s="15"/>
      <c r="T225" s="15"/>
      <c r="U225" s="15"/>
      <c r="V225" s="15"/>
      <c r="W225" s="15"/>
      <c r="X225" s="15"/>
      <c r="Y225" s="15"/>
      <c r="Z225" s="15"/>
      <c r="AA225" s="15"/>
      <c r="AB225" s="15"/>
      <c r="AC225" s="15"/>
      <c r="AD225" s="15"/>
      <c r="AE225" s="15"/>
    </row>
    <row r="226" spans="1:31" x14ac:dyDescent="0.25">
      <c r="A226" s="15"/>
      <c r="B226" s="15"/>
      <c r="C226" s="15"/>
      <c r="D226" s="15"/>
      <c r="E226" s="15"/>
      <c r="F226" s="15"/>
      <c r="G226" s="23"/>
      <c r="H226" s="15"/>
      <c r="I226" s="182"/>
      <c r="J226" s="15"/>
      <c r="K226" s="15"/>
      <c r="L226" s="15"/>
      <c r="M226" s="15"/>
      <c r="N226" s="15"/>
      <c r="O226" s="15"/>
      <c r="P226" s="15"/>
      <c r="Q226" s="15"/>
      <c r="R226" s="15"/>
      <c r="S226" s="15"/>
      <c r="T226" s="15"/>
      <c r="U226" s="15"/>
      <c r="V226" s="15"/>
      <c r="W226" s="15"/>
      <c r="X226" s="15"/>
      <c r="Y226" s="15"/>
      <c r="Z226" s="15"/>
      <c r="AA226" s="15"/>
      <c r="AB226" s="15"/>
      <c r="AC226" s="15"/>
      <c r="AD226" s="15"/>
      <c r="AE226" s="15"/>
    </row>
    <row r="227" spans="1:31" x14ac:dyDescent="0.25">
      <c r="A227" s="15"/>
      <c r="B227" s="15"/>
      <c r="C227" s="15"/>
      <c r="D227" s="15"/>
      <c r="E227" s="15"/>
      <c r="F227" s="15"/>
      <c r="G227" s="23"/>
      <c r="H227" s="15"/>
      <c r="I227" s="182"/>
      <c r="J227" s="15"/>
      <c r="K227" s="15"/>
      <c r="L227" s="15"/>
      <c r="M227" s="15"/>
      <c r="N227" s="15"/>
      <c r="O227" s="15"/>
      <c r="P227" s="15"/>
      <c r="Q227" s="15"/>
      <c r="R227" s="15"/>
      <c r="S227" s="15"/>
      <c r="T227" s="15"/>
      <c r="U227" s="15"/>
      <c r="V227" s="15"/>
      <c r="W227" s="15"/>
      <c r="X227" s="15"/>
      <c r="Y227" s="15"/>
      <c r="Z227" s="15"/>
      <c r="AA227" s="15"/>
      <c r="AB227" s="15"/>
      <c r="AC227" s="15"/>
      <c r="AD227" s="15"/>
      <c r="AE227" s="15"/>
    </row>
    <row r="228" spans="1:31" x14ac:dyDescent="0.25">
      <c r="A228" s="15"/>
      <c r="B228" s="15"/>
      <c r="C228" s="15"/>
      <c r="D228" s="15"/>
      <c r="E228" s="15"/>
      <c r="F228" s="15"/>
      <c r="G228" s="23"/>
      <c r="H228" s="15"/>
      <c r="I228" s="182"/>
      <c r="J228" s="15"/>
      <c r="K228" s="15"/>
      <c r="L228" s="15"/>
      <c r="M228" s="15"/>
      <c r="N228" s="15"/>
      <c r="O228" s="15"/>
      <c r="P228" s="15"/>
      <c r="Q228" s="15"/>
      <c r="R228" s="15"/>
      <c r="S228" s="15"/>
      <c r="T228" s="15"/>
      <c r="U228" s="15"/>
      <c r="V228" s="15"/>
      <c r="W228" s="15"/>
      <c r="X228" s="15"/>
      <c r="Y228" s="15"/>
      <c r="Z228" s="15"/>
      <c r="AA228" s="15"/>
      <c r="AB228" s="15"/>
      <c r="AC228" s="15"/>
      <c r="AD228" s="15"/>
      <c r="AE228" s="15"/>
    </row>
    <row r="229" spans="1:31" x14ac:dyDescent="0.25">
      <c r="A229" s="15"/>
      <c r="B229" s="140"/>
      <c r="C229" s="140"/>
      <c r="D229" s="140"/>
      <c r="E229" s="140"/>
      <c r="F229" s="140"/>
      <c r="G229" s="141"/>
      <c r="H229" s="140"/>
      <c r="I229" s="198"/>
      <c r="J229" s="140"/>
      <c r="K229" s="140"/>
      <c r="L229" s="140"/>
      <c r="M229" s="140"/>
      <c r="N229" s="140"/>
      <c r="O229" s="140"/>
      <c r="P229" s="140"/>
      <c r="Q229" s="140"/>
      <c r="R229" s="140"/>
      <c r="S229" s="15"/>
      <c r="T229" s="15"/>
      <c r="U229" s="15"/>
      <c r="V229" s="15"/>
      <c r="W229" s="15"/>
      <c r="X229" s="15"/>
      <c r="Y229" s="15"/>
      <c r="Z229" s="15"/>
      <c r="AA229" s="15"/>
      <c r="AB229" s="15"/>
      <c r="AC229" s="15"/>
      <c r="AD229" s="15"/>
      <c r="AE229" s="15"/>
    </row>
    <row r="230" spans="1:31" x14ac:dyDescent="0.25">
      <c r="A230" s="15"/>
      <c r="B230" s="140"/>
      <c r="C230" s="140"/>
      <c r="D230" s="140"/>
      <c r="E230" s="140"/>
      <c r="F230" s="140"/>
      <c r="G230" s="141"/>
      <c r="H230" s="140"/>
      <c r="I230" s="198"/>
      <c r="J230" s="140"/>
      <c r="K230" s="140"/>
      <c r="L230" s="140"/>
      <c r="M230" s="140"/>
      <c r="N230" s="140"/>
      <c r="O230" s="140"/>
      <c r="P230" s="140"/>
      <c r="Q230" s="140"/>
      <c r="R230" s="140"/>
      <c r="S230" s="15"/>
      <c r="T230" s="15"/>
      <c r="U230" s="15"/>
      <c r="V230" s="15"/>
      <c r="W230" s="15"/>
      <c r="X230" s="15"/>
      <c r="Y230" s="15"/>
      <c r="Z230" s="15"/>
      <c r="AA230" s="15"/>
      <c r="AB230" s="15"/>
      <c r="AC230" s="15"/>
      <c r="AD230" s="15"/>
      <c r="AE230" s="15"/>
    </row>
    <row r="231" spans="1:31" x14ac:dyDescent="0.25">
      <c r="A231" s="15"/>
      <c r="B231" s="140"/>
      <c r="C231" s="140"/>
      <c r="D231" s="140"/>
      <c r="E231" s="140"/>
      <c r="F231" s="140"/>
      <c r="G231" s="141"/>
      <c r="H231" s="140"/>
      <c r="I231" s="198"/>
      <c r="J231" s="140"/>
      <c r="K231" s="140"/>
      <c r="L231" s="140"/>
      <c r="M231" s="140"/>
      <c r="N231" s="140"/>
      <c r="O231" s="140"/>
      <c r="P231" s="140"/>
      <c r="Q231" s="140"/>
      <c r="R231" s="140"/>
      <c r="S231" s="15"/>
      <c r="T231" s="15"/>
      <c r="U231" s="15"/>
      <c r="V231" s="15"/>
      <c r="W231" s="15"/>
      <c r="X231" s="15"/>
      <c r="Y231" s="15"/>
      <c r="Z231" s="15"/>
      <c r="AA231" s="15"/>
      <c r="AB231" s="15"/>
      <c r="AC231" s="15"/>
      <c r="AD231" s="15"/>
      <c r="AE231" s="15"/>
    </row>
    <row r="232" spans="1:31" x14ac:dyDescent="0.25">
      <c r="A232" s="15"/>
      <c r="B232" s="140"/>
      <c r="C232" s="140"/>
      <c r="D232" s="140"/>
      <c r="E232" s="140"/>
      <c r="F232" s="140"/>
      <c r="G232" s="141"/>
      <c r="H232" s="140"/>
      <c r="I232" s="198"/>
      <c r="J232" s="140"/>
      <c r="K232" s="140"/>
      <c r="L232" s="140"/>
      <c r="M232" s="140"/>
      <c r="N232" s="140"/>
      <c r="O232" s="140"/>
      <c r="P232" s="140"/>
      <c r="Q232" s="140"/>
      <c r="R232" s="140"/>
      <c r="S232" s="15"/>
      <c r="T232" s="15"/>
      <c r="U232" s="15"/>
      <c r="V232" s="15"/>
      <c r="W232" s="15"/>
      <c r="X232" s="15"/>
      <c r="Y232" s="15"/>
      <c r="Z232" s="15"/>
      <c r="AA232" s="15"/>
      <c r="AB232" s="15"/>
      <c r="AC232" s="15"/>
      <c r="AD232" s="15"/>
      <c r="AE232" s="15"/>
    </row>
    <row r="233" spans="1:31" x14ac:dyDescent="0.25">
      <c r="A233" s="15"/>
      <c r="B233" s="140"/>
      <c r="C233" s="140"/>
      <c r="D233" s="140"/>
      <c r="E233" s="140"/>
      <c r="F233" s="140"/>
      <c r="G233" s="141"/>
      <c r="H233" s="140"/>
      <c r="I233" s="198"/>
      <c r="J233" s="140"/>
      <c r="K233" s="140"/>
      <c r="L233" s="140"/>
      <c r="M233" s="140"/>
      <c r="N233" s="140"/>
      <c r="O233" s="140"/>
      <c r="P233" s="140"/>
      <c r="Q233" s="140"/>
      <c r="R233" s="140"/>
      <c r="S233" s="15"/>
      <c r="T233" s="15"/>
      <c r="U233" s="15"/>
      <c r="V233" s="15"/>
      <c r="W233" s="15"/>
      <c r="X233" s="15"/>
      <c r="Y233" s="15"/>
      <c r="Z233" s="15"/>
      <c r="AA233" s="15"/>
      <c r="AB233" s="15"/>
      <c r="AC233" s="15"/>
      <c r="AD233" s="15"/>
      <c r="AE233" s="15"/>
    </row>
    <row r="234" spans="1:31" x14ac:dyDescent="0.25">
      <c r="A234" s="15"/>
      <c r="B234" s="140"/>
      <c r="C234" s="140"/>
      <c r="D234" s="140"/>
      <c r="E234" s="140"/>
      <c r="F234" s="140"/>
      <c r="G234" s="141"/>
      <c r="H234" s="140"/>
      <c r="I234" s="198"/>
      <c r="J234" s="140"/>
      <c r="K234" s="140"/>
      <c r="L234" s="140"/>
      <c r="M234" s="140"/>
      <c r="N234" s="140"/>
      <c r="O234" s="140"/>
      <c r="P234" s="140"/>
      <c r="Q234" s="140"/>
      <c r="R234" s="140"/>
      <c r="S234" s="15"/>
      <c r="T234" s="15"/>
      <c r="U234" s="15"/>
      <c r="V234" s="15"/>
      <c r="W234" s="15"/>
      <c r="X234" s="15"/>
      <c r="Y234" s="15"/>
      <c r="Z234" s="15"/>
      <c r="AA234" s="15"/>
      <c r="AB234" s="15"/>
      <c r="AC234" s="15"/>
      <c r="AD234" s="15"/>
      <c r="AE234" s="15"/>
    </row>
    <row r="235" spans="1:31" x14ac:dyDescent="0.25">
      <c r="A235" s="15"/>
      <c r="B235" s="140"/>
      <c r="C235" s="140"/>
      <c r="D235" s="140"/>
      <c r="E235" s="140"/>
      <c r="F235" s="140"/>
      <c r="G235" s="141"/>
      <c r="H235" s="140"/>
      <c r="I235" s="198"/>
      <c r="J235" s="140"/>
      <c r="K235" s="140"/>
      <c r="L235" s="140"/>
      <c r="M235" s="140"/>
      <c r="N235" s="140"/>
      <c r="O235" s="140"/>
      <c r="P235" s="140"/>
      <c r="Q235" s="140"/>
      <c r="R235" s="140"/>
      <c r="S235" s="15"/>
      <c r="T235" s="15"/>
      <c r="U235" s="15"/>
      <c r="V235" s="15"/>
      <c r="W235" s="15"/>
      <c r="X235" s="15"/>
      <c r="Y235" s="15"/>
      <c r="Z235" s="15"/>
      <c r="AA235" s="15"/>
      <c r="AB235" s="15"/>
      <c r="AC235" s="15"/>
      <c r="AD235" s="15"/>
      <c r="AE235" s="15"/>
    </row>
    <row r="236" spans="1:31" x14ac:dyDescent="0.25">
      <c r="A236" s="15"/>
      <c r="B236" s="140"/>
      <c r="C236" s="140"/>
      <c r="D236" s="140"/>
      <c r="E236" s="140"/>
      <c r="F236" s="140"/>
      <c r="G236" s="141"/>
      <c r="H236" s="140"/>
      <c r="I236" s="198"/>
      <c r="J236" s="140"/>
      <c r="K236" s="140"/>
      <c r="L236" s="140"/>
      <c r="M236" s="140"/>
      <c r="N236" s="140"/>
      <c r="O236" s="140"/>
      <c r="P236" s="140"/>
      <c r="Q236" s="140"/>
      <c r="R236" s="140"/>
      <c r="S236" s="15"/>
      <c r="T236" s="15"/>
      <c r="U236" s="15"/>
      <c r="V236" s="15"/>
      <c r="W236" s="15"/>
      <c r="X236" s="15"/>
      <c r="Y236" s="15"/>
      <c r="Z236" s="15"/>
      <c r="AA236" s="15"/>
      <c r="AB236" s="15"/>
      <c r="AC236" s="15"/>
      <c r="AD236" s="15"/>
      <c r="AE236" s="15"/>
    </row>
    <row r="237" spans="1:31" x14ac:dyDescent="0.25">
      <c r="A237" s="15"/>
      <c r="B237" s="140"/>
      <c r="C237" s="140"/>
      <c r="D237" s="140"/>
      <c r="E237" s="140"/>
      <c r="F237" s="140"/>
      <c r="G237" s="141"/>
      <c r="H237" s="140"/>
      <c r="I237" s="198"/>
      <c r="J237" s="140"/>
      <c r="K237" s="140"/>
      <c r="L237" s="140"/>
      <c r="M237" s="140"/>
      <c r="N237" s="140"/>
      <c r="O237" s="140"/>
      <c r="P237" s="140"/>
      <c r="Q237" s="140"/>
      <c r="R237" s="140"/>
      <c r="S237" s="15"/>
      <c r="T237" s="15"/>
      <c r="U237" s="15"/>
      <c r="V237" s="15"/>
      <c r="W237" s="15"/>
      <c r="X237" s="15"/>
      <c r="Y237" s="15"/>
      <c r="Z237" s="15"/>
      <c r="AA237" s="15"/>
      <c r="AB237" s="15"/>
      <c r="AC237" s="15"/>
      <c r="AD237" s="15"/>
      <c r="AE237" s="15"/>
    </row>
    <row r="238" spans="1:31" x14ac:dyDescent="0.25">
      <c r="A238" s="15"/>
      <c r="B238" s="140"/>
      <c r="C238" s="140"/>
      <c r="D238" s="140"/>
      <c r="E238" s="140"/>
      <c r="F238" s="140"/>
      <c r="G238" s="141"/>
      <c r="H238" s="140"/>
      <c r="I238" s="198"/>
      <c r="J238" s="140"/>
      <c r="K238" s="140"/>
      <c r="L238" s="140"/>
      <c r="M238" s="140"/>
      <c r="N238" s="140"/>
      <c r="O238" s="140"/>
      <c r="P238" s="140"/>
      <c r="Q238" s="140"/>
      <c r="R238" s="140"/>
      <c r="S238" s="15"/>
      <c r="T238" s="15"/>
      <c r="U238" s="15"/>
      <c r="V238" s="15"/>
      <c r="W238" s="15"/>
      <c r="X238" s="15"/>
      <c r="Y238" s="15"/>
      <c r="Z238" s="15"/>
      <c r="AA238" s="15"/>
      <c r="AB238" s="15"/>
      <c r="AC238" s="15"/>
      <c r="AD238" s="15"/>
      <c r="AE238" s="15"/>
    </row>
    <row r="239" spans="1:31" x14ac:dyDescent="0.25">
      <c r="A239" s="15"/>
      <c r="B239" s="140"/>
      <c r="C239" s="140"/>
      <c r="D239" s="140"/>
      <c r="E239" s="140"/>
      <c r="F239" s="140"/>
      <c r="G239" s="141"/>
      <c r="H239" s="140"/>
      <c r="I239" s="198"/>
      <c r="J239" s="140"/>
      <c r="K239" s="140"/>
      <c r="L239" s="140"/>
      <c r="M239" s="140"/>
      <c r="N239" s="140"/>
      <c r="O239" s="140"/>
      <c r="P239" s="140"/>
      <c r="Q239" s="140"/>
      <c r="R239" s="140"/>
      <c r="S239" s="15"/>
      <c r="T239" s="15"/>
      <c r="U239" s="15"/>
      <c r="V239" s="15"/>
      <c r="W239" s="15"/>
      <c r="X239" s="15"/>
      <c r="Y239" s="15"/>
      <c r="Z239" s="15"/>
      <c r="AA239" s="15"/>
      <c r="AB239" s="15"/>
      <c r="AC239" s="15"/>
      <c r="AD239" s="15"/>
      <c r="AE239" s="15"/>
    </row>
    <row r="240" spans="1:31" x14ac:dyDescent="0.25">
      <c r="A240" s="15"/>
      <c r="B240" s="140"/>
      <c r="C240" s="140"/>
      <c r="D240" s="140"/>
      <c r="E240" s="140"/>
      <c r="F240" s="140"/>
      <c r="G240" s="141"/>
      <c r="H240" s="140"/>
      <c r="I240" s="198"/>
      <c r="J240" s="140"/>
      <c r="K240" s="140"/>
      <c r="L240" s="140"/>
      <c r="M240" s="140"/>
      <c r="N240" s="140"/>
      <c r="O240" s="140"/>
      <c r="P240" s="140"/>
      <c r="Q240" s="140"/>
      <c r="R240" s="140"/>
    </row>
  </sheetData>
  <protectedRanges>
    <protectedRange sqref="B59:C61 F62:F64 AF86:AF87 V86:V87 X86:X87 Z86:Z87 AB86:AB87 AD86:AD87 T86:T87 F50:F58 AF46:AF79 V47:V79 X46:X80 Z46:Z79 AB46:AB80 AD46:AD79 T46:T79 T17:T39 F86:G87 F46:G49 AF16:AF39 AD16:AD39 AB16:AB39 Z16:Z39 X17:X40 R17:R39 P17:P39 N17:N39 L17:L39 V17:V39 B16:H39" name="Rango1"/>
  </protectedRanges>
  <mergeCells count="380">
    <mergeCell ref="B184:G184"/>
    <mergeCell ref="H184:I184"/>
    <mergeCell ref="J184:K184"/>
    <mergeCell ref="L184:M184"/>
    <mergeCell ref="N184:O184"/>
    <mergeCell ref="P184:Q184"/>
    <mergeCell ref="R184:S184"/>
    <mergeCell ref="T184:U184"/>
    <mergeCell ref="R183:S183"/>
    <mergeCell ref="T183:U183"/>
    <mergeCell ref="B183:G183"/>
    <mergeCell ref="H183:I183"/>
    <mergeCell ref="J183:K183"/>
    <mergeCell ref="L183:M183"/>
    <mergeCell ref="N183:O183"/>
    <mergeCell ref="P183:Q183"/>
    <mergeCell ref="AD185:AE185"/>
    <mergeCell ref="AF185:AG185"/>
    <mergeCell ref="R185:S185"/>
    <mergeCell ref="T185:U185"/>
    <mergeCell ref="V185:W185"/>
    <mergeCell ref="X185:Y185"/>
    <mergeCell ref="Z185:AA185"/>
    <mergeCell ref="AB185:AC185"/>
    <mergeCell ref="B185:G185"/>
    <mergeCell ref="H185:I185"/>
    <mergeCell ref="J185:K185"/>
    <mergeCell ref="L185:M185"/>
    <mergeCell ref="N185:O185"/>
    <mergeCell ref="P185:Q185"/>
    <mergeCell ref="V182:W182"/>
    <mergeCell ref="X182:Y182"/>
    <mergeCell ref="V184:W184"/>
    <mergeCell ref="X184:Y184"/>
    <mergeCell ref="Z184:AA184"/>
    <mergeCell ref="AB184:AC184"/>
    <mergeCell ref="AD184:AE184"/>
    <mergeCell ref="AF184:AG184"/>
    <mergeCell ref="AD183:AE183"/>
    <mergeCell ref="AF183:AG183"/>
    <mergeCell ref="V183:W183"/>
    <mergeCell ref="X183:Y183"/>
    <mergeCell ref="Z183:AA183"/>
    <mergeCell ref="AB183:AC183"/>
    <mergeCell ref="Z182:AA182"/>
    <mergeCell ref="AB182:AC182"/>
    <mergeCell ref="AD182:AE182"/>
    <mergeCell ref="AF182:AG182"/>
    <mergeCell ref="AF176:AG176"/>
    <mergeCell ref="B177:E177"/>
    <mergeCell ref="F177:G177"/>
    <mergeCell ref="B178:E178"/>
    <mergeCell ref="F178:G178"/>
    <mergeCell ref="B179:E179"/>
    <mergeCell ref="F179:G179"/>
    <mergeCell ref="T176:U176"/>
    <mergeCell ref="V176:W176"/>
    <mergeCell ref="X176:Y176"/>
    <mergeCell ref="Z176:AA176"/>
    <mergeCell ref="AB176:AC176"/>
    <mergeCell ref="AD176:AE176"/>
    <mergeCell ref="T182:U182"/>
    <mergeCell ref="B176:G176"/>
    <mergeCell ref="H176:I176"/>
    <mergeCell ref="J176:K176"/>
    <mergeCell ref="L176:M176"/>
    <mergeCell ref="N176:O176"/>
    <mergeCell ref="P176:Q176"/>
    <mergeCell ref="R176:S176"/>
    <mergeCell ref="P175:Q175"/>
    <mergeCell ref="R175:S175"/>
    <mergeCell ref="N182:O182"/>
    <mergeCell ref="P182:Q182"/>
    <mergeCell ref="R182:S182"/>
    <mergeCell ref="B180:E180"/>
    <mergeCell ref="F180:G180"/>
    <mergeCell ref="B182:G182"/>
    <mergeCell ref="H182:I182"/>
    <mergeCell ref="J182:K182"/>
    <mergeCell ref="L182:M182"/>
    <mergeCell ref="X174:Y174"/>
    <mergeCell ref="Z174:AA174"/>
    <mergeCell ref="AB174:AC174"/>
    <mergeCell ref="AD174:AE174"/>
    <mergeCell ref="AF174:AG174"/>
    <mergeCell ref="B175:G175"/>
    <mergeCell ref="H175:I175"/>
    <mergeCell ref="J175:K175"/>
    <mergeCell ref="L175:M175"/>
    <mergeCell ref="N175:O175"/>
    <mergeCell ref="AB175:AC175"/>
    <mergeCell ref="AD175:AE175"/>
    <mergeCell ref="AF175:AG175"/>
    <mergeCell ref="T175:U175"/>
    <mergeCell ref="V175:W175"/>
    <mergeCell ref="X175:Y175"/>
    <mergeCell ref="Z175:AA175"/>
    <mergeCell ref="B174:G174"/>
    <mergeCell ref="H174:I174"/>
    <mergeCell ref="J174:K174"/>
    <mergeCell ref="L174:M174"/>
    <mergeCell ref="N174:O174"/>
    <mergeCell ref="P174:Q174"/>
    <mergeCell ref="R174:S174"/>
    <mergeCell ref="T174:U174"/>
    <mergeCell ref="V174:W174"/>
    <mergeCell ref="AB172:AC172"/>
    <mergeCell ref="AD172:AE172"/>
    <mergeCell ref="AF172:AG172"/>
    <mergeCell ref="B173:G173"/>
    <mergeCell ref="H173:I173"/>
    <mergeCell ref="J173:K173"/>
    <mergeCell ref="L173:M173"/>
    <mergeCell ref="N173:O173"/>
    <mergeCell ref="P173:Q173"/>
    <mergeCell ref="R173:S173"/>
    <mergeCell ref="P172:Q172"/>
    <mergeCell ref="R172:S172"/>
    <mergeCell ref="T172:U172"/>
    <mergeCell ref="V172:W172"/>
    <mergeCell ref="X172:Y172"/>
    <mergeCell ref="Z172:AA172"/>
    <mergeCell ref="AF173:AG173"/>
    <mergeCell ref="T173:U173"/>
    <mergeCell ref="V173:W173"/>
    <mergeCell ref="X173:Y173"/>
    <mergeCell ref="Z173:AA173"/>
    <mergeCell ref="AB173:AC173"/>
    <mergeCell ref="AD173:AE173"/>
    <mergeCell ref="J166:K166"/>
    <mergeCell ref="L166:M166"/>
    <mergeCell ref="N166:O166"/>
    <mergeCell ref="B172:G172"/>
    <mergeCell ref="H172:I172"/>
    <mergeCell ref="J172:K172"/>
    <mergeCell ref="L172:M172"/>
    <mergeCell ref="N172:O172"/>
    <mergeCell ref="C164:E164"/>
    <mergeCell ref="F164:G164"/>
    <mergeCell ref="C165:E165"/>
    <mergeCell ref="F165:G165"/>
    <mergeCell ref="F166:G166"/>
    <mergeCell ref="H166:I166"/>
    <mergeCell ref="C161:E161"/>
    <mergeCell ref="F161:G161"/>
    <mergeCell ref="C162:E162"/>
    <mergeCell ref="F162:G162"/>
    <mergeCell ref="C163:E163"/>
    <mergeCell ref="F163:G163"/>
    <mergeCell ref="X159:Y159"/>
    <mergeCell ref="Z159:AA159"/>
    <mergeCell ref="AB159:AC159"/>
    <mergeCell ref="AD159:AE159"/>
    <mergeCell ref="AF159:AG159"/>
    <mergeCell ref="C160:E160"/>
    <mergeCell ref="F160:G160"/>
    <mergeCell ref="F158:AG158"/>
    <mergeCell ref="F159:G159"/>
    <mergeCell ref="H159:I159"/>
    <mergeCell ref="J159:K159"/>
    <mergeCell ref="L159:M159"/>
    <mergeCell ref="N159:O159"/>
    <mergeCell ref="P159:Q159"/>
    <mergeCell ref="R159:S159"/>
    <mergeCell ref="T159:U159"/>
    <mergeCell ref="V159:W159"/>
    <mergeCell ref="B149:E149"/>
    <mergeCell ref="B150:E150"/>
    <mergeCell ref="B151:E151"/>
    <mergeCell ref="B152:E152"/>
    <mergeCell ref="B153:E153"/>
    <mergeCell ref="B158:B159"/>
    <mergeCell ref="C158:E159"/>
    <mergeCell ref="B142:E142"/>
    <mergeCell ref="B143:E143"/>
    <mergeCell ref="B144:E144"/>
    <mergeCell ref="B146:E146"/>
    <mergeCell ref="B147:E147"/>
    <mergeCell ref="B148:E148"/>
    <mergeCell ref="B145:E145"/>
    <mergeCell ref="AF136:AG136"/>
    <mergeCell ref="B138:E138"/>
    <mergeCell ref="B139:E139"/>
    <mergeCell ref="B140:E140"/>
    <mergeCell ref="B141:E141"/>
    <mergeCell ref="T136:U136"/>
    <mergeCell ref="V136:W136"/>
    <mergeCell ref="X136:Y136"/>
    <mergeCell ref="Z136:AA136"/>
    <mergeCell ref="AB136:AC136"/>
    <mergeCell ref="AD136:AE136"/>
    <mergeCell ref="H136:I136"/>
    <mergeCell ref="J136:K136"/>
    <mergeCell ref="L136:M136"/>
    <mergeCell ref="N136:O136"/>
    <mergeCell ref="P136:Q136"/>
    <mergeCell ref="R136:S136"/>
    <mergeCell ref="B121:E121"/>
    <mergeCell ref="B132:E132"/>
    <mergeCell ref="B134:E134"/>
    <mergeCell ref="B136:E137"/>
    <mergeCell ref="F136:F137"/>
    <mergeCell ref="G136:G137"/>
    <mergeCell ref="B115:E115"/>
    <mergeCell ref="B116:E116"/>
    <mergeCell ref="B117:E117"/>
    <mergeCell ref="B118:E118"/>
    <mergeCell ref="B119:E119"/>
    <mergeCell ref="B120:E120"/>
    <mergeCell ref="B122:E122"/>
    <mergeCell ref="B130:E130"/>
    <mergeCell ref="B107:E107"/>
    <mergeCell ref="B109:E109"/>
    <mergeCell ref="B110:E110"/>
    <mergeCell ref="B113:E113"/>
    <mergeCell ref="B114:E114"/>
    <mergeCell ref="AB100:AC100"/>
    <mergeCell ref="AD100:AE100"/>
    <mergeCell ref="AF100:AG100"/>
    <mergeCell ref="B102:E102"/>
    <mergeCell ref="B103:E103"/>
    <mergeCell ref="B106:E106"/>
    <mergeCell ref="P100:Q100"/>
    <mergeCell ref="R100:S100"/>
    <mergeCell ref="T100:U100"/>
    <mergeCell ref="V100:W100"/>
    <mergeCell ref="X100:Y100"/>
    <mergeCell ref="Z100:AA100"/>
    <mergeCell ref="F100:F101"/>
    <mergeCell ref="G100:G101"/>
    <mergeCell ref="H100:I100"/>
    <mergeCell ref="J100:K100"/>
    <mergeCell ref="L100:M100"/>
    <mergeCell ref="N100:O100"/>
    <mergeCell ref="B108:E108"/>
    <mergeCell ref="B93:E93"/>
    <mergeCell ref="B94:E94"/>
    <mergeCell ref="B95:E95"/>
    <mergeCell ref="B96:E96"/>
    <mergeCell ref="B97:E97"/>
    <mergeCell ref="B100:E101"/>
    <mergeCell ref="AF83:AG83"/>
    <mergeCell ref="B86:E86"/>
    <mergeCell ref="B87:E87"/>
    <mergeCell ref="B90:E90"/>
    <mergeCell ref="B91:E91"/>
    <mergeCell ref="B92:E92"/>
    <mergeCell ref="T83:U83"/>
    <mergeCell ref="V83:W83"/>
    <mergeCell ref="X83:Y83"/>
    <mergeCell ref="Z83:AA83"/>
    <mergeCell ref="AB83:AC83"/>
    <mergeCell ref="AD83:AE83"/>
    <mergeCell ref="H83:I83"/>
    <mergeCell ref="J83:K83"/>
    <mergeCell ref="L83:M83"/>
    <mergeCell ref="N83:O83"/>
    <mergeCell ref="P83:Q83"/>
    <mergeCell ref="R83:S83"/>
    <mergeCell ref="B78:E78"/>
    <mergeCell ref="B79:E79"/>
    <mergeCell ref="B80:E80"/>
    <mergeCell ref="B83:E84"/>
    <mergeCell ref="F83:F84"/>
    <mergeCell ref="G83:G84"/>
    <mergeCell ref="B72:E72"/>
    <mergeCell ref="B73:E73"/>
    <mergeCell ref="B74:E74"/>
    <mergeCell ref="B75:E75"/>
    <mergeCell ref="B76:E76"/>
    <mergeCell ref="B77:E77"/>
    <mergeCell ref="B66:E66"/>
    <mergeCell ref="B67:E67"/>
    <mergeCell ref="B68:E68"/>
    <mergeCell ref="B69:E69"/>
    <mergeCell ref="B70:E70"/>
    <mergeCell ref="B71:E71"/>
    <mergeCell ref="B59:C59"/>
    <mergeCell ref="B60:C60"/>
    <mergeCell ref="B61:C61"/>
    <mergeCell ref="B62:E62"/>
    <mergeCell ref="B63:E63"/>
    <mergeCell ref="B64:E64"/>
    <mergeCell ref="B53:E53"/>
    <mergeCell ref="B54:E54"/>
    <mergeCell ref="B55:E55"/>
    <mergeCell ref="B56:E56"/>
    <mergeCell ref="B57:E57"/>
    <mergeCell ref="B58:E58"/>
    <mergeCell ref="B47:E47"/>
    <mergeCell ref="B48:E48"/>
    <mergeCell ref="B49:E49"/>
    <mergeCell ref="B50:E50"/>
    <mergeCell ref="B51:E51"/>
    <mergeCell ref="B52:E52"/>
    <mergeCell ref="X43:Y43"/>
    <mergeCell ref="Z43:AA43"/>
    <mergeCell ref="AB43:AC43"/>
    <mergeCell ref="AD43:AE43"/>
    <mergeCell ref="AF43:AG43"/>
    <mergeCell ref="B46:E46"/>
    <mergeCell ref="L43:M43"/>
    <mergeCell ref="N43:O43"/>
    <mergeCell ref="P43:Q43"/>
    <mergeCell ref="R43:S43"/>
    <mergeCell ref="T43:U43"/>
    <mergeCell ref="V43:W43"/>
    <mergeCell ref="B45:E45"/>
    <mergeCell ref="B38:E38"/>
    <mergeCell ref="B39:E39"/>
    <mergeCell ref="B30:H30"/>
    <mergeCell ref="B43:E44"/>
    <mergeCell ref="F43:F44"/>
    <mergeCell ref="G43:G44"/>
    <mergeCell ref="H43:I43"/>
    <mergeCell ref="J43:K43"/>
    <mergeCell ref="B40:H40"/>
    <mergeCell ref="B32:E32"/>
    <mergeCell ref="B21:E21"/>
    <mergeCell ref="B22:C22"/>
    <mergeCell ref="B23:E23"/>
    <mergeCell ref="B33:E33"/>
    <mergeCell ref="B34:E34"/>
    <mergeCell ref="B35:E35"/>
    <mergeCell ref="B36:E36"/>
    <mergeCell ref="B37:E37"/>
    <mergeCell ref="B19:E19"/>
    <mergeCell ref="B20:E20"/>
    <mergeCell ref="B29:I29"/>
    <mergeCell ref="B24:E24"/>
    <mergeCell ref="B25:E25"/>
    <mergeCell ref="B26:E26"/>
    <mergeCell ref="B27:E27"/>
    <mergeCell ref="B28:E28"/>
    <mergeCell ref="B31:E31"/>
    <mergeCell ref="Z14:AA14"/>
    <mergeCell ref="AB14:AC14"/>
    <mergeCell ref="AD14:AE14"/>
    <mergeCell ref="AF14:AG14"/>
    <mergeCell ref="B17:E17"/>
    <mergeCell ref="B18:E18"/>
    <mergeCell ref="N14:O14"/>
    <mergeCell ref="P14:Q14"/>
    <mergeCell ref="R14:S14"/>
    <mergeCell ref="T14:U14"/>
    <mergeCell ref="V14:W14"/>
    <mergeCell ref="X14:Y14"/>
    <mergeCell ref="B14:E15"/>
    <mergeCell ref="F14:F15"/>
    <mergeCell ref="G14:G15"/>
    <mergeCell ref="H14:I14"/>
    <mergeCell ref="J14:K14"/>
    <mergeCell ref="L14:M14"/>
    <mergeCell ref="B16:H16"/>
    <mergeCell ref="B11:C11"/>
    <mergeCell ref="D11:F11"/>
    <mergeCell ref="H11:I11"/>
    <mergeCell ref="L11:M11"/>
    <mergeCell ref="N11:O11"/>
    <mergeCell ref="B13:AG13"/>
    <mergeCell ref="B7:C7"/>
    <mergeCell ref="D7:F7"/>
    <mergeCell ref="I7:J7"/>
    <mergeCell ref="L7:M7"/>
    <mergeCell ref="N7:O7"/>
    <mergeCell ref="B9:C9"/>
    <mergeCell ref="D9:F9"/>
    <mergeCell ref="H9:I9"/>
    <mergeCell ref="L9:M9"/>
    <mergeCell ref="N9:O9"/>
    <mergeCell ref="B3:C3"/>
    <mergeCell ref="D3:F3"/>
    <mergeCell ref="I3:J3"/>
    <mergeCell ref="L3:M3"/>
    <mergeCell ref="N3:Q3"/>
    <mergeCell ref="B5:C5"/>
    <mergeCell ref="D5:F5"/>
    <mergeCell ref="I5:J5"/>
    <mergeCell ref="L5:M5"/>
    <mergeCell ref="N5:O5"/>
  </mergeCells>
  <conditionalFormatting sqref="J9">
    <cfRule type="colorScale" priority="1">
      <colorScale>
        <cfvo type="num" val="0"/>
        <cfvo type="num" val="0"/>
        <color theme="0"/>
        <color theme="0"/>
      </colorScale>
    </cfRule>
  </conditionalFormatting>
  <dataValidations disablePrompts="1" count="9">
    <dataValidation type="whole" allowBlank="1" showInputMessage="1" showErrorMessage="1" sqref="AE65:AE79 U65:U79 AC65:AC79 K65:K79 M65:M79 O65:O79 Q65:Q79 S65:S79 W65:W79 Y65:Y79 AA65:AA79 AG65:AG79" xr:uid="{00000000-0002-0000-0800-000000000000}">
      <formula1>0</formula1>
      <formula2>1E+36</formula2>
    </dataValidation>
    <dataValidation type="whole" allowBlank="1" showInputMessage="1" showErrorMessage="1" sqref="AG86:AG96 AE86:AE96 AC86:AC96 AA86:AA96 Y86:Y96 W86:W96 U86:U96 S86:S96 Q86:Q96 O86:O96 M86:M96 K86:K96" xr:uid="{00000000-0002-0000-0800-000001000000}">
      <formula1>0</formula1>
      <formula2>1000000000000000</formula2>
    </dataValidation>
    <dataValidation type="decimal" operator="greaterThanOrEqual" allowBlank="1" showInputMessage="1" showErrorMessage="1" errorTitle="Dato Incorrecto" error="Este campo solo permite datos numéricos no negativos.  Verifique que el número a ingresar no posea caracteres alfabéticos y/o distintos." sqref="G66:G72" xr:uid="{00000000-0002-0000-0800-000002000000}">
      <formula1>0</formula1>
    </dataValidation>
    <dataValidation type="whole" allowBlank="1" showInputMessage="1" showErrorMessage="1" sqref="K46:K64 AG86:AG87 AG46:AG64 AE86:AE87 AE46:AE64 AC86:AC87 AC46:AC64 AA86:AA87 AA46:AA64 Y86:Y87 Y46:Y64 W86:W87 W46:W64 U86:U87 U46:U64 S86:S87 S46:S64 Q86:Q87 Q46:Q64 O86:O87 O46:O64 M86:M87 M46:M64 K86:K87" xr:uid="{00000000-0002-0000-0800-000003000000}">
      <formula1>0</formula1>
      <formula2>1E+25</formula2>
    </dataValidation>
    <dataValidation allowBlank="1" showInputMessage="1" showErrorMessage="1" sqref="H1:H12 H159:H65512 H41:H157 H14:H15 H17:H28 H31:H39" xr:uid="{00000000-0002-0000-0800-000004000000}"/>
    <dataValidation type="textLength" showInputMessage="1" showErrorMessage="1" sqref="I95:I97 I89" xr:uid="{00000000-0002-0000-0800-000005000000}">
      <formula1>0</formula1>
      <formula2>0</formula2>
    </dataValidation>
    <dataValidation type="textLength" allowBlank="1" showInputMessage="1" showErrorMessage="1" sqref="I160:I165 I45 I50:I65 I75:I79 K102:K132" xr:uid="{00000000-0002-0000-0800-000006000000}">
      <formula1>0</formula1>
      <formula2>0</formula2>
    </dataValidation>
    <dataValidation type="list" showInputMessage="1" showErrorMessage="1" sqref="F23:F28" xr:uid="{00000000-0002-0000-0800-000007000000}"/>
    <dataValidation showInputMessage="1" showErrorMessage="1" sqref="F17:F22" xr:uid="{00000000-0002-0000-0800-000008000000}"/>
  </dataValidations>
  <pageMargins left="0.7" right="0.7" top="0.75" bottom="0.75" header="0.3" footer="0.3"/>
  <pageSetup orientation="portrait" horizontalDpi="360" verticalDpi="36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LongProperties xmlns="http://schemas.microsoft.com/office/2006/metadata/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120FC3DE3A73548BB15A1BCB4C30859" ma:contentTypeVersion="44" ma:contentTypeDescription="Create a new document." ma:contentTypeScope="" ma:versionID="790bced4c7223420e7ad00981af26817">
  <xsd:schema xmlns:xsd="http://www.w3.org/2001/XMLSchema" xmlns:xs="http://www.w3.org/2001/XMLSchema" xmlns:p="http://schemas.microsoft.com/office/2006/metadata/properties" xmlns:ns2="dbd46102-1866-465f-93c5-bda595db7ad7" xmlns:ns3="aa196b97-7314-4858-bb86-c16d1863620a" targetNamespace="http://schemas.microsoft.com/office/2006/metadata/properties" ma:root="true" ma:fieldsID="6bdb65fc0b2a1ceacc1f219d67963275" ns2:_="" ns3:_="">
    <xsd:import namespace="dbd46102-1866-465f-93c5-bda595db7ad7"/>
    <xsd:import namespace="aa196b97-7314-4858-bb86-c16d1863620a"/>
    <xsd:element name="properties">
      <xsd:complexType>
        <xsd:sequence>
          <xsd:element name="documentManagement">
            <xsd:complexType>
              <xsd:all>
                <xsd:element ref="ns2:Shortcut" minOccurs="0"/>
                <xsd:element ref="ns2:Modificado" minOccurs="0"/>
                <xsd:element ref="ns2:Voucher" minOccurs="0"/>
                <xsd:element ref="ns2:Detalle" minOccurs="0"/>
                <xsd:element ref="ns2:MediaServiceMetadata" minOccurs="0"/>
                <xsd:element ref="ns2:MediaServiceFastMetadata" minOccurs="0"/>
                <xsd:element ref="ns2:MediaServiceAutoTags" minOccurs="0"/>
                <xsd:element ref="ns2:MediaServiceOCR" minOccurs="0"/>
                <xsd:element ref="ns2:MediaServiceDateTaken" minOccurs="0"/>
                <xsd:element ref="ns2:MediaServiceLocation"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b6ow" minOccurs="0"/>
                <xsd:element ref="ns2:bn2f" minOccurs="0"/>
                <xsd:element ref="ns2:_x0077_hx5" minOccurs="0"/>
                <xsd:element ref="ns2:l9ux" minOccurs="0"/>
                <xsd:element ref="ns2:t3i5" minOccurs="0"/>
                <xsd:element ref="ns2:_x0074_y13" minOccurs="0"/>
                <xsd:element ref="ns2:tvpl" minOccurs="0"/>
                <xsd:element ref="ns2:MediaLengthInSeconds" minOccurs="0"/>
                <xsd:element ref="ns3:TaxCatchAll" minOccurs="0"/>
                <xsd:element ref="ns2:lcf76f155ced4ddcb4097134ff3c332f" minOccurs="0"/>
                <xsd:element ref="ns2:d3d54e1815df495f8d6753ce1a08cb2b" minOccurs="0"/>
                <xsd:element ref="ns2:Empresa" minOccurs="0"/>
                <xsd:element ref="ns2:Completado" minOccurs="0"/>
                <xsd:element ref="ns2:Revisado" minOccurs="0"/>
                <xsd:element ref="ns2:Estado" minOccurs="0"/>
                <xsd:element ref="ns2:Fecha_x0020_y_x0020_Hora" minOccurs="0"/>
                <xsd:element ref="ns2:Revisado0" minOccurs="0"/>
                <xsd:element ref="ns2:_Flow_SignoffStatu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bd46102-1866-465f-93c5-bda595db7ad7" elementFormDefault="qualified">
    <xsd:import namespace="http://schemas.microsoft.com/office/2006/documentManagement/types"/>
    <xsd:import namespace="http://schemas.microsoft.com/office/infopath/2007/PartnerControls"/>
    <xsd:element name="Shortcut" ma:index="2" nillable="true" ma:displayName="departamento" ma:description="https://unfao.sharepoint.com/sites/faoCO/Shared%20Documents/Forms/AllItems.aspx?viewid=91b1e9b2%2D37b3%2D4b2d%2Da42f%2D28aff1e7820e&amp;id=%2Fsites%2FfaoCO%2FShared%20Documents%2FProyectos%2FGEF%20Pac%C3%ADfico%20%28GCP%2DCOL%2D061%2DGFF%29" ma:format="Hyperlink" ma:internalName="Shortcut"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Modificado" ma:index="3" nillable="true" ma:displayName="Modificado" ma:default="[today]" ma:format="DateTime" ma:indexed="true" ma:internalName="Modificado">
      <xsd:simpleType>
        <xsd:restriction base="dms:DateTime"/>
      </xsd:simpleType>
    </xsd:element>
    <xsd:element name="Voucher" ma:index="5" nillable="true" ma:displayName="Voucher" ma:format="Dropdown" ma:list="UserInfo" ma:SharePointGroup="0" ma:internalName="Vouche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Detalle" ma:index="6" nillable="true" ma:displayName="Detalle" ma:format="Dropdown" ma:internalName="Detalle" ma:readOnly="false">
      <xsd:simpleType>
        <xsd:restriction base="dms:Note">
          <xsd:maxLength value="255"/>
        </xsd:restriction>
      </xsd:simpleType>
    </xsd:element>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hidden="true" ma:internalName="MediaServiceAutoTags" ma:readOnly="true">
      <xsd:simpleType>
        <xsd:restriction base="dms:Text"/>
      </xsd:simpleType>
    </xsd:element>
    <xsd:element name="MediaServiceOCR" ma:index="11" nillable="true" ma:displayName="Extracted Text" ma:hidden="true" ma:internalName="MediaServiceOCR"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hidden="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hidden="true" ma:internalName="MediaServiceKeyPoints" ma:readOnly="true">
      <xsd:simpleType>
        <xsd:restriction base="dms:Note"/>
      </xsd:simpleType>
    </xsd:element>
    <xsd:element name="b6ow" ma:index="20" nillable="true" ma:displayName="Acceso directo" ma:hidden="true" ma:internalName="b6ow" ma:readOnly="false">
      <xsd:simpleType>
        <xsd:restriction base="dms:Text"/>
      </xsd:simpleType>
    </xsd:element>
    <xsd:element name="bn2f" ma:index="22" nillable="true" ma:displayName="Personas apoyadas directamente" ma:hidden="true" ma:internalName="bn2f" ma:readOnly="false">
      <xsd:simpleType>
        <xsd:restriction base="dms:Text"/>
      </xsd:simpleType>
    </xsd:element>
    <xsd:element name="_x0077_hx5" ma:index="23" nillable="true" ma:displayName="Familias beneficiadas directamente" ma:hidden="true" ma:internalName="_x0077_hx5" ma:readOnly="false">
      <xsd:simpleType>
        <xsd:restriction base="dms:Text"/>
      </xsd:simpleType>
    </xsd:element>
    <xsd:element name="l9ux" ma:index="24" nillable="true" ma:displayName="Organizaciones apoyadas" ma:hidden="true" ma:internalName="l9ux" ma:readOnly="false">
      <xsd:simpleType>
        <xsd:restriction base="dms:Text"/>
      </xsd:simpleType>
    </xsd:element>
    <xsd:element name="t3i5" ma:index="25" nillable="true" ma:displayName="Instituciones apoyadas" ma:hidden="true" ma:internalName="t3i5" ma:readOnly="false">
      <xsd:simpleType>
        <xsd:restriction base="dms:Text"/>
      </xsd:simpleType>
    </xsd:element>
    <xsd:element name="_x0074_y13" ma:index="26" nillable="true" ma:displayName="Emprendimientos productivos desarrollados" ma:hidden="true" ma:internalName="_x0074_y13" ma:readOnly="false">
      <xsd:simpleType>
        <xsd:restriction base="dms:Text"/>
      </xsd:simpleType>
    </xsd:element>
    <xsd:element name="tvpl" ma:index="27" nillable="true" ma:displayName="Reporte de logro" ma:hidden="true" ma:internalName="tvpl" ma:readOnly="false">
      <xsd:simpleType>
        <xsd:restriction base="dms:Text"/>
      </xsd:simpleType>
    </xsd:element>
    <xsd:element name="MediaLengthInSeconds" ma:index="28" nillable="true" ma:displayName="Length (seconds)" ma:hidden="true" ma:internalName="MediaLengthInSeconds" ma:readOnly="true">
      <xsd:simpleType>
        <xsd:restriction base="dms:Unknown"/>
      </xsd:simpleType>
    </xsd:element>
    <xsd:element name="lcf76f155ced4ddcb4097134ff3c332f" ma:index="32" nillable="true" ma:taxonomy="true" ma:internalName="lcf76f155ced4ddcb4097134ff3c332f" ma:taxonomyFieldName="MediaServiceImageTags" ma:displayName="Image Tags" ma:readOnly="false" ma:fieldId="{5cf76f15-5ced-4ddc-b409-7134ff3c332f}" ma:taxonomyMulti="true" ma:sspId="f40eee1e-ad38-437e-be40-fc9f033adc9a" ma:termSetId="09814cd3-568e-fe90-9814-8d621ff8fb84" ma:anchorId="fba54fb3-c3e1-fe81-a776-ca4b69148c4d" ma:open="true" ma:isKeyword="false">
      <xsd:complexType>
        <xsd:sequence>
          <xsd:element ref="pc:Terms" minOccurs="0" maxOccurs="1"/>
        </xsd:sequence>
      </xsd:complexType>
    </xsd:element>
    <xsd:element name="d3d54e1815df495f8d6753ce1a08cb2b" ma:index="36" nillable="true" ma:taxonomy="true" ma:internalName="d3d54e1815df495f8d6753ce1a08cb2b" ma:taxonomyFieldName="Nit" ma:displayName="Nit" ma:readOnly="false" ma:default="" ma:fieldId="{d3d54e18-15df-495f-8d67-53ce1a08cb2b}" ma:sspId="f40eee1e-ad38-437e-be40-fc9f033adc9a" ma:termSetId="386095d1-c68d-4c6d-b587-48ddaf1aecc9" ma:anchorId="00000000-0000-0000-0000-000000000000" ma:open="true" ma:isKeyword="false">
      <xsd:complexType>
        <xsd:sequence>
          <xsd:element ref="pc:Terms" minOccurs="0" maxOccurs="1"/>
        </xsd:sequence>
      </xsd:complexType>
    </xsd:element>
    <xsd:element name="Empresa" ma:index="37" nillable="true" ma:displayName="Empresa" ma:default="1" ma:format="Dropdown" ma:internalName="Empresa">
      <xsd:simpleType>
        <xsd:restriction base="dms:Boolean"/>
      </xsd:simpleType>
    </xsd:element>
    <xsd:element name="Completado" ma:index="38" nillable="true" ma:displayName="Completado" ma:format="Dropdown" ma:internalName="Completado">
      <xsd:simpleType>
        <xsd:restriction base="dms:Text">
          <xsd:maxLength value="255"/>
        </xsd:restriction>
      </xsd:simpleType>
    </xsd:element>
    <xsd:element name="Revisado" ma:index="39" nillable="true" ma:displayName="Proveedor" ma:format="Dropdown" ma:internalName="Revisado">
      <xsd:simpleType>
        <xsd:restriction base="dms:Text">
          <xsd:maxLength value="255"/>
        </xsd:restriction>
      </xsd:simpleType>
    </xsd:element>
    <xsd:element name="Estado" ma:index="40" nillable="true" ma:displayName="Estado" ma:format="Dropdown" ma:internalName="Estado">
      <xsd:simpleType>
        <xsd:restriction base="dms:Choice">
          <xsd:enumeration value="Pendiente"/>
          <xsd:enumeration value="Revisado"/>
          <xsd:enumeration value="Completado"/>
        </xsd:restriction>
      </xsd:simpleType>
    </xsd:element>
    <xsd:element name="Fecha_x0020_y_x0020_Hora" ma:index="41" nillable="true" ma:displayName="Fecha y Hora" ma:format="DateTime" ma:internalName="Fecha_x0020_y_x0020_Hora">
      <xsd:simpleType>
        <xsd:restriction base="dms:DateTime"/>
      </xsd:simpleType>
    </xsd:element>
    <xsd:element name="Revisado0" ma:index="42" nillable="true" ma:displayName="Revisado" ma:format="Dropdown" ma:internalName="Revisado0">
      <xsd:simpleType>
        <xsd:restriction base="dms:Choice">
          <xsd:enumeration value="ok"/>
          <xsd:enumeration value="pend"/>
          <xsd:enumeration value="asignado a Camilo"/>
          <xsd:enumeration value="asignado a Ingrith"/>
        </xsd:restriction>
      </xsd:simpleType>
    </xsd:element>
    <xsd:element name="_Flow_SignoffStatus" ma:index="43" nillable="true" ma:displayName="Sign-off status" ma:internalName="Sign_x002d_off_x0020_status">
      <xsd:simpleType>
        <xsd:restriction base="dms:Text"/>
      </xsd:simpleType>
    </xsd:element>
    <xsd:element name="MediaServiceObjectDetectorVersions" ma:index="4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a196b97-7314-4858-bb86-c16d1863620a" elementFormDefault="qualified">
    <xsd:import namespace="http://schemas.microsoft.com/office/2006/documentManagement/types"/>
    <xsd:import namespace="http://schemas.microsoft.com/office/infopath/2007/PartnerControls"/>
    <xsd:element name="SharedWithUsers" ma:index="16"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hidden="true" ma:internalName="SharedWithDetails" ma:readOnly="true">
      <xsd:simpleType>
        <xsd:restriction base="dms:Note"/>
      </xsd:simpleType>
    </xsd:element>
    <xsd:element name="TaxCatchAll" ma:index="30" nillable="true" ma:displayName="Taxonomy Catch All Column" ma:hidden="true" ma:list="{6b624523-460c-4f5d-b0ca-f027414439a4}" ma:internalName="TaxCatchAll" ma:readOnly="false" ma:showField="CatchAllData" ma:web="aa196b97-7314-4858-bb86-c16d1863620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AB2BC4E-EE87-4B50-8AC1-AD6ED1DA088E}">
  <ds:schemaRefs>
    <ds:schemaRef ds:uri="http://schemas.microsoft.com/office/2006/metadata/longProperties"/>
  </ds:schemaRefs>
</ds:datastoreItem>
</file>

<file path=customXml/itemProps2.xml><?xml version="1.0" encoding="utf-8"?>
<ds:datastoreItem xmlns:ds="http://schemas.openxmlformats.org/officeDocument/2006/customXml" ds:itemID="{6545C1FC-5161-4E81-AE2C-8F977CAA7A79}">
  <ds:schemaRefs>
    <ds:schemaRef ds:uri="http://schemas.microsoft.com/sharepoint/v3/contenttype/forms"/>
  </ds:schemaRefs>
</ds:datastoreItem>
</file>

<file path=customXml/itemProps3.xml><?xml version="1.0" encoding="utf-8"?>
<ds:datastoreItem xmlns:ds="http://schemas.openxmlformats.org/officeDocument/2006/customXml" ds:itemID="{3223D3A6-E2D3-4028-AC37-5BFE306461C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bd46102-1866-465f-93c5-bda595db7ad7"/>
    <ds:schemaRef ds:uri="aa196b97-7314-4858-bb86-c16d1863620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1</vt:i4>
      </vt:variant>
    </vt:vector>
  </HeadingPairs>
  <TitlesOfParts>
    <vt:vector size="10" baseType="lpstr">
      <vt:lpstr>Presupuesto Inversión Directa</vt:lpstr>
      <vt:lpstr>Análisis cotizaciones VF</vt:lpstr>
      <vt:lpstr>Flujo caja 2025</vt:lpstr>
      <vt:lpstr>Flujo Caja Contrapartida </vt:lpstr>
      <vt:lpstr>Costos de implementación</vt:lpstr>
      <vt:lpstr>Desembolsos FCP</vt:lpstr>
      <vt:lpstr>Cálculo póliza</vt:lpstr>
      <vt:lpstr>Presupuesto de obra</vt:lpstr>
      <vt:lpstr>MTF_APICULTURA (10+45)</vt:lpstr>
      <vt:lpstr>'Presupuesto de obra'!Área_de_impresión</vt:lpstr>
    </vt:vector>
  </TitlesOfParts>
  <Manager/>
  <Company>HP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NUEVOPC</dc:creator>
  <cp:keywords/>
  <dc:description/>
  <cp:lastModifiedBy>DLLO-COMUNITARIO</cp:lastModifiedBy>
  <cp:revision/>
  <cp:lastPrinted>2024-06-17T15:49:18Z</cp:lastPrinted>
  <dcterms:created xsi:type="dcterms:W3CDTF">2023-11-17T00:38:11Z</dcterms:created>
  <dcterms:modified xsi:type="dcterms:W3CDTF">2026-01-27T19:38:44Z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0x0101003120FC3DE3A73548BB15A1BCB4C30859</vt:lpwstr>
  </property>
  <property fmtid="{D5CDD505-2E9C-101B-9397-08002B2CF9AE}" pid="3" name="Shortcut">
    <vt:lpwstr>, </vt:lpwstr>
  </property>
  <property fmtid="{D5CDD505-2E9C-101B-9397-08002B2CF9AE}" pid="4" name="b6ow">
    <vt:lpwstr/>
  </property>
  <property fmtid="{D5CDD505-2E9C-101B-9397-08002B2CF9AE}" pid="5" name="Empresa">
    <vt:lpwstr>1</vt:lpwstr>
  </property>
  <property fmtid="{D5CDD505-2E9C-101B-9397-08002B2CF9AE}" pid="6" name="Voucher">
    <vt:lpwstr/>
  </property>
  <property fmtid="{D5CDD505-2E9C-101B-9397-08002B2CF9AE}" pid="7" name="ty13">
    <vt:lpwstr/>
  </property>
  <property fmtid="{D5CDD505-2E9C-101B-9397-08002B2CF9AE}" pid="8" name="Completado">
    <vt:lpwstr/>
  </property>
  <property fmtid="{D5CDD505-2E9C-101B-9397-08002B2CF9AE}" pid="9" name="Sign-off status">
    <vt:lpwstr/>
  </property>
  <property fmtid="{D5CDD505-2E9C-101B-9397-08002B2CF9AE}" pid="10" name="Revisado">
    <vt:lpwstr/>
  </property>
  <property fmtid="{D5CDD505-2E9C-101B-9397-08002B2CF9AE}" pid="11" name="Detalle">
    <vt:lpwstr/>
  </property>
  <property fmtid="{D5CDD505-2E9C-101B-9397-08002B2CF9AE}" pid="12" name="l9ux">
    <vt:lpwstr/>
  </property>
  <property fmtid="{D5CDD505-2E9C-101B-9397-08002B2CF9AE}" pid="13" name="t3i5">
    <vt:lpwstr/>
  </property>
  <property fmtid="{D5CDD505-2E9C-101B-9397-08002B2CF9AE}" pid="14" name="whx5">
    <vt:lpwstr/>
  </property>
  <property fmtid="{D5CDD505-2E9C-101B-9397-08002B2CF9AE}" pid="15" name="lcf76f155ced4ddcb4097134ff3c332f">
    <vt:lpwstr/>
  </property>
  <property fmtid="{D5CDD505-2E9C-101B-9397-08002B2CF9AE}" pid="16" name="bn2f">
    <vt:lpwstr/>
  </property>
  <property fmtid="{D5CDD505-2E9C-101B-9397-08002B2CF9AE}" pid="17" name="tvpl">
    <vt:lpwstr/>
  </property>
  <property fmtid="{D5CDD505-2E9C-101B-9397-08002B2CF9AE}" pid="18" name="d3d54e1815df495f8d6753ce1a08cb2b">
    <vt:lpwstr/>
  </property>
  <property fmtid="{D5CDD505-2E9C-101B-9397-08002B2CF9AE}" pid="19" name="Estado">
    <vt:lpwstr/>
  </property>
  <property fmtid="{D5CDD505-2E9C-101B-9397-08002B2CF9AE}" pid="20" name="TaxCatchAll">
    <vt:lpwstr/>
  </property>
  <property fmtid="{D5CDD505-2E9C-101B-9397-08002B2CF9AE}" pid="21" name="Fecha y Hora">
    <vt:lpwstr/>
  </property>
  <property fmtid="{D5CDD505-2E9C-101B-9397-08002B2CF9AE}" pid="22" name="Revisado0">
    <vt:lpwstr/>
  </property>
  <property fmtid="{D5CDD505-2E9C-101B-9397-08002B2CF9AE}" pid="23" name="Modificado">
    <vt:lpwstr/>
  </property>
  <property fmtid="{D5CDD505-2E9C-101B-9397-08002B2CF9AE}" pid="24" name="Nit">
    <vt:lpwstr/>
  </property>
</Properties>
</file>