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yolei\Desktop\CONTRATACION\CONTRATACION 2026\CENAC\QUIMICOS\"/>
    </mc:Choice>
  </mc:AlternateContent>
  <xr:revisionPtr revIDLastSave="0" documentId="13_ncr:1_{3831C257-FC3D-4F99-890E-92BEC79EF390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ANALISIS DE LAS COTIZACIONES" sheetId="2" r:id="rId1"/>
    <sheet name="PROYECCION CANTIDADES MINIMAS" sheetId="3" r:id="rId2"/>
    <sheet name="PRECIO DE REFERENCIA" sheetId="4" r:id="rId3"/>
    <sheet name="PRESUPUESTO" sheetId="5" r:id="rId4"/>
  </sheets>
  <definedNames>
    <definedName name="_xlnm._FilterDatabase" localSheetId="0" hidden="1">'ANALISIS DE LAS COTIZACIONES'!$B$7:$T$31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B5" i="3" l="1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A5" i="3"/>
  <c r="Z5" i="3" s="1"/>
  <c r="AA6" i="3"/>
  <c r="Z6" i="3" s="1"/>
  <c r="AA7" i="3"/>
  <c r="AA8" i="3"/>
  <c r="AA9" i="3"/>
  <c r="AA10" i="3"/>
  <c r="AA11" i="3"/>
  <c r="AA12" i="3"/>
  <c r="AA13" i="3"/>
  <c r="AA14" i="3"/>
  <c r="AA15" i="3"/>
  <c r="AA16" i="3"/>
  <c r="AA17" i="3"/>
  <c r="AA18" i="3"/>
  <c r="Z18" i="3" s="1"/>
  <c r="AA19" i="3"/>
  <c r="AA20" i="3"/>
  <c r="Z7" i="3"/>
  <c r="Z8" i="3"/>
  <c r="Z9" i="3"/>
  <c r="Z10" i="3"/>
  <c r="Z11" i="3"/>
  <c r="Z12" i="3"/>
  <c r="Z13" i="3"/>
  <c r="Z14" i="3"/>
  <c r="Z15" i="3"/>
  <c r="Z16" i="3"/>
  <c r="Z17" i="3"/>
  <c r="Z19" i="3"/>
  <c r="Z20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AA4" i="3"/>
  <c r="Z4" i="3"/>
  <c r="Y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4" i="3"/>
  <c r="I22" i="4"/>
  <c r="I27" i="4" l="1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4" i="3"/>
  <c r="X27" i="3"/>
  <c r="M5" i="3"/>
  <c r="N5" i="3" s="1"/>
  <c r="M6" i="3"/>
  <c r="M7" i="3"/>
  <c r="M8" i="3"/>
  <c r="M10" i="3"/>
  <c r="M11" i="3"/>
  <c r="M12" i="3"/>
  <c r="N12" i="3" s="1"/>
  <c r="M13" i="3"/>
  <c r="N13" i="3" s="1"/>
  <c r="M14" i="3"/>
  <c r="N14" i="3" s="1"/>
  <c r="M15" i="3"/>
  <c r="M16" i="3"/>
  <c r="M17" i="3"/>
  <c r="M18" i="3"/>
  <c r="M20" i="3"/>
  <c r="N20" i="3" s="1"/>
  <c r="N21" i="3"/>
  <c r="M22" i="3"/>
  <c r="N22" i="3" s="1"/>
  <c r="N23" i="3"/>
  <c r="M25" i="3"/>
  <c r="N8" i="3"/>
  <c r="N9" i="3"/>
  <c r="N10" i="3"/>
  <c r="N11" i="3"/>
  <c r="N16" i="3"/>
  <c r="N17" i="3"/>
  <c r="N18" i="3"/>
  <c r="N19" i="3"/>
  <c r="N24" i="3"/>
  <c r="N25" i="3"/>
  <c r="U16" i="3"/>
  <c r="U15" i="3"/>
  <c r="U5" i="3"/>
  <c r="U6" i="3"/>
  <c r="U9" i="3"/>
  <c r="U10" i="3"/>
  <c r="U11" i="3"/>
  <c r="U12" i="3"/>
  <c r="U17" i="3"/>
  <c r="U18" i="3"/>
  <c r="U19" i="3"/>
  <c r="U20" i="3"/>
  <c r="U21" i="3"/>
  <c r="U22" i="3"/>
  <c r="U24" i="3"/>
  <c r="U25" i="3"/>
  <c r="S5" i="3"/>
  <c r="S6" i="3"/>
  <c r="S7" i="3"/>
  <c r="S8" i="3"/>
  <c r="S9" i="3"/>
  <c r="S10" i="3"/>
  <c r="S11" i="3"/>
  <c r="S12" i="3"/>
  <c r="S13" i="3"/>
  <c r="S14" i="3"/>
  <c r="S15" i="3"/>
  <c r="S16" i="3"/>
  <c r="S17" i="3"/>
  <c r="S18" i="3"/>
  <c r="S19" i="3"/>
  <c r="S20" i="3"/>
  <c r="S21" i="3"/>
  <c r="S22" i="3"/>
  <c r="S23" i="3"/>
  <c r="S24" i="3"/>
  <c r="S25" i="3"/>
  <c r="R5" i="3"/>
  <c r="R6" i="3"/>
  <c r="R7" i="3"/>
  <c r="R10" i="3"/>
  <c r="R11" i="3"/>
  <c r="R13" i="3"/>
  <c r="R15" i="3"/>
  <c r="R18" i="3"/>
  <c r="R20" i="3"/>
  <c r="R21" i="3"/>
  <c r="R25" i="3"/>
  <c r="Q5" i="3"/>
  <c r="Q6" i="3"/>
  <c r="Q7" i="3"/>
  <c r="Q8" i="3"/>
  <c r="R8" i="3" s="1"/>
  <c r="Q9" i="3"/>
  <c r="R9" i="3" s="1"/>
  <c r="Q12" i="3"/>
  <c r="R12" i="3" s="1"/>
  <c r="Q14" i="3"/>
  <c r="R14" i="3" s="1"/>
  <c r="Q16" i="3"/>
  <c r="R16" i="3" s="1"/>
  <c r="Q17" i="3"/>
  <c r="R17" i="3" s="1"/>
  <c r="Q18" i="3"/>
  <c r="Q19" i="3"/>
  <c r="R19" i="3" s="1"/>
  <c r="Q22" i="3"/>
  <c r="R22" i="3" s="1"/>
  <c r="Q23" i="3"/>
  <c r="R23" i="3" s="1"/>
  <c r="Q24" i="3"/>
  <c r="R24" i="3" s="1"/>
  <c r="P5" i="3"/>
  <c r="P4" i="3"/>
  <c r="O18" i="3"/>
  <c r="O19" i="3"/>
  <c r="O20" i="3"/>
  <c r="O21" i="3"/>
  <c r="O22" i="3"/>
  <c r="O23" i="3"/>
  <c r="O24" i="3"/>
  <c r="O25" i="3"/>
  <c r="O6" i="3"/>
  <c r="O8" i="3"/>
  <c r="O9" i="3"/>
  <c r="O10" i="3"/>
  <c r="O14" i="3"/>
  <c r="O15" i="3"/>
  <c r="O16" i="3"/>
  <c r="O17" i="3"/>
  <c r="M4" i="3"/>
  <c r="K25" i="3"/>
  <c r="K24" i="3"/>
  <c r="K23" i="3"/>
  <c r="K22" i="3"/>
  <c r="K21" i="3"/>
  <c r="K20" i="3"/>
  <c r="K19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4" i="3"/>
  <c r="X10" i="2"/>
  <c r="X11" i="2"/>
  <c r="X12" i="2"/>
  <c r="X13" i="2"/>
  <c r="X14" i="2"/>
  <c r="X15" i="2"/>
  <c r="X16" i="2"/>
  <c r="X17" i="2"/>
  <c r="X18" i="2"/>
  <c r="X19" i="2"/>
  <c r="X20" i="2"/>
  <c r="X21" i="2"/>
  <c r="X22" i="2"/>
  <c r="X24" i="2"/>
  <c r="X25" i="2"/>
  <c r="X26" i="2"/>
  <c r="X27" i="2"/>
  <c r="X28" i="2"/>
  <c r="X29" i="2"/>
  <c r="X30" i="2"/>
  <c r="X9" i="2"/>
  <c r="J9" i="2"/>
  <c r="J22" i="2"/>
  <c r="G9" i="2"/>
  <c r="Y23" i="2"/>
  <c r="N15" i="3" l="1"/>
  <c r="N7" i="3"/>
  <c r="N6" i="3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20" i="4"/>
  <c r="I21" i="4"/>
  <c r="I23" i="4"/>
  <c r="I24" i="4"/>
  <c r="I25" i="4"/>
  <c r="I26" i="4"/>
  <c r="I5" i="4"/>
  <c r="P6" i="3" l="1"/>
  <c r="P7" i="3"/>
  <c r="P8" i="3"/>
  <c r="P9" i="3"/>
  <c r="P11" i="3"/>
  <c r="P12" i="3"/>
  <c r="P13" i="3"/>
  <c r="P14" i="3"/>
  <c r="P15" i="3"/>
  <c r="P16" i="3"/>
  <c r="P17" i="3"/>
  <c r="P19" i="3"/>
  <c r="P20" i="3"/>
  <c r="P23" i="3"/>
  <c r="P25" i="3"/>
  <c r="P24" i="3" l="1"/>
  <c r="P22" i="3"/>
  <c r="P10" i="3"/>
  <c r="Y2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2" i="3"/>
  <c r="V23" i="3"/>
  <c r="V24" i="3"/>
  <c r="V25" i="3"/>
  <c r="V4" i="3"/>
  <c r="F26" i="3"/>
  <c r="G26" i="3"/>
  <c r="H26" i="3"/>
  <c r="I26" i="3"/>
  <c r="J26" i="3"/>
  <c r="Y22" i="3" l="1"/>
  <c r="V26" i="3"/>
  <c r="V28" i="3" s="1"/>
  <c r="T5" i="3"/>
  <c r="T6" i="3"/>
  <c r="T7" i="3"/>
  <c r="T8" i="3"/>
  <c r="T9" i="3"/>
  <c r="T10" i="3"/>
  <c r="T11" i="3"/>
  <c r="T12" i="3"/>
  <c r="T13" i="3"/>
  <c r="T14" i="3"/>
  <c r="T15" i="3"/>
  <c r="T16" i="3"/>
  <c r="T17" i="3"/>
  <c r="T19" i="3"/>
  <c r="T20" i="3"/>
  <c r="T22" i="3"/>
  <c r="T23" i="3"/>
  <c r="T24" i="3"/>
  <c r="T25" i="3"/>
  <c r="T4" i="3"/>
  <c r="T26" i="3" s="1"/>
  <c r="R4" i="3"/>
  <c r="G27" i="2"/>
  <c r="H27" i="2" s="1"/>
  <c r="N4" i="3" l="1"/>
  <c r="Y25" i="3"/>
  <c r="T28" i="3"/>
  <c r="P26" i="3"/>
  <c r="P28" i="3" s="1"/>
  <c r="R26" i="3"/>
  <c r="R28" i="3" s="1"/>
  <c r="N26" i="3" l="1"/>
  <c r="N28" i="3" s="1"/>
  <c r="X28" i="3" s="1"/>
  <c r="X26" i="3"/>
  <c r="Y23" i="3"/>
  <c r="G25" i="2" l="1"/>
  <c r="G26" i="2"/>
  <c r="H26" i="2" s="1"/>
  <c r="G28" i="2"/>
  <c r="G29" i="2"/>
  <c r="G30" i="2"/>
  <c r="G24" i="2"/>
  <c r="G11" i="2"/>
  <c r="G12" i="2"/>
  <c r="G13" i="2"/>
  <c r="G14" i="2"/>
  <c r="G15" i="2"/>
  <c r="G16" i="2"/>
  <c r="G17" i="2"/>
  <c r="G18" i="2"/>
  <c r="G19" i="2"/>
  <c r="G20" i="2"/>
  <c r="G21" i="2"/>
  <c r="H9" i="2"/>
  <c r="O9" i="2" s="1"/>
  <c r="V9" i="2" s="1"/>
  <c r="AA22" i="3"/>
  <c r="Z22" i="3" s="1"/>
  <c r="AB22" i="3" s="1"/>
  <c r="AA23" i="3"/>
  <c r="Z23" i="3" s="1"/>
  <c r="AB23" i="3" s="1"/>
  <c r="AA24" i="3"/>
  <c r="Z24" i="3" s="1"/>
  <c r="AB24" i="3" s="1"/>
  <c r="AA25" i="3"/>
  <c r="Z25" i="3" s="1"/>
  <c r="AB25" i="3" s="1"/>
  <c r="K26" i="3" l="1"/>
  <c r="S22" i="2"/>
  <c r="S27" i="2"/>
  <c r="R22" i="2"/>
  <c r="U22" i="2" s="1"/>
  <c r="R27" i="2"/>
  <c r="Q22" i="2"/>
  <c r="Q27" i="2"/>
  <c r="P22" i="2"/>
  <c r="V22" i="2" s="1"/>
  <c r="P27" i="2"/>
  <c r="U27" i="2" s="1"/>
  <c r="O27" i="2"/>
  <c r="V27" i="2" s="1"/>
  <c r="O22" i="2"/>
  <c r="N22" i="2"/>
  <c r="N9" i="2"/>
  <c r="L22" i="2"/>
  <c r="L9" i="2"/>
  <c r="Y22" i="2" l="1"/>
  <c r="Y27" i="2"/>
  <c r="T22" i="2"/>
  <c r="T27" i="2"/>
  <c r="H12" i="2"/>
  <c r="H17" i="2"/>
  <c r="H20" i="2"/>
  <c r="H21" i="2"/>
  <c r="H24" i="2"/>
  <c r="H25" i="2"/>
  <c r="P17" i="2" l="1"/>
  <c r="S17" i="2"/>
  <c r="R17" i="2"/>
  <c r="U17" i="2" s="1"/>
  <c r="Q17" i="2"/>
  <c r="R25" i="2"/>
  <c r="U25" i="2" s="1"/>
  <c r="S25" i="2"/>
  <c r="P25" i="2"/>
  <c r="O25" i="2"/>
  <c r="V25" i="2" s="1"/>
  <c r="Q25" i="2"/>
  <c r="R24" i="2"/>
  <c r="U24" i="2" s="1"/>
  <c r="S24" i="2"/>
  <c r="O24" i="2"/>
  <c r="V24" i="2" s="1"/>
  <c r="P24" i="2"/>
  <c r="Q24" i="2"/>
  <c r="Q20" i="2"/>
  <c r="O20" i="2"/>
  <c r="V20" i="2" s="1"/>
  <c r="P20" i="2"/>
  <c r="S20" i="2"/>
  <c r="R20" i="2"/>
  <c r="U20" i="2" s="1"/>
  <c r="S21" i="2"/>
  <c r="R21" i="2"/>
  <c r="U21" i="2" s="1"/>
  <c r="O21" i="2"/>
  <c r="Q21" i="2"/>
  <c r="P21" i="2"/>
  <c r="V21" i="2" s="1"/>
  <c r="O17" i="2"/>
  <c r="V17" i="2" s="1"/>
  <c r="Q12" i="2"/>
  <c r="P12" i="2"/>
  <c r="R12" i="2"/>
  <c r="U12" i="2" s="1"/>
  <c r="S12" i="2"/>
  <c r="O12" i="2"/>
  <c r="V12" i="2" s="1"/>
  <c r="H4" i="5"/>
  <c r="Y21" i="2" l="1"/>
  <c r="Y24" i="2"/>
  <c r="Y25" i="2"/>
  <c r="Y20" i="2"/>
  <c r="Y17" i="2"/>
  <c r="Y12" i="2"/>
  <c r="T17" i="2"/>
  <c r="T25" i="2"/>
  <c r="T20" i="2"/>
  <c r="T24" i="2"/>
  <c r="T12" i="2"/>
  <c r="T21" i="2"/>
  <c r="O10" i="2" l="1"/>
  <c r="H11" i="2"/>
  <c r="H13" i="2"/>
  <c r="H14" i="2"/>
  <c r="H15" i="2"/>
  <c r="H16" i="2"/>
  <c r="H18" i="2"/>
  <c r="H19" i="2"/>
  <c r="H28" i="2"/>
  <c r="H29" i="2"/>
  <c r="H30" i="2"/>
  <c r="AB4" i="3" l="1"/>
  <c r="P29" i="2"/>
  <c r="S29" i="2"/>
  <c r="O29" i="2"/>
  <c r="V29" i="2" s="1"/>
  <c r="Q29" i="2"/>
  <c r="R29" i="2"/>
  <c r="U29" i="2" s="1"/>
  <c r="Y29" i="2" s="1"/>
  <c r="Q26" i="2"/>
  <c r="P26" i="2"/>
  <c r="S26" i="2"/>
  <c r="O26" i="2"/>
  <c r="V26" i="2" s="1"/>
  <c r="R26" i="2"/>
  <c r="U26" i="2" s="1"/>
  <c r="Y26" i="2" s="1"/>
  <c r="P30" i="2"/>
  <c r="S30" i="2"/>
  <c r="O30" i="2"/>
  <c r="V30" i="2" s="1"/>
  <c r="R30" i="2"/>
  <c r="U30" i="2" s="1"/>
  <c r="Y30" i="2" s="1"/>
  <c r="Q30" i="2"/>
  <c r="S28" i="2"/>
  <c r="O28" i="2"/>
  <c r="V28" i="2" s="1"/>
  <c r="Q28" i="2"/>
  <c r="R28" i="2"/>
  <c r="U28" i="2" s="1"/>
  <c r="Y28" i="2" s="1"/>
  <c r="P28" i="2"/>
  <c r="Q19" i="2"/>
  <c r="P19" i="2"/>
  <c r="U19" i="2" s="1"/>
  <c r="Y19" i="2" s="1"/>
  <c r="S19" i="2"/>
  <c r="R19" i="2"/>
  <c r="O19" i="2"/>
  <c r="V19" i="2" s="1"/>
  <c r="P18" i="2"/>
  <c r="S18" i="2"/>
  <c r="O18" i="2"/>
  <c r="V18" i="2" s="1"/>
  <c r="R18" i="2"/>
  <c r="Q18" i="2"/>
  <c r="U18" i="2" s="1"/>
  <c r="Y18" i="2" s="1"/>
  <c r="S16" i="2"/>
  <c r="R16" i="2"/>
  <c r="U16" i="2" s="1"/>
  <c r="Y16" i="2" s="1"/>
  <c r="O16" i="2"/>
  <c r="Q16" i="2"/>
  <c r="P16" i="2"/>
  <c r="V16" i="2" s="1"/>
  <c r="P15" i="2"/>
  <c r="U15" i="2" s="1"/>
  <c r="S15" i="2"/>
  <c r="R15" i="2"/>
  <c r="Q15" i="2"/>
  <c r="O15" i="2"/>
  <c r="V15" i="2" s="1"/>
  <c r="R14" i="2"/>
  <c r="S14" i="2"/>
  <c r="Q14" i="2"/>
  <c r="P14" i="2"/>
  <c r="U14" i="2" s="1"/>
  <c r="O14" i="2"/>
  <c r="V14" i="2" s="1"/>
  <c r="S13" i="2"/>
  <c r="R13" i="2"/>
  <c r="U13" i="2" s="1"/>
  <c r="O13" i="2"/>
  <c r="V13" i="2" s="1"/>
  <c r="Q13" i="2"/>
  <c r="P13" i="2"/>
  <c r="Q11" i="2"/>
  <c r="O11" i="2"/>
  <c r="V11" i="2" s="1"/>
  <c r="P11" i="2"/>
  <c r="U11" i="2" s="1"/>
  <c r="Y11" i="2" s="1"/>
  <c r="S11" i="2"/>
  <c r="R11" i="2"/>
  <c r="P10" i="2"/>
  <c r="V10" i="2" s="1"/>
  <c r="R10" i="2"/>
  <c r="U10" i="2" s="1"/>
  <c r="Q10" i="2"/>
  <c r="S10" i="2"/>
  <c r="S9" i="2"/>
  <c r="P9" i="2"/>
  <c r="R9" i="2"/>
  <c r="U9" i="2" s="1"/>
  <c r="Y9" i="2" s="1"/>
  <c r="Q9" i="2"/>
  <c r="Y10" i="2" l="1"/>
  <c r="Y13" i="2"/>
  <c r="Y14" i="2"/>
  <c r="Y15" i="2"/>
  <c r="T10" i="2"/>
  <c r="T30" i="2"/>
  <c r="T13" i="2"/>
  <c r="T28" i="2"/>
  <c r="T29" i="2"/>
  <c r="T16" i="2"/>
  <c r="T19" i="2"/>
  <c r="T9" i="2"/>
  <c r="T18" i="2"/>
  <c r="T26" i="2"/>
  <c r="T14" i="2"/>
  <c r="T11" i="2"/>
  <c r="T15" i="2"/>
  <c r="L17" i="2" l="1"/>
  <c r="J17" i="2"/>
  <c r="N17" i="2"/>
  <c r="N20" i="2"/>
  <c r="J20" i="2"/>
  <c r="L20" i="2"/>
  <c r="N12" i="2"/>
  <c r="J12" i="2"/>
  <c r="L12" i="2"/>
  <c r="L13" i="2"/>
  <c r="J13" i="2"/>
  <c r="N13" i="2"/>
  <c r="L14" i="2"/>
  <c r="J14" i="2"/>
  <c r="N14" i="2"/>
  <c r="L11" i="2"/>
  <c r="J11" i="2"/>
  <c r="N11" i="2"/>
  <c r="N19" i="2"/>
  <c r="J19" i="2"/>
  <c r="L19" i="2"/>
  <c r="N10" i="2"/>
  <c r="J10" i="2"/>
  <c r="L10" i="2"/>
  <c r="L31" i="2" s="1"/>
  <c r="N18" i="2"/>
  <c r="J18" i="2"/>
  <c r="L18" i="2"/>
  <c r="L16" i="2"/>
  <c r="J16" i="2"/>
  <c r="N16" i="2"/>
  <c r="N15" i="2"/>
  <c r="J15" i="2"/>
  <c r="L15" i="2"/>
  <c r="N21" i="2"/>
  <c r="J21" i="2"/>
  <c r="L21" i="2"/>
  <c r="L30" i="2"/>
  <c r="J30" i="2"/>
  <c r="N30" i="2"/>
  <c r="L25" i="2"/>
  <c r="J25" i="2"/>
  <c r="N25" i="2"/>
  <c r="N28" i="2"/>
  <c r="J28" i="2"/>
  <c r="L28" i="2"/>
  <c r="L27" i="2"/>
  <c r="J27" i="2"/>
  <c r="N27" i="2"/>
  <c r="L29" i="2"/>
  <c r="J29" i="2"/>
  <c r="N29" i="2"/>
  <c r="L26" i="2"/>
  <c r="J26" i="2"/>
  <c r="N26" i="2"/>
  <c r="N24" i="2"/>
  <c r="J24" i="2"/>
  <c r="L24" i="2"/>
  <c r="N31" i="2" l="1"/>
  <c r="J31" i="2"/>
</calcChain>
</file>

<file path=xl/sharedStrings.xml><?xml version="1.0" encoding="utf-8"?>
<sst xmlns="http://schemas.openxmlformats.org/spreadsheetml/2006/main" count="293" uniqueCount="91">
  <si>
    <t>1</t>
  </si>
  <si>
    <t>UN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</si>
  <si>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</si>
  <si>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</si>
  <si>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</si>
  <si>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</si>
  <si>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</si>
  <si>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</si>
  <si>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</si>
  <si>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</si>
  <si>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</si>
  <si>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</si>
  <si>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</si>
  <si>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</si>
  <si>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</si>
  <si>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</si>
  <si>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</si>
  <si>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</si>
  <si>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</si>
  <si>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</si>
  <si>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</si>
  <si>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</si>
  <si>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DESCRPCIÓN</t>
  </si>
  <si>
    <t>ITEM</t>
  </si>
  <si>
    <t>UNIDAD</t>
  </si>
  <si>
    <t>CANT</t>
  </si>
  <si>
    <t>VALOR UNITARIO</t>
  </si>
  <si>
    <t>VALOR TOTAL</t>
  </si>
  <si>
    <t>N/A</t>
  </si>
  <si>
    <t>MENOR VALOR</t>
  </si>
  <si>
    <t>MEDIA ARMONICA</t>
  </si>
  <si>
    <t>PROMEDIO</t>
  </si>
  <si>
    <t>MEDIA GEOMETRICA</t>
  </si>
  <si>
    <t>DESVIACION ESTANDAR</t>
  </si>
  <si>
    <t>COEFICIENTE DE VARIACION</t>
  </si>
  <si>
    <t>METRICA UTILIZADA</t>
  </si>
  <si>
    <t>PRECIO DE REFERENCIA UNITARIO</t>
  </si>
  <si>
    <t>BISAN</t>
  </si>
  <si>
    <t>BITER 30</t>
  </si>
  <si>
    <t xml:space="preserve">CANTIDAD TOTAL </t>
  </si>
  <si>
    <t xml:space="preserve">PRECIO DE REFERENCIA </t>
  </si>
  <si>
    <t>CANTIDADES MINIMAS</t>
  </si>
  <si>
    <t>CUBRIMIENTO DE LA NECESIDAD GENERAL</t>
  </si>
  <si>
    <t>CANTIDAD A ADQUIRIR</t>
  </si>
  <si>
    <t>%</t>
  </si>
  <si>
    <t>LIMITACIÓN</t>
  </si>
  <si>
    <t>PRECIO DE REFERENCIA</t>
  </si>
  <si>
    <t>VALOR TOTAL DE ACUERDO A
PRECIO DE REFERENCIA Y
CON LIMITACION DE LA
NECESIDAD</t>
  </si>
  <si>
    <t>CUMPLE</t>
  </si>
  <si>
    <t>NO CUMPLE</t>
  </si>
  <si>
    <t>ARTICULO PRESUPUESTAL</t>
  </si>
  <si>
    <t>REC</t>
  </si>
  <si>
    <t>NOMBRE CÓDIGO</t>
  </si>
  <si>
    <t>TOTAL POR RUBRO</t>
  </si>
  <si>
    <t>PROYECCIÓN ECONÓMICA</t>
  </si>
  <si>
    <t>DIFERENCIA</t>
  </si>
  <si>
    <t>QUIMICOS ORGANICOS BASICOS PARA PTAP -PTAR</t>
  </si>
  <si>
    <t>PRODUCTOS QUIMICOS  PARA TRAMIENTO DE PISCINAS</t>
  </si>
  <si>
    <t>EDGAR CARPIO SOLANO</t>
  </si>
  <si>
    <r>
      <rPr>
        <b/>
        <sz val="10"/>
        <rFont val="Arial"/>
        <family val="2"/>
      </rPr>
      <t>ALGUICIDA Y BACTERICIDA</t>
    </r>
    <r>
      <rPr>
        <sz val="10"/>
        <rFont val="Arial"/>
        <family val="2"/>
      </rPr>
      <t xml:space="preserve"> ES UN COMPLEJO ORGANICO DE COBRE DE ORIGEN NATURAL Y DE REACCIÓN ÁCIDA EL CUAL POSEE UNA GRAN ESTABILIDAD Y SOLUBILIDAD EN LAS AGUAS DONDE SE APLICA, SOLUCION ACUOSA  ESTABILIZADAS ELIMINA ALGAS Y BACTERIAS PATOGENAS EN EL AGUA Y OTROS RESIDUOS ORGANICOS X GALON</t>
    </r>
  </si>
  <si>
    <r>
      <rPr>
        <b/>
        <sz val="10"/>
        <rFont val="Arial"/>
        <family val="2"/>
      </rPr>
      <t xml:space="preserve">FLOCULANTE EN POLVO </t>
    </r>
    <r>
      <rPr>
        <sz val="10"/>
        <rFont val="Arial"/>
        <family val="2"/>
      </rPr>
      <t>PRODUCTO EN FORMA DE POLVO DE COLOR BLANCO SOLUBLE EN AGUA , EL CUAL MEJORA EL PROCESO DE SEPARACIÓN Y REMOCIÓNDE CONTAMINANTES DEL AGUA PARA EL CONSUMO HUMANO Y AGUAS RESIDUALES PROVINIENTES DE LA ACTIVIDAD INDUSTRIAL ALTAMENTE CONCENTRADO ES 100% SOLUBLE EN AGUA, DOSIS DE APLICACIÓN SUMAMENTE BAJAS, DISMINUYE EL TIEMPO DE SEDIMENTACIÓN, NO MODIFICA EL PH DEL AGUA BOLSA POLIETILENO X 25 KG</t>
    </r>
  </si>
  <si>
    <r>
      <rPr>
        <b/>
        <sz val="10"/>
        <rFont val="Arial"/>
        <family val="2"/>
      </rPr>
      <t>Superclorado</t>
    </r>
    <r>
      <rPr>
        <sz val="10"/>
        <rFont val="Arial"/>
        <family val="2"/>
      </rPr>
      <t>r shock (dicloro-s-triacinetrioina de sodio). Supercloracion de rápido efecto al 60% X KILO</t>
    </r>
  </si>
  <si>
    <t>COMERCIAL VILLA CENTRO</t>
  </si>
  <si>
    <t>BASPC</t>
  </si>
  <si>
    <t>BIJOS30</t>
  </si>
  <si>
    <t>BAEEV21</t>
  </si>
  <si>
    <t>A-02-02-01-003-004</t>
  </si>
  <si>
    <t>OTROS PRODUCTOS QUÍMICOS; FIBRAS ARTIFICIALES (O FIBRAS INDUSTRIALES HECHAS POR EL HOMBRE)</t>
  </si>
  <si>
    <t>BAEEV21 - BITER30 - BIJOS - BISAN - BASPC30</t>
  </si>
  <si>
    <t>BACTERIAS: Estado Físico líquido, utilizado para la inoculación de PTAR PTAP Y PISCINAS, BACTERÍAS CON 20 A 29 CEPAS, AERÓBICAS Y FACULTATIVAS CON CAPACIDAD DE DEGRADAR DIFERENTES COMPUESTOS PRESENTES EN LAS AGUAS RESIDUALES QUE AFECTAN LA NDBO Y LA DQO, GRASAS, ACEITES ALMIDONES, PROTEINAS, AZUCARES , ÁCIDO SULFURICO ENTRE OTROS. COMPOSICIÓN 1X108 BACTERIAS /ML APROXIMADAMENTE LITRO</t>
  </si>
  <si>
    <t xml:space="preserve">HIPOCLORITO DE CALCIO GRANULADO AL 65-70% POLVO GRANULADO DE COLOR BLANCO, PROPIEDADES CALCIO TOTAL MIN 67,0%W/W HUMEDAD 5,1-10,0%W/W HIERRO (COMO FE) MAX 200%W/W, SOLUBILIDAD SOLUBLE EN AGUA, INSOLUBLE MAX5%W/W ESTABILIDAD NO HIGROSCOPIO, OLOR TIPO CLORO O HIPOCLORITO DE SODIO, MALLA ASTM N° 10 (2MM) MAX 0,5 % RET, MALLA ASTM N° 100(150UM) MIN 90,0% RET caneca x 40 kg </t>
  </si>
  <si>
    <t>HIPOCLORITO DE CALCIO GRANULADO AL 65-70% POLVO GRANULADO DE COLOR BLANCO, PROPIEDADES CALCIO TOTAL MIN 67,0%W/W HUMEDAD 5,1-10,0%W/W HIERRO (COMO FE) MAX 200%W/W, SOLUBILIDAD SOLUBLE EN AGUA, INSOLUBLE MAX5%W/W ESTABILIDAD NO HIGROSCOPIO, OLOR TIPO CLORO O HIPOCLORITO DE SODIO, MALLA ASTM N° 10 (2MM) MAX 0,5 % RET, MALLA ASTM N° 100(150UM) MIN 90,0% RET BULTO X 25 KG</t>
  </si>
  <si>
    <t>HIPOCLORITO DE SODIO 15% TOTALMENTE SOLUBLE CI&gt; 12,0 BASICIDAD TOTAL &lt;1,67 LITRO</t>
  </si>
  <si>
    <t>KIT COMPARADOR DE CLORO Y PH este kit Incluye Dos (2) 
reactivos: 1 rojo penhol, 1 ortthotolidina x 20 ml +1 caja de 
colores</t>
  </si>
  <si>
    <t>SODA CAUSTICA PRESENTCIÓN EN ESCAMAS-CRISTAL( CONCENTRACIÓN DEL 98% COMO MINIMO) FRAGMENTOS, TERRORES, BARRAS, LENTEJAS O ESCAMAS CON FRACTURA CRISTALINA DELISCUESCENTE E HIDROSCOPIO, SOLUBLE EN AGUA ALCOHOL Y GLICERINA, LIGERAMENTE SOLUBLE EN ETER. NO ES INFLAMABLE PERO REACCIONA CON ALGUNOS METALES SACO X 25 KG</t>
  </si>
  <si>
    <t>SULFATO ALUMINIO ESTADO FISICO SOLIDO GRANULADO, PESO MOLECULAR 594.14G/MOÑ. FORMULA QUIMICA A12(SO4) 3,14H20 CRISTALES DE COLOR BLANCO/SOLUBLE (CUMPLE NORMAS INTERNACIONALES PARA PRODUCTOS EN EL TRATAMIENTO DEL AGUA ANS/AWWA B403-93) KILO</t>
  </si>
  <si>
    <t>SULFATO FERROSO, PUREZA COMO HIERRO 19,5% MIN INSOLUBLE 2,0 % MAX. ACIDEZ LIBRE (COMO H2SO4) 2,0 % MÁX AGUA COMBINADA 44,79% MÁX PARA DE AGUA POTABLE, TRATAMIENTO DE AGUAS RESIDUALES KILO</t>
  </si>
  <si>
    <t>CARBON ACTIVADO INHIBIDOR DE SABOR EN LOS FILTROS PRESENTACION BULTO X 25 KG</t>
  </si>
  <si>
    <t>CAL HIDRATADA EN POLVO HIDROXIDO DE CALCIO CA(OH) 02 CAS# 1305-62-0 % POR PESO 90MIN, CRISTALES BLANCO O POLVO SIN OLOR SOLUBILIDAD INSOLUBLE EN ALCOHOL, MUY POCO SOLUBLE EN AGUA, SOLUBLE EN GLICEROL, CLORURO DE AMONIACO, SOLUCIONES DE AZUCAR. GRAVEDAD ESPECIFICA (AGUA=1) 2,24 DENSIDAD RELATIVA DEL VAPOR (AIRE=1) 2,5 PH 12,4 (SOLUCIONES SATURADAS) PUNTO DE FUNSION 580°C(1076°E) DESCOMPONE BOLSA X KILO</t>
  </si>
  <si>
    <t>CAL HIDRATADA EN POLVO HIDROXIDO DE CALCIO CA(OH) 02 CAS# 1305-62-0 % POR PESO 90MIN, CRISTALES BLANCO O POLVO SIN OLOR SOLUBILIDAD INSOLUBLE EN ALCOHOL, MUY POCO SOLUBLE EN AGUA, SOLUBLE EN GLICEROL, CLORURO DE AMONIACO, SOLUCIONES DE AZUCAR. GRAVEDAD ESPECIFICA (AGUA=1) 2,24 DENSIDAD RELATIVA DEL VAPOR (AIRE=1) 2,5 PH 12,4 (SOLUCIONES SATURADAS) PUNTO DEEUNSION 580°C(1076°E) DESCOMPONE BULTO X 10 KG</t>
  </si>
  <si>
    <t>CLORUDO FERRICO COMO FLOCULANTE EN EL AGUA PRESENTACIÓN X 24 KILOS</t>
  </si>
  <si>
    <t>ARENA SÍLICE 20-40 UTILIZADO COMO MATERIAL FILTRANTE EN LA RETENCIÓN DE SOLIDOS PRESENTACIÓN X 50 KILOS</t>
  </si>
  <si>
    <t>HIPOCLORITO DE SODIO 15% TOTALMENTE SOLUBLE CI&gt; 12,0 BASICIDAD TOTAL &lt;1,67 5 GALON</t>
  </si>
  <si>
    <r>
      <rPr>
        <b/>
        <sz val="10"/>
        <rFont val="Arial"/>
        <family val="2"/>
      </rPr>
      <t>CLORO GRANULADO AL 90%</t>
    </r>
    <r>
      <rPr>
        <sz val="10"/>
        <rFont val="Arial"/>
        <family val="2"/>
      </rPr>
      <t xml:space="preserve"> Se usa ampliamente como 
desinfectante, algicida, bactericida, desodorante y agente 
blanqueador. CLORO GRANULADO es usado en la desinfección
domestica y industrial, para el mantenimiento de piscinas, 
tratamiento de aguas, refinacion de azúcar, limpieza X KILO</t>
    </r>
  </si>
  <si>
    <r>
      <rPr>
        <b/>
        <sz val="10"/>
        <rFont val="Arial"/>
        <family val="2"/>
      </rPr>
      <t xml:space="preserve">SULFATO DE ALUMINIO GRANULADO TIPO A </t>
    </r>
    <r>
      <rPr>
        <sz val="10"/>
        <rFont val="Arial"/>
        <family val="2"/>
      </rPr>
      <t xml:space="preserve">
Especificiaciones 0.0% libre de Hierro como Fe2O3 Max 0,75% 
materia insoluble max 0,50% Basicidad minimo 0,05% 
producto higroscopico empacado en saco de polipropileno con 
laminado interno SACO X 25 KG</t>
    </r>
  </si>
  <si>
    <t>MODIFICADOR DE PH PARA AGUAS DE PISCINAS- LIMPIEZA Y REMOCIÓN DE MANCHAS EN PISOS, PAREDES Y SUPERFICIES MATÁLICAS EN GENERAL - MANTENER EL PH DEL AGUA EN LOS NIVELES INDICADOS X 25 KILOS</t>
  </si>
  <si>
    <t>VALOR ACEPTACION DE OFERTA 039-2025</t>
  </si>
  <si>
    <t>VALOR HISTORICO INDEXADO IPC 5,10% 2025 ACEPTACION DE OFERTA 039-2025</t>
  </si>
  <si>
    <r>
      <rPr>
        <b/>
        <sz val="10"/>
        <rFont val="Arial"/>
        <family val="2"/>
      </rPr>
      <t>ALGUICIDA-ANTIALGAS</t>
    </r>
    <r>
      <rPr>
        <sz val="10"/>
        <rFont val="Arial"/>
        <family val="2"/>
      </rPr>
      <t xml:space="preserve"> Sustancia incompatibles: agente  oxidantes fuertes, acido, alcalis, sales de planta, se vuelve  inestable con jabones anionicos. Liquido traslucido de color  azul, componente activos oxidantes, agentes surfactantes  cationicos X LITRO</t>
    </r>
  </si>
  <si>
    <t>SPORT PISCINAS</t>
  </si>
  <si>
    <t> Cuando la dispersión de los datos es menor o igual al 20% se establece como criterio la MENOR VALOR COTIZADOS Y EL VALOR HISTORICO entre los PRECIOS COTIZADOS Y EL VALOR HISTORICO ya que no existe variaciones sustanciales entre los datos.
 Cuando la dispersión de los datos se encuentre entre 21% al 50% se establece como criterio la MEDIA ARMONICA DE LOS PRECIOS COTIZADOS Y EL VALOR HISTORICO como una medida de tendencia central.
 Cuando la dispersión de los datos se encuentre entre 51% al 70% se establece como criterio el PROMEDIO LOS PRECIOS COTIZADOS Y EL VALOR HISTORICOcomo una medida de tendencia central.
 Cuando la dispersión de los datos se superior al 71% se establece como criterio el MEDIA GEOMETRICA Y EL VALOR HISTORICO como una medida de tendencia central.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</si>
</sst>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_-* #,##0_-;\-* #,##0_-;_-* &quot;-&quot;??_-;_-@_-"/>
    <numFmt numFmtId="166" formatCode="#,##0_ ;\-#,##0\ "/>
    <numFmt numFmtId="167" formatCode="_-&quot;$&quot;\ * #,##0_-;\-&quot;$&quot;\ * #,##0_-;_-&quot;$&quot;\ * &quot;-&quot;??_-;_-@_-"/>
  </numFmts>
  <fonts count="18" x14ac:knownFonts="1">
    <font>
      <sz val="10"/>
      <color theme="1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Arial"/>
      <family val="2"/>
    </font>
    <font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name val="Arial"/>
      <family val="2"/>
    </font>
    <font>
      <b/>
      <sz val="10"/>
      <name val="Arial"/>
      <family val="2"/>
    </font>
    <font>
      <sz val="8"/>
      <color rgb="FF00FFFF"/>
      <name val="Arial"/>
      <family val="2"/>
    </font>
    <font>
      <sz val="10"/>
      <color rgb="FFFF0000"/>
      <name val="Arial"/>
      <family val="2"/>
    </font>
    <font>
      <sz val="11"/>
      <color theme="1"/>
      <name val="Arial Narrow"/>
      <family val="2"/>
    </font>
  </fonts>
  <fills count="2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EDC82"/>
        <bgColor indexed="64"/>
      </patternFill>
    </fill>
    <fill>
      <patternFill patternType="solid">
        <fgColor rgb="FFA9A9A9"/>
        <bgColor indexed="64"/>
      </patternFill>
    </fill>
    <fill>
      <patternFill patternType="solid">
        <fgColor rgb="FFD3D3D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788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4" fillId="2" borderId="1" applyNumberFormat="0" applyProtection="0">
      <alignment horizontal="left" vertical="center"/>
    </xf>
    <xf numFmtId="0" fontId="1" fillId="3" borderId="0" applyNumberFormat="0" applyBorder="0" applyProtection="0">
      <alignment horizontal="center" vertical="center"/>
    </xf>
    <xf numFmtId="0" fontId="1" fillId="4" borderId="0" applyNumberFormat="0" applyBorder="0" applyProtection="0">
      <alignment horizontal="center" vertical="center"/>
    </xf>
    <xf numFmtId="0" fontId="1" fillId="2" borderId="0" applyNumberFormat="0" applyBorder="0" applyProtection="0">
      <alignment horizontal="center" vertical="center" wrapText="1"/>
    </xf>
    <xf numFmtId="0" fontId="1" fillId="2" borderId="0" applyNumberFormat="0" applyBorder="0" applyProtection="0">
      <alignment horizontal="right" vertical="center" wrapText="1"/>
    </xf>
    <xf numFmtId="0" fontId="1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1" fillId="0" borderId="0" applyNumberFormat="0" applyFill="0" applyBorder="0" applyProtection="0">
      <alignment horizontal="left" vertical="center"/>
    </xf>
    <xf numFmtId="0" fontId="1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5" fillId="0" borderId="1" applyNumberFormat="0" applyFont="0" applyFill="0" applyAlignment="0" applyProtection="0"/>
    <xf numFmtId="0" fontId="5" fillId="6" borderId="0" applyNumberFormat="0" applyFont="0" applyBorder="0" applyAlignment="0" applyProtection="0"/>
    <xf numFmtId="0" fontId="5" fillId="7" borderId="0" applyNumberFormat="0" applyFont="0" applyBorder="0" applyProtection="0">
      <alignment horizontal="right"/>
    </xf>
    <xf numFmtId="0" fontId="2" fillId="7" borderId="0" applyNumberFormat="0" applyBorder="0" applyProtection="0">
      <alignment horizontal="right"/>
    </xf>
    <xf numFmtId="0" fontId="5" fillId="8" borderId="0" applyNumberFormat="0" applyFont="0" applyBorder="0" applyProtection="0">
      <alignment horizontal="right"/>
    </xf>
    <xf numFmtId="0" fontId="5" fillId="9" borderId="0" applyNumberFormat="0" applyFont="0" applyBorder="0" applyProtection="0">
      <alignment horizontal="right"/>
    </xf>
    <xf numFmtId="43" fontId="5" fillId="0" borderId="0" applyFont="0" applyFill="0" applyBorder="0" applyAlignment="0" applyProtection="0"/>
    <xf numFmtId="0" fontId="9" fillId="0" borderId="0"/>
    <xf numFmtId="44" fontId="5" fillId="0" borderId="0" applyFont="0" applyFill="0" applyBorder="0" applyAlignment="0" applyProtection="0"/>
  </cellStyleXfs>
  <cellXfs count="92">
    <xf numFmtId="0" fontId="0" fillId="0" borderId="0" xfId="0"/>
    <xf numFmtId="4" fontId="6" fillId="11" borderId="1" xfId="0" applyNumberFormat="1" applyFont="1" applyFill="1" applyBorder="1" applyAlignment="1" applyProtection="1">
      <alignment horizontal="center" vertical="center"/>
      <protection hidden="1"/>
    </xf>
    <xf numFmtId="4" fontId="6" fillId="12" borderId="1" xfId="0" applyNumberFormat="1" applyFont="1" applyFill="1" applyBorder="1" applyAlignment="1" applyProtection="1">
      <alignment horizontal="center" vertical="center" wrapText="1"/>
      <protection hidden="1"/>
    </xf>
    <xf numFmtId="165" fontId="6" fillId="12" borderId="1" xfId="0" applyNumberFormat="1" applyFont="1" applyFill="1" applyBorder="1" applyAlignment="1" applyProtection="1">
      <alignment horizontal="center" vertical="center" wrapText="1"/>
      <protection hidden="1"/>
    </xf>
    <xf numFmtId="4" fontId="6" fillId="11" borderId="1" xfId="0" applyNumberFormat="1" applyFont="1" applyFill="1" applyBorder="1" applyAlignment="1" applyProtection="1">
      <alignment horizontal="center" vertical="center" wrapText="1"/>
      <protection hidden="1"/>
    </xf>
    <xf numFmtId="0" fontId="10" fillId="14" borderId="1" xfId="32" applyFont="1" applyFill="1" applyBorder="1" applyAlignment="1" applyProtection="1">
      <alignment horizontal="center" vertical="center" wrapText="1"/>
      <protection hidden="1"/>
    </xf>
    <xf numFmtId="0" fontId="8" fillId="15" borderId="1" xfId="0" applyFont="1" applyFill="1" applyBorder="1" applyAlignment="1" applyProtection="1">
      <alignment wrapText="1"/>
      <protection hidden="1"/>
    </xf>
    <xf numFmtId="0" fontId="8" fillId="15" borderId="1" xfId="0" applyFont="1" applyFill="1" applyBorder="1" applyAlignment="1" applyProtection="1">
      <alignment horizontal="center" wrapText="1"/>
      <protection hidden="1"/>
    </xf>
    <xf numFmtId="0" fontId="11" fillId="16" borderId="1" xfId="0" applyFont="1" applyFill="1" applyBorder="1" applyAlignment="1" applyProtection="1">
      <alignment horizontal="center" vertical="center" wrapText="1"/>
      <protection hidden="1"/>
    </xf>
    <xf numFmtId="165" fontId="11" fillId="16" borderId="1" xfId="31" applyNumberFormat="1" applyFont="1" applyFill="1" applyBorder="1" applyAlignment="1" applyProtection="1">
      <alignment horizontal="center" vertical="center" wrapText="1"/>
      <protection hidden="1"/>
    </xf>
    <xf numFmtId="0" fontId="12" fillId="9" borderId="1" xfId="0" applyFont="1" applyFill="1" applyBorder="1" applyAlignment="1" applyProtection="1">
      <alignment horizontal="center" vertical="center" wrapText="1"/>
      <protection hidden="1"/>
    </xf>
    <xf numFmtId="167" fontId="12" fillId="9" borderId="1" xfId="33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Protection="1">
      <protection hidden="1"/>
    </xf>
    <xf numFmtId="1" fontId="2" fillId="3" borderId="1" xfId="0" applyNumberFormat="1" applyFont="1" applyFill="1" applyBorder="1" applyAlignment="1" applyProtection="1">
      <alignment horizontal="center" vertical="center"/>
      <protection hidden="1"/>
    </xf>
    <xf numFmtId="1" fontId="2" fillId="3" borderId="1" xfId="0" applyNumberFormat="1" applyFont="1" applyFill="1" applyBorder="1" applyAlignment="1" applyProtection="1">
      <alignment vertical="center"/>
      <protection hidden="1"/>
    </xf>
    <xf numFmtId="1" fontId="2" fillId="3" borderId="1" xfId="0" applyNumberFormat="1" applyFont="1" applyFill="1" applyBorder="1" applyAlignment="1" applyProtection="1">
      <alignment horizontal="center" wrapText="1"/>
      <protection hidden="1"/>
    </xf>
    <xf numFmtId="1" fontId="2" fillId="3" borderId="0" xfId="0" applyNumberFormat="1" applyFont="1" applyFill="1" applyAlignment="1" applyProtection="1">
      <alignment horizontal="center"/>
      <protection hidden="1"/>
    </xf>
    <xf numFmtId="1" fontId="2" fillId="13" borderId="1" xfId="0" applyNumberFormat="1" applyFont="1" applyFill="1" applyBorder="1" applyAlignment="1" applyProtection="1">
      <alignment horizontal="center" wrapText="1"/>
      <protection hidden="1"/>
    </xf>
    <xf numFmtId="1" fontId="2" fillId="3" borderId="1" xfId="0" applyNumberFormat="1" applyFont="1" applyFill="1" applyBorder="1" applyProtection="1">
      <protection hidden="1"/>
    </xf>
    <xf numFmtId="1" fontId="2" fillId="3" borderId="1" xfId="0" applyNumberFormat="1" applyFont="1" applyFill="1" applyBorder="1" applyAlignment="1" applyProtection="1">
      <alignment horizontal="center"/>
      <protection hidden="1"/>
    </xf>
    <xf numFmtId="0" fontId="2" fillId="10" borderId="3" xfId="0" applyFont="1" applyFill="1" applyBorder="1" applyProtection="1">
      <protection hidden="1"/>
    </xf>
    <xf numFmtId="0" fontId="0" fillId="10" borderId="0" xfId="0" applyFill="1" applyProtection="1">
      <protection hidden="1"/>
    </xf>
    <xf numFmtId="0" fontId="0" fillId="10" borderId="2" xfId="0" applyFill="1" applyBorder="1" applyProtection="1">
      <protection hidden="1"/>
    </xf>
    <xf numFmtId="0" fontId="0" fillId="0" borderId="1" xfId="0" applyBorder="1" applyProtection="1">
      <protection hidden="1"/>
    </xf>
    <xf numFmtId="0" fontId="0" fillId="0" borderId="1" xfId="0" applyBorder="1" applyAlignment="1" applyProtection="1">
      <alignment horizontal="center"/>
      <protection hidden="1"/>
    </xf>
    <xf numFmtId="1" fontId="0" fillId="0" borderId="1" xfId="0" applyNumberFormat="1" applyBorder="1" applyProtection="1">
      <protection hidden="1"/>
    </xf>
    <xf numFmtId="165" fontId="0" fillId="0" borderId="1" xfId="31" applyNumberFormat="1" applyFont="1" applyBorder="1" applyProtection="1">
      <protection hidden="1"/>
    </xf>
    <xf numFmtId="165" fontId="0" fillId="0" borderId="1" xfId="31" applyNumberFormat="1" applyFont="1" applyFill="1" applyBorder="1" applyProtection="1">
      <protection hidden="1"/>
    </xf>
    <xf numFmtId="166" fontId="0" fillId="0" borderId="1" xfId="0" applyNumberFormat="1" applyBorder="1" applyProtection="1">
      <protection hidden="1"/>
    </xf>
    <xf numFmtId="2" fontId="0" fillId="0" borderId="1" xfId="0" applyNumberFormat="1" applyBorder="1" applyProtection="1">
      <protection hidden="1"/>
    </xf>
    <xf numFmtId="166" fontId="0" fillId="0" borderId="0" xfId="0" applyNumberFormat="1" applyProtection="1">
      <protection hidden="1"/>
    </xf>
    <xf numFmtId="165" fontId="0" fillId="0" borderId="0" xfId="0" applyNumberFormat="1" applyProtection="1">
      <protection hidden="1"/>
    </xf>
    <xf numFmtId="1" fontId="8" fillId="3" borderId="1" xfId="0" applyNumberFormat="1" applyFont="1" applyFill="1" applyBorder="1" applyAlignment="1" applyProtection="1">
      <alignment horizontal="center" vertical="center"/>
      <protection hidden="1"/>
    </xf>
    <xf numFmtId="1" fontId="8" fillId="3" borderId="4" xfId="0" applyNumberFormat="1" applyFont="1" applyFill="1" applyBorder="1" applyAlignment="1" applyProtection="1">
      <alignment vertical="center"/>
      <protection hidden="1"/>
    </xf>
    <xf numFmtId="0" fontId="7" fillId="0" borderId="0" xfId="0" applyFont="1" applyProtection="1">
      <protection hidden="1"/>
    </xf>
    <xf numFmtId="0" fontId="7" fillId="10" borderId="3" xfId="0" applyFont="1" applyFill="1" applyBorder="1" applyAlignment="1" applyProtection="1">
      <alignment horizontal="center"/>
      <protection hidden="1"/>
    </xf>
    <xf numFmtId="0" fontId="7" fillId="10" borderId="0" xfId="0" applyFont="1" applyFill="1" applyProtection="1">
      <protection hidden="1"/>
    </xf>
    <xf numFmtId="0" fontId="7" fillId="10" borderId="1" xfId="0" applyFont="1" applyFill="1" applyBorder="1" applyProtection="1">
      <protection hidden="1"/>
    </xf>
    <xf numFmtId="0" fontId="7" fillId="0" borderId="1" xfId="0" applyFont="1" applyBorder="1" applyProtection="1">
      <protection hidden="1"/>
    </xf>
    <xf numFmtId="165" fontId="7" fillId="0" borderId="1" xfId="0" applyNumberFormat="1" applyFont="1" applyBorder="1" applyProtection="1">
      <protection hidden="1"/>
    </xf>
    <xf numFmtId="49" fontId="7" fillId="0" borderId="1" xfId="13" applyFont="1" applyBorder="1" applyAlignment="1" applyProtection="1">
      <alignment horizontal="center" vertical="center"/>
      <protection hidden="1"/>
    </xf>
    <xf numFmtId="0" fontId="7" fillId="0" borderId="4" xfId="0" applyFont="1" applyBorder="1" applyAlignment="1" applyProtection="1">
      <alignment horizontal="center"/>
      <protection hidden="1"/>
    </xf>
    <xf numFmtId="1" fontId="7" fillId="0" borderId="1" xfId="0" applyNumberFormat="1" applyFont="1" applyBorder="1" applyProtection="1">
      <protection hidden="1"/>
    </xf>
    <xf numFmtId="165" fontId="7" fillId="0" borderId="1" xfId="31" applyNumberFormat="1" applyFont="1" applyBorder="1" applyProtection="1">
      <protection hidden="1"/>
    </xf>
    <xf numFmtId="165" fontId="7" fillId="0" borderId="0" xfId="0" applyNumberFormat="1" applyFont="1" applyProtection="1">
      <protection hidden="1"/>
    </xf>
    <xf numFmtId="165" fontId="7" fillId="0" borderId="0" xfId="31" applyNumberFormat="1" applyFont="1" applyProtection="1">
      <protection hidden="1"/>
    </xf>
    <xf numFmtId="1" fontId="8" fillId="3" borderId="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9" fillId="0" borderId="1" xfId="0" applyFont="1" applyBorder="1" applyAlignment="1">
      <alignment horizontal="justify" wrapText="1"/>
    </xf>
    <xf numFmtId="0" fontId="9" fillId="0" borderId="1" xfId="0" applyFont="1" applyBorder="1" applyAlignment="1">
      <alignment horizontal="left" wrapText="1"/>
    </xf>
    <xf numFmtId="49" fontId="3" fillId="0" borderId="0" xfId="13" applyBorder="1" applyAlignment="1" applyProtection="1">
      <alignment horizontal="left"/>
      <protection hidden="1"/>
    </xf>
    <xf numFmtId="0" fontId="0" fillId="0" borderId="0" xfId="0" applyAlignment="1">
      <alignment wrapText="1"/>
    </xf>
    <xf numFmtId="1" fontId="0" fillId="0" borderId="0" xfId="0" applyNumberFormat="1" applyProtection="1">
      <protection hidden="1"/>
    </xf>
    <xf numFmtId="165" fontId="0" fillId="0" borderId="0" xfId="31" applyNumberFormat="1" applyFont="1" applyBorder="1" applyProtection="1">
      <protection hidden="1"/>
    </xf>
    <xf numFmtId="165" fontId="0" fillId="0" borderId="0" xfId="31" applyNumberFormat="1" applyFont="1" applyFill="1" applyBorder="1" applyProtection="1">
      <protection hidden="1"/>
    </xf>
    <xf numFmtId="43" fontId="0" fillId="0" borderId="0" xfId="0" applyNumberFormat="1" applyProtection="1">
      <protection hidden="1"/>
    </xf>
    <xf numFmtId="165" fontId="0" fillId="0" borderId="1" xfId="31" applyNumberFormat="1" applyFont="1" applyBorder="1" applyAlignment="1" applyProtection="1">
      <protection hidden="1"/>
    </xf>
    <xf numFmtId="165" fontId="0" fillId="0" borderId="1" xfId="31" applyNumberFormat="1" applyFont="1" applyFill="1" applyBorder="1" applyAlignment="1" applyProtection="1">
      <protection hidden="1"/>
    </xf>
    <xf numFmtId="0" fontId="15" fillId="0" borderId="0" xfId="0" applyFont="1" applyAlignment="1" applyProtection="1">
      <alignment vertical="center" textRotation="90"/>
      <protection locked="0"/>
    </xf>
    <xf numFmtId="0" fontId="5" fillId="0" borderId="0" xfId="0" applyFont="1" applyProtection="1">
      <protection locked="0"/>
    </xf>
    <xf numFmtId="0" fontId="16" fillId="0" borderId="0" xfId="0" applyFont="1" applyProtection="1">
      <protection locked="0"/>
    </xf>
    <xf numFmtId="0" fontId="15" fillId="0" borderId="3" xfId="0" applyFont="1" applyBorder="1" applyAlignment="1" applyProtection="1">
      <alignment horizontal="center" vertical="top" textRotation="90"/>
      <protection locked="0"/>
    </xf>
    <xf numFmtId="0" fontId="5" fillId="0" borderId="1" xfId="0" applyFont="1" applyBorder="1" applyProtection="1">
      <protection locked="0"/>
    </xf>
    <xf numFmtId="0" fontId="9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165" fontId="0" fillId="0" borderId="1" xfId="31" applyNumberFormat="1" applyFont="1" applyBorder="1" applyAlignment="1" applyProtection="1">
      <alignment horizontal="right"/>
      <protection hidden="1"/>
    </xf>
    <xf numFmtId="0" fontId="0" fillId="0" borderId="1" xfId="0" applyFill="1" applyBorder="1" applyAlignment="1" applyProtection="1">
      <alignment horizontal="center"/>
      <protection hidden="1"/>
    </xf>
    <xf numFmtId="1" fontId="0" fillId="0" borderId="1" xfId="0" applyNumberFormat="1" applyFill="1" applyBorder="1" applyProtection="1">
      <protection hidden="1"/>
    </xf>
    <xf numFmtId="166" fontId="0" fillId="0" borderId="1" xfId="0" applyNumberFormat="1" applyFill="1" applyBorder="1" applyProtection="1">
      <protection hidden="1"/>
    </xf>
    <xf numFmtId="2" fontId="0" fillId="0" borderId="1" xfId="0" applyNumberFormat="1" applyFill="1" applyBorder="1" applyProtection="1">
      <protection hidden="1"/>
    </xf>
    <xf numFmtId="0" fontId="0" fillId="0" borderId="0" xfId="0" applyFill="1" applyProtection="1">
      <protection hidden="1"/>
    </xf>
    <xf numFmtId="1" fontId="7" fillId="0" borderId="0" xfId="0" applyNumberFormat="1" applyFont="1" applyProtection="1">
      <protection hidden="1"/>
    </xf>
    <xf numFmtId="165" fontId="8" fillId="18" borderId="0" xfId="31" applyNumberFormat="1" applyFont="1" applyFill="1" applyProtection="1">
      <protection hidden="1"/>
    </xf>
    <xf numFmtId="0" fontId="0" fillId="0" borderId="1" xfId="0" applyFont="1" applyBorder="1" applyProtection="1">
      <protection locked="0"/>
    </xf>
    <xf numFmtId="165" fontId="7" fillId="0" borderId="0" xfId="0" applyNumberFormat="1" applyFont="1" applyFill="1" applyProtection="1">
      <protection hidden="1"/>
    </xf>
    <xf numFmtId="165" fontId="2" fillId="19" borderId="0" xfId="0" applyNumberFormat="1" applyFont="1" applyFill="1" applyProtection="1">
      <protection hidden="1"/>
    </xf>
    <xf numFmtId="0" fontId="2" fillId="10" borderId="1" xfId="0" applyFont="1" applyFill="1" applyBorder="1" applyAlignment="1">
      <alignment wrapText="1"/>
    </xf>
    <xf numFmtId="1" fontId="17" fillId="0" borderId="1" xfId="0" applyNumberFormat="1" applyFont="1" applyBorder="1" applyProtection="1">
      <protection hidden="1"/>
    </xf>
    <xf numFmtId="0" fontId="0" fillId="0" borderId="1" xfId="0" applyBorder="1" applyAlignment="1">
      <alignment wrapText="1"/>
    </xf>
    <xf numFmtId="0" fontId="5" fillId="0" borderId="1" xfId="0" applyFont="1" applyFill="1" applyBorder="1" applyProtection="1">
      <protection locked="0"/>
    </xf>
    <xf numFmtId="0" fontId="0" fillId="0" borderId="1" xfId="0" applyFont="1" applyFill="1" applyBorder="1" applyProtection="1">
      <protection locked="0"/>
    </xf>
    <xf numFmtId="0" fontId="16" fillId="0" borderId="1" xfId="0" applyFont="1" applyFill="1" applyBorder="1" applyProtection="1">
      <protection locked="0"/>
    </xf>
    <xf numFmtId="165" fontId="6" fillId="11" borderId="1" xfId="31" applyNumberFormat="1" applyFont="1" applyFill="1" applyBorder="1" applyAlignment="1" applyProtection="1">
      <alignment horizontal="center" vertical="center"/>
      <protection hidden="1"/>
    </xf>
    <xf numFmtId="0" fontId="1" fillId="12" borderId="1" xfId="9" applyFill="1" applyBorder="1">
      <alignment horizontal="center" vertical="center" wrapText="1"/>
    </xf>
    <xf numFmtId="0" fontId="1" fillId="17" borderId="1" xfId="9" applyFill="1" applyBorder="1">
      <alignment horizontal="center" vertical="center" wrapText="1"/>
    </xf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/>
      <protection hidden="1"/>
    </xf>
    <xf numFmtId="0" fontId="1" fillId="11" borderId="1" xfId="9" applyFill="1" applyBorder="1">
      <alignment horizontal="center" vertical="center" wrapText="1"/>
    </xf>
    <xf numFmtId="0" fontId="10" fillId="14" borderId="4" xfId="32" applyFont="1" applyFill="1" applyBorder="1" applyAlignment="1" applyProtection="1">
      <alignment horizontal="center" vertical="center" wrapText="1"/>
      <protection hidden="1"/>
    </xf>
    <xf numFmtId="0" fontId="10" fillId="14" borderId="5" xfId="32" applyFont="1" applyFill="1" applyBorder="1" applyAlignment="1" applyProtection="1">
      <alignment horizontal="center" vertical="center" wrapText="1"/>
      <protection hidden="1"/>
    </xf>
    <xf numFmtId="0" fontId="10" fillId="14" borderId="6" xfId="32" applyFont="1" applyFill="1" applyBorder="1" applyAlignment="1" applyProtection="1">
      <alignment horizontal="center" vertical="center" wrapText="1"/>
      <protection hidden="1"/>
    </xf>
  </cellXfs>
  <cellStyles count="34">
    <cellStyle name="AnalysisIndexDark" xfId="27" xr:uid="{00000000-0005-0000-0000-000000000000}"/>
    <cellStyle name="AnalysisIndexDarkBold" xfId="28" xr:uid="{00000000-0005-0000-0000-000001000000}"/>
    <cellStyle name="AnalysisIndexLight" xfId="29" xr:uid="{00000000-0005-0000-0000-000002000000}"/>
    <cellStyle name="AnalysisIndexWhite" xfId="30" xr:uid="{00000000-0005-0000-0000-000003000000}"/>
    <cellStyle name="BodyStyle" xfId="13" xr:uid="{00000000-0005-0000-0000-000004000000}"/>
    <cellStyle name="BodyStyleBold" xfId="14" xr:uid="{00000000-0005-0000-0000-000005000000}"/>
    <cellStyle name="BodyStyleBoldRight" xfId="15" xr:uid="{00000000-0005-0000-0000-000006000000}"/>
    <cellStyle name="BodyStyleWithBorder" xfId="21" xr:uid="{00000000-0005-0000-0000-000007000000}"/>
    <cellStyle name="BorderThinBlack" xfId="25" xr:uid="{00000000-0005-0000-0000-000008000000}"/>
    <cellStyle name="Comma" xfId="4" xr:uid="{00000000-0005-0000-0000-000009000000}"/>
    <cellStyle name="Comma [0]" xfId="5" xr:uid="{00000000-0005-0000-0000-00000A000000}"/>
    <cellStyle name="Currency" xfId="2" xr:uid="{00000000-0005-0000-0000-00000B000000}"/>
    <cellStyle name="Currency [0]" xfId="3" xr:uid="{00000000-0005-0000-0000-00000C000000}"/>
    <cellStyle name="DateStyle" xfId="17" xr:uid="{00000000-0005-0000-0000-00000D000000}"/>
    <cellStyle name="DateTimeStyle" xfId="18" xr:uid="{00000000-0005-0000-0000-00000E000000}"/>
    <cellStyle name="Decimal" xfId="20" xr:uid="{00000000-0005-0000-0000-00000F000000}"/>
    <cellStyle name="DecimalWithBorder" xfId="24" xr:uid="{00000000-0005-0000-0000-000010000000}"/>
    <cellStyle name="EuroCurrency" xfId="16" xr:uid="{00000000-0005-0000-0000-000011000000}"/>
    <cellStyle name="EuroCurrencyWithBorder" xfId="22" xr:uid="{00000000-0005-0000-0000-000012000000}"/>
    <cellStyle name="HeaderStyle" xfId="7" xr:uid="{00000000-0005-0000-0000-000013000000}"/>
    <cellStyle name="HeaderSubTop" xfId="11" xr:uid="{00000000-0005-0000-0000-000014000000}"/>
    <cellStyle name="HeaderSubTopNoBold" xfId="12" xr:uid="{00000000-0005-0000-0000-000015000000}"/>
    <cellStyle name="HeaderTopBuyer" xfId="8" xr:uid="{00000000-0005-0000-0000-000016000000}"/>
    <cellStyle name="HeaderTopStyle" xfId="9" xr:uid="{00000000-0005-0000-0000-000017000000}"/>
    <cellStyle name="HeaderTopStyleAlignRight" xfId="10" xr:uid="{00000000-0005-0000-0000-000018000000}"/>
    <cellStyle name="IsSelectedStyle" xfId="26" xr:uid="{00000000-0005-0000-0000-000019000000}"/>
    <cellStyle name="MainTitle" xfId="6" xr:uid="{00000000-0005-0000-0000-00001A000000}"/>
    <cellStyle name="Millares" xfId="31" builtinId="3"/>
    <cellStyle name="Moneda" xfId="33" builtinId="4"/>
    <cellStyle name="Normal" xfId="0" builtinId="0"/>
    <cellStyle name="Normal 2" xfId="32" xr:uid="{00000000-0005-0000-0000-00001E000000}"/>
    <cellStyle name="Numeric" xfId="19" xr:uid="{00000000-0005-0000-0000-00001F000000}"/>
    <cellStyle name="NumericWithBorder" xfId="23" xr:uid="{00000000-0005-0000-0000-000020000000}"/>
    <cellStyle name="Percent" xfId="1" xr:uid="{00000000-0005-0000-0000-00002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Z37"/>
  <sheetViews>
    <sheetView topLeftCell="H2" zoomScale="80" zoomScaleNormal="80" workbookViewId="0">
      <selection activeCell="B7" sqref="B7:H30"/>
    </sheetView>
  </sheetViews>
  <sheetFormatPr baseColWidth="10" defaultColWidth="9.109375" defaultRowHeight="13.2" x14ac:dyDescent="0.25"/>
  <cols>
    <col min="1" max="1" width="2.5546875" style="12" customWidth="1"/>
    <col min="2" max="2" width="5.33203125" style="12" bestFit="1" customWidth="1"/>
    <col min="3" max="3" width="81.21875" style="12" customWidth="1"/>
    <col min="4" max="4" width="7.88671875" style="12" bestFit="1" customWidth="1"/>
    <col min="5" max="5" width="7.88671875" style="12" customWidth="1"/>
    <col min="6" max="6" width="17.5546875" style="12" customWidth="1"/>
    <col min="7" max="7" width="9.33203125" style="12" hidden="1" customWidth="1"/>
    <col min="8" max="8" width="18.33203125" style="12" customWidth="1"/>
    <col min="9" max="9" width="16.88671875" style="12" customWidth="1"/>
    <col min="10" max="12" width="15" style="12" customWidth="1"/>
    <col min="13" max="13" width="16.88671875" style="12" customWidth="1"/>
    <col min="14" max="14" width="16.33203125" style="12" customWidth="1"/>
    <col min="15" max="15" width="14.88671875" style="12" bestFit="1" customWidth="1"/>
    <col min="16" max="16" width="12.109375" style="12" customWidth="1"/>
    <col min="17" max="17" width="11.33203125" style="12" bestFit="1" customWidth="1"/>
    <col min="18" max="18" width="17.33203125" style="12" customWidth="1"/>
    <col min="19" max="19" width="15.109375" style="12" customWidth="1"/>
    <col min="20" max="20" width="14.5546875" style="12" customWidth="1"/>
    <col min="21" max="21" width="13.5546875" style="12" hidden="1" customWidth="1"/>
    <col min="22" max="22" width="13.5546875" style="12" customWidth="1"/>
    <col min="23" max="23" width="19.88671875" style="12" bestFit="1" customWidth="1"/>
    <col min="24" max="24" width="9.109375" style="12"/>
    <col min="25" max="25" width="12" style="12" hidden="1" customWidth="1"/>
    <col min="26" max="16384" width="9.109375" style="12"/>
  </cols>
  <sheetData>
    <row r="1" spans="2:25" ht="18.75" customHeight="1" x14ac:dyDescent="0.25">
      <c r="B1" s="85" t="s">
        <v>90</v>
      </c>
      <c r="C1" s="86"/>
      <c r="D1" s="86"/>
      <c r="E1" s="86"/>
      <c r="F1" s="87"/>
      <c r="G1" s="87"/>
      <c r="H1" s="86"/>
      <c r="I1" s="86"/>
      <c r="J1" s="86"/>
      <c r="K1" s="86"/>
      <c r="L1" s="86"/>
      <c r="M1" s="86"/>
      <c r="N1" s="86"/>
    </row>
    <row r="2" spans="2:25" ht="19.5" customHeight="1" x14ac:dyDescent="0.25">
      <c r="B2" s="86"/>
      <c r="C2" s="86"/>
      <c r="D2" s="86"/>
      <c r="E2" s="86"/>
      <c r="F2" s="87"/>
      <c r="G2" s="87"/>
      <c r="H2" s="86"/>
      <c r="I2" s="86"/>
      <c r="J2" s="86"/>
      <c r="K2" s="86"/>
      <c r="L2" s="86"/>
      <c r="M2" s="86"/>
      <c r="N2" s="86"/>
    </row>
    <row r="3" spans="2:25" ht="21" customHeight="1" x14ac:dyDescent="0.25">
      <c r="B3" s="86"/>
      <c r="C3" s="86"/>
      <c r="D3" s="86"/>
      <c r="E3" s="86"/>
      <c r="F3" s="87"/>
      <c r="G3" s="87"/>
      <c r="H3" s="86"/>
      <c r="I3" s="86"/>
      <c r="J3" s="86"/>
      <c r="K3" s="86"/>
      <c r="L3" s="86"/>
      <c r="M3" s="86"/>
      <c r="N3" s="86"/>
    </row>
    <row r="4" spans="2:25" ht="31.5" customHeight="1" x14ac:dyDescent="0.25">
      <c r="B4" s="86"/>
      <c r="C4" s="86"/>
      <c r="D4" s="86"/>
      <c r="E4" s="86"/>
      <c r="F4" s="87"/>
      <c r="G4" s="87"/>
      <c r="H4" s="86"/>
      <c r="I4" s="86"/>
      <c r="J4" s="86"/>
      <c r="K4" s="86"/>
      <c r="L4" s="86"/>
      <c r="M4" s="86"/>
      <c r="N4" s="86"/>
    </row>
    <row r="6" spans="2:25" ht="27.75" customHeight="1" x14ac:dyDescent="0.25">
      <c r="I6" s="83" t="s">
        <v>62</v>
      </c>
      <c r="J6" s="83"/>
      <c r="K6" s="88" t="s">
        <v>58</v>
      </c>
      <c r="L6" s="88"/>
      <c r="M6" s="84" t="s">
        <v>89</v>
      </c>
      <c r="N6" s="84"/>
    </row>
    <row r="7" spans="2:25" ht="64.95" customHeight="1" x14ac:dyDescent="0.25">
      <c r="B7" s="13" t="s">
        <v>23</v>
      </c>
      <c r="C7" s="13" t="s">
        <v>22</v>
      </c>
      <c r="D7" s="14" t="s">
        <v>24</v>
      </c>
      <c r="E7" s="13" t="s">
        <v>25</v>
      </c>
      <c r="F7" s="15" t="s">
        <v>86</v>
      </c>
      <c r="G7" s="16"/>
      <c r="H7" s="17" t="s">
        <v>87</v>
      </c>
      <c r="I7" s="18" t="s">
        <v>26</v>
      </c>
      <c r="J7" s="18" t="s">
        <v>27</v>
      </c>
      <c r="K7" s="18" t="s">
        <v>26</v>
      </c>
      <c r="L7" s="18" t="s">
        <v>27</v>
      </c>
      <c r="M7" s="19" t="s">
        <v>26</v>
      </c>
      <c r="N7" s="19" t="s">
        <v>27</v>
      </c>
      <c r="O7" s="15" t="s">
        <v>29</v>
      </c>
      <c r="P7" s="15" t="s">
        <v>30</v>
      </c>
      <c r="Q7" s="15" t="s">
        <v>31</v>
      </c>
      <c r="R7" s="15" t="s">
        <v>32</v>
      </c>
      <c r="S7" s="15" t="s">
        <v>33</v>
      </c>
      <c r="T7" s="15" t="s">
        <v>34</v>
      </c>
      <c r="U7" s="15" t="s">
        <v>36</v>
      </c>
      <c r="V7" s="15" t="s">
        <v>36</v>
      </c>
      <c r="W7" s="15" t="s">
        <v>35</v>
      </c>
    </row>
    <row r="8" spans="2:25" ht="12.75" customHeight="1" x14ac:dyDescent="0.3">
      <c r="B8" s="35" t="s">
        <v>0</v>
      </c>
      <c r="C8" s="20" t="s">
        <v>56</v>
      </c>
      <c r="D8" s="21"/>
      <c r="E8" s="21"/>
      <c r="F8" s="21"/>
      <c r="G8" s="21"/>
      <c r="H8" s="21"/>
      <c r="I8" s="21"/>
      <c r="J8" s="22"/>
      <c r="K8" s="21"/>
      <c r="L8" s="21"/>
      <c r="M8" s="21"/>
      <c r="N8" s="22"/>
      <c r="O8" s="23"/>
      <c r="P8" s="23"/>
      <c r="Q8" s="23"/>
      <c r="R8" s="23"/>
      <c r="S8" s="23"/>
      <c r="T8" s="23"/>
      <c r="W8" s="23"/>
    </row>
    <row r="9" spans="2:25" ht="96.6" customHeight="1" x14ac:dyDescent="0.25">
      <c r="B9" s="40" t="s">
        <v>0</v>
      </c>
      <c r="C9" s="78" t="s">
        <v>69</v>
      </c>
      <c r="D9" s="24" t="s">
        <v>1</v>
      </c>
      <c r="E9" s="77">
        <v>286</v>
      </c>
      <c r="F9" s="65">
        <v>28400</v>
      </c>
      <c r="G9" s="26">
        <f>F9*5.1%</f>
        <v>1448.3999999999999</v>
      </c>
      <c r="H9" s="26">
        <f>F9+G9</f>
        <v>29848.400000000001</v>
      </c>
      <c r="I9" s="27">
        <v>28571</v>
      </c>
      <c r="J9" s="27">
        <f>I9*E9</f>
        <v>8171306</v>
      </c>
      <c r="K9" s="27">
        <v>34500</v>
      </c>
      <c r="L9" s="27">
        <f>K9*E9</f>
        <v>9867000</v>
      </c>
      <c r="M9" s="27">
        <v>30000</v>
      </c>
      <c r="N9" s="27">
        <f>M9*E9</f>
        <v>8580000</v>
      </c>
      <c r="O9" s="28">
        <f>MIN(H9,I9,M9,K9)</f>
        <v>28571</v>
      </c>
      <c r="P9" s="26">
        <f>HARMEAN(H9,I9,M9,K9)</f>
        <v>30575.897278743043</v>
      </c>
      <c r="Q9" s="28">
        <f>AVERAGE(H9,I9,M9,K9)</f>
        <v>30729.85</v>
      </c>
      <c r="R9" s="26">
        <f>GEOMEAN(H9,I9,M9,K9)</f>
        <v>30651.14564648112</v>
      </c>
      <c r="S9" s="25">
        <f>STDEVA(H9,I9,M9,K9)</f>
        <v>2593.858096221405</v>
      </c>
      <c r="T9" s="29">
        <f>S9/Q9</f>
        <v>8.4408420354196489E-2</v>
      </c>
      <c r="U9" s="28">
        <f>R9</f>
        <v>30651.14564648112</v>
      </c>
      <c r="V9" s="28">
        <f>O9</f>
        <v>28571</v>
      </c>
      <c r="W9" s="23" t="s">
        <v>29</v>
      </c>
      <c r="X9" s="30">
        <f>ROUND(V9,0)</f>
        <v>28571</v>
      </c>
      <c r="Y9" s="30">
        <f>V9*E9</f>
        <v>8171306</v>
      </c>
    </row>
    <row r="10" spans="2:25" ht="91.5" customHeight="1" x14ac:dyDescent="0.25">
      <c r="B10" s="40" t="s">
        <v>2</v>
      </c>
      <c r="C10" s="78" t="s">
        <v>70</v>
      </c>
      <c r="D10" s="24" t="s">
        <v>1</v>
      </c>
      <c r="E10" s="77">
        <v>82</v>
      </c>
      <c r="F10" s="65" t="s">
        <v>28</v>
      </c>
      <c r="G10" s="26" t="s">
        <v>28</v>
      </c>
      <c r="H10" s="26" t="s">
        <v>28</v>
      </c>
      <c r="I10" s="27">
        <v>942857</v>
      </c>
      <c r="J10" s="27">
        <f t="shared" ref="J10:J30" si="0">I10*E10</f>
        <v>77314274</v>
      </c>
      <c r="K10" s="27">
        <v>1190600</v>
      </c>
      <c r="L10" s="27">
        <f t="shared" ref="L10:L30" si="1">K10*E10</f>
        <v>97629200</v>
      </c>
      <c r="M10" s="27">
        <v>1009000</v>
      </c>
      <c r="N10" s="27">
        <f t="shared" ref="N10:N30" si="2">M10*E10</f>
        <v>82738000</v>
      </c>
      <c r="O10" s="28">
        <f>MIN(H10,I10,M10,K10)</f>
        <v>942857</v>
      </c>
      <c r="P10" s="26">
        <f t="shared" ref="P10:P30" si="3">HARMEAN(H10,I10,M10,K10)</f>
        <v>1037488.2017060071</v>
      </c>
      <c r="Q10" s="28">
        <f t="shared" ref="Q10:Q30" si="4">AVERAGE(H10,I10,M10,K10)</f>
        <v>1047485.6666666666</v>
      </c>
      <c r="R10" s="26">
        <f t="shared" ref="R10:R30" si="5">GEOMEAN(H10,I10,M10,K10)</f>
        <v>1042399.7328277136</v>
      </c>
      <c r="S10" s="25">
        <f t="shared" ref="S10:S30" si="6">STDEVA(H10,I10,M10,K10)</f>
        <v>534112.87297622464</v>
      </c>
      <c r="T10" s="29">
        <f t="shared" ref="T10:T30" si="7">S10/Q10</f>
        <v>0.50989993464625738</v>
      </c>
      <c r="U10" s="28">
        <f>R10</f>
        <v>1042399.7328277136</v>
      </c>
      <c r="V10" s="28">
        <f>P10</f>
        <v>1037488.2017060071</v>
      </c>
      <c r="W10" s="23" t="s">
        <v>30</v>
      </c>
      <c r="X10" s="30">
        <f t="shared" ref="X10:X30" si="8">ROUND(V10,0)</f>
        <v>1037488</v>
      </c>
      <c r="Y10" s="30">
        <f t="shared" ref="Y10:Y30" si="9">V10*E10</f>
        <v>85074032.539892584</v>
      </c>
    </row>
    <row r="11" spans="2:25" ht="91.5" customHeight="1" x14ac:dyDescent="0.25">
      <c r="B11" s="40" t="s">
        <v>3</v>
      </c>
      <c r="C11" s="78" t="s">
        <v>71</v>
      </c>
      <c r="D11" s="24" t="s">
        <v>1</v>
      </c>
      <c r="E11" s="77">
        <v>4</v>
      </c>
      <c r="F11" s="65">
        <v>503500</v>
      </c>
      <c r="G11" s="26">
        <f t="shared" ref="G11:G30" si="10">F11*5.2%</f>
        <v>26182.000000000004</v>
      </c>
      <c r="H11" s="26">
        <f t="shared" ref="H11:H30" si="11">F11+G11</f>
        <v>529682</v>
      </c>
      <c r="I11" s="27">
        <v>592857</v>
      </c>
      <c r="J11" s="27">
        <f t="shared" si="0"/>
        <v>2371428</v>
      </c>
      <c r="K11" s="27">
        <v>729100</v>
      </c>
      <c r="L11" s="27">
        <f t="shared" si="1"/>
        <v>2916400</v>
      </c>
      <c r="M11" s="27">
        <v>634000</v>
      </c>
      <c r="N11" s="27">
        <f t="shared" si="2"/>
        <v>2536000</v>
      </c>
      <c r="O11" s="28">
        <f>MIN(H11,I11,M11,K11)</f>
        <v>529682</v>
      </c>
      <c r="P11" s="26">
        <f t="shared" si="3"/>
        <v>613166.49603293883</v>
      </c>
      <c r="Q11" s="28">
        <f t="shared" si="4"/>
        <v>621409.75</v>
      </c>
      <c r="R11" s="26">
        <f t="shared" si="5"/>
        <v>617248.97969093511</v>
      </c>
      <c r="S11" s="25">
        <f t="shared" si="6"/>
        <v>83636.004991371199</v>
      </c>
      <c r="T11" s="29">
        <f t="shared" si="7"/>
        <v>0.13459075109679433</v>
      </c>
      <c r="U11" s="28">
        <f>P11</f>
        <v>613166.49603293883</v>
      </c>
      <c r="V11" s="28">
        <f t="shared" ref="V11:V15" si="12">O11</f>
        <v>529682</v>
      </c>
      <c r="W11" s="23" t="s">
        <v>29</v>
      </c>
      <c r="X11" s="30">
        <f t="shared" si="8"/>
        <v>529682</v>
      </c>
      <c r="Y11" s="30">
        <f t="shared" si="9"/>
        <v>2118728</v>
      </c>
    </row>
    <row r="12" spans="2:25" ht="42.75" customHeight="1" x14ac:dyDescent="0.25">
      <c r="B12" s="40" t="s">
        <v>4</v>
      </c>
      <c r="C12" s="78" t="s">
        <v>72</v>
      </c>
      <c r="D12" s="24" t="s">
        <v>1</v>
      </c>
      <c r="E12" s="77">
        <v>714</v>
      </c>
      <c r="F12" s="65">
        <v>5400</v>
      </c>
      <c r="G12" s="26">
        <f t="shared" si="10"/>
        <v>280.8</v>
      </c>
      <c r="H12" s="26">
        <f t="shared" si="11"/>
        <v>5680.8</v>
      </c>
      <c r="I12" s="27">
        <v>5714</v>
      </c>
      <c r="J12" s="27">
        <f t="shared" si="0"/>
        <v>4079796</v>
      </c>
      <c r="K12" s="27">
        <v>5900</v>
      </c>
      <c r="L12" s="27">
        <f t="shared" si="1"/>
        <v>4212600</v>
      </c>
      <c r="M12" s="27">
        <v>6000</v>
      </c>
      <c r="N12" s="27">
        <f t="shared" si="2"/>
        <v>4284000</v>
      </c>
      <c r="O12" s="28">
        <f t="shared" ref="O12:O22" si="13">MIN(H12,I12,M12,K12)</f>
        <v>5680.8</v>
      </c>
      <c r="P12" s="26">
        <f t="shared" si="3"/>
        <v>5820.7345817158739</v>
      </c>
      <c r="Q12" s="28">
        <f t="shared" si="4"/>
        <v>5823.7</v>
      </c>
      <c r="R12" s="26">
        <f t="shared" si="5"/>
        <v>5822.2151422164634</v>
      </c>
      <c r="S12" s="25">
        <f t="shared" si="6"/>
        <v>152.05029869531108</v>
      </c>
      <c r="T12" s="29">
        <f t="shared" si="7"/>
        <v>2.6108882445062605E-2</v>
      </c>
      <c r="U12" s="28">
        <f t="shared" ref="U12:U13" si="14">R12</f>
        <v>5822.2151422164634</v>
      </c>
      <c r="V12" s="28">
        <f t="shared" si="12"/>
        <v>5680.8</v>
      </c>
      <c r="W12" s="23" t="s">
        <v>29</v>
      </c>
      <c r="X12" s="30">
        <f t="shared" si="8"/>
        <v>5681</v>
      </c>
      <c r="Y12" s="30">
        <f t="shared" si="9"/>
        <v>4056091.2</v>
      </c>
    </row>
    <row r="13" spans="2:25" ht="42" customHeight="1" x14ac:dyDescent="0.25">
      <c r="B13" s="40" t="s">
        <v>5</v>
      </c>
      <c r="C13" s="78" t="s">
        <v>82</v>
      </c>
      <c r="D13" s="24" t="s">
        <v>1</v>
      </c>
      <c r="E13" s="77">
        <v>12</v>
      </c>
      <c r="F13" s="65">
        <v>102100</v>
      </c>
      <c r="G13" s="26">
        <f t="shared" si="10"/>
        <v>5309.2000000000007</v>
      </c>
      <c r="H13" s="26">
        <f t="shared" si="11"/>
        <v>107409.2</v>
      </c>
      <c r="I13" s="27">
        <v>135714</v>
      </c>
      <c r="J13" s="27">
        <f t="shared" si="0"/>
        <v>1628568</v>
      </c>
      <c r="K13" s="27">
        <v>149100</v>
      </c>
      <c r="L13" s="27">
        <f t="shared" si="1"/>
        <v>1789200</v>
      </c>
      <c r="M13" s="27">
        <v>142000</v>
      </c>
      <c r="N13" s="27">
        <f t="shared" si="2"/>
        <v>1704000</v>
      </c>
      <c r="O13" s="28">
        <f t="shared" si="13"/>
        <v>107409.2</v>
      </c>
      <c r="P13" s="26">
        <f t="shared" si="3"/>
        <v>131458.78519404231</v>
      </c>
      <c r="Q13" s="28">
        <f t="shared" si="4"/>
        <v>133555.79999999999</v>
      </c>
      <c r="R13" s="26">
        <f t="shared" si="5"/>
        <v>132543.37658207148</v>
      </c>
      <c r="S13" s="25">
        <f t="shared" si="6"/>
        <v>18268.636019874946</v>
      </c>
      <c r="T13" s="29">
        <f t="shared" si="7"/>
        <v>0.13678654180406202</v>
      </c>
      <c r="U13" s="28">
        <f t="shared" si="14"/>
        <v>132543.37658207148</v>
      </c>
      <c r="V13" s="28">
        <f t="shared" si="12"/>
        <v>107409.2</v>
      </c>
      <c r="W13" s="23" t="s">
        <v>29</v>
      </c>
      <c r="X13" s="30">
        <f t="shared" si="8"/>
        <v>107409</v>
      </c>
      <c r="Y13" s="30">
        <f t="shared" si="9"/>
        <v>1288910.3999999999</v>
      </c>
    </row>
    <row r="14" spans="2:25" ht="57" customHeight="1" x14ac:dyDescent="0.25">
      <c r="B14" s="40" t="s">
        <v>6</v>
      </c>
      <c r="C14" s="78" t="s">
        <v>73</v>
      </c>
      <c r="D14" s="24" t="s">
        <v>1</v>
      </c>
      <c r="E14" s="77">
        <v>12</v>
      </c>
      <c r="F14" s="65">
        <v>29500</v>
      </c>
      <c r="G14" s="26">
        <f t="shared" si="10"/>
        <v>1534.0000000000002</v>
      </c>
      <c r="H14" s="26">
        <f t="shared" si="11"/>
        <v>31034</v>
      </c>
      <c r="I14" s="27">
        <v>28571</v>
      </c>
      <c r="J14" s="27">
        <f t="shared" si="0"/>
        <v>342852</v>
      </c>
      <c r="K14" s="27">
        <v>35700</v>
      </c>
      <c r="L14" s="27">
        <f t="shared" si="1"/>
        <v>428400</v>
      </c>
      <c r="M14" s="27">
        <v>31000</v>
      </c>
      <c r="N14" s="27">
        <f t="shared" si="2"/>
        <v>372000</v>
      </c>
      <c r="O14" s="28">
        <f t="shared" si="13"/>
        <v>28571</v>
      </c>
      <c r="P14" s="26">
        <f t="shared" si="3"/>
        <v>31374.390272975677</v>
      </c>
      <c r="Q14" s="28">
        <f t="shared" si="4"/>
        <v>31576.25</v>
      </c>
      <c r="R14" s="26">
        <f t="shared" si="5"/>
        <v>31473.73448328939</v>
      </c>
      <c r="S14" s="25">
        <f t="shared" si="6"/>
        <v>2981.2156776500869</v>
      </c>
      <c r="T14" s="29">
        <f t="shared" si="7"/>
        <v>9.4413227588775961E-2</v>
      </c>
      <c r="U14" s="28">
        <f>P14</f>
        <v>31374.390272975677</v>
      </c>
      <c r="V14" s="28">
        <f t="shared" si="12"/>
        <v>28571</v>
      </c>
      <c r="W14" s="23" t="s">
        <v>29</v>
      </c>
      <c r="X14" s="30">
        <f t="shared" si="8"/>
        <v>28571</v>
      </c>
      <c r="Y14" s="30">
        <f t="shared" si="9"/>
        <v>342852</v>
      </c>
    </row>
    <row r="15" spans="2:25" ht="72.599999999999994" customHeight="1" x14ac:dyDescent="0.25">
      <c r="B15" s="40" t="s">
        <v>7</v>
      </c>
      <c r="C15" s="78" t="s">
        <v>74</v>
      </c>
      <c r="D15" s="24" t="s">
        <v>1</v>
      </c>
      <c r="E15" s="77">
        <v>5</v>
      </c>
      <c r="F15" s="65">
        <v>372900</v>
      </c>
      <c r="G15" s="26">
        <f t="shared" si="10"/>
        <v>19390.800000000003</v>
      </c>
      <c r="H15" s="26">
        <f t="shared" si="11"/>
        <v>392290.8</v>
      </c>
      <c r="I15" s="27">
        <v>421429</v>
      </c>
      <c r="J15" s="27">
        <f t="shared" si="0"/>
        <v>2107145</v>
      </c>
      <c r="K15" s="27">
        <v>532200</v>
      </c>
      <c r="L15" s="27">
        <f t="shared" si="1"/>
        <v>2661000</v>
      </c>
      <c r="M15" s="27">
        <v>451000</v>
      </c>
      <c r="N15" s="27">
        <f t="shared" si="2"/>
        <v>2255000</v>
      </c>
      <c r="O15" s="28">
        <f t="shared" si="13"/>
        <v>392290.8</v>
      </c>
      <c r="P15" s="26">
        <f t="shared" si="3"/>
        <v>443542.76767091162</v>
      </c>
      <c r="Q15" s="28">
        <f t="shared" si="4"/>
        <v>449229.95</v>
      </c>
      <c r="R15" s="26">
        <f t="shared" si="5"/>
        <v>446319.62984741264</v>
      </c>
      <c r="S15" s="25">
        <f t="shared" si="6"/>
        <v>60283.004508263642</v>
      </c>
      <c r="T15" s="29">
        <f t="shared" si="7"/>
        <v>0.13419186434088742</v>
      </c>
      <c r="U15" s="28">
        <f>P15</f>
        <v>443542.76767091162</v>
      </c>
      <c r="V15" s="28">
        <f t="shared" si="12"/>
        <v>392290.8</v>
      </c>
      <c r="W15" s="23" t="s">
        <v>29</v>
      </c>
      <c r="X15" s="30">
        <f t="shared" si="8"/>
        <v>392291</v>
      </c>
      <c r="Y15" s="30">
        <f t="shared" si="9"/>
        <v>1961454</v>
      </c>
    </row>
    <row r="16" spans="2:25" ht="70.8" customHeight="1" x14ac:dyDescent="0.25">
      <c r="B16" s="40" t="s">
        <v>8</v>
      </c>
      <c r="C16" s="78" t="s">
        <v>75</v>
      </c>
      <c r="D16" s="24" t="s">
        <v>1</v>
      </c>
      <c r="E16" s="77">
        <v>200</v>
      </c>
      <c r="F16" s="65">
        <v>5700</v>
      </c>
      <c r="G16" s="26">
        <f t="shared" si="10"/>
        <v>296.40000000000003</v>
      </c>
      <c r="H16" s="26">
        <f t="shared" si="11"/>
        <v>5996.4</v>
      </c>
      <c r="I16" s="27">
        <v>7857</v>
      </c>
      <c r="J16" s="27">
        <f t="shared" si="0"/>
        <v>1571400</v>
      </c>
      <c r="K16" s="27">
        <v>10400</v>
      </c>
      <c r="L16" s="27">
        <f t="shared" si="1"/>
        <v>2080000</v>
      </c>
      <c r="M16" s="27">
        <v>9000</v>
      </c>
      <c r="N16" s="27">
        <f t="shared" si="2"/>
        <v>1800000</v>
      </c>
      <c r="O16" s="28">
        <f t="shared" si="13"/>
        <v>5996.4</v>
      </c>
      <c r="P16" s="26">
        <f t="shared" si="3"/>
        <v>7979.1468932531316</v>
      </c>
      <c r="Q16" s="28">
        <f t="shared" si="4"/>
        <v>8313.35</v>
      </c>
      <c r="R16" s="26">
        <f t="shared" si="5"/>
        <v>8149.0277993034269</v>
      </c>
      <c r="S16" s="25">
        <f t="shared" si="6"/>
        <v>1862.0874549816338</v>
      </c>
      <c r="T16" s="29">
        <f t="shared" si="7"/>
        <v>0.22398761690312974</v>
      </c>
      <c r="U16" s="28">
        <f t="shared" ref="U16:U17" si="15">R16</f>
        <v>8149.0277993034269</v>
      </c>
      <c r="V16" s="28">
        <f>P16</f>
        <v>7979.1468932531316</v>
      </c>
      <c r="W16" s="23" t="s">
        <v>30</v>
      </c>
      <c r="X16" s="30">
        <f t="shared" si="8"/>
        <v>7979</v>
      </c>
      <c r="Y16" s="30">
        <f t="shared" si="9"/>
        <v>1595829.3786506264</v>
      </c>
    </row>
    <row r="17" spans="2:26" ht="64.8" customHeight="1" x14ac:dyDescent="0.25">
      <c r="B17" s="40" t="s">
        <v>9</v>
      </c>
      <c r="C17" s="78" t="s">
        <v>76</v>
      </c>
      <c r="D17" s="24" t="s">
        <v>1</v>
      </c>
      <c r="E17" s="77">
        <v>31</v>
      </c>
      <c r="F17" s="65">
        <v>19400</v>
      </c>
      <c r="G17" s="26">
        <f t="shared" si="10"/>
        <v>1008.8000000000001</v>
      </c>
      <c r="H17" s="26">
        <f t="shared" si="11"/>
        <v>20408.8</v>
      </c>
      <c r="I17" s="27">
        <v>15143</v>
      </c>
      <c r="J17" s="27">
        <f t="shared" si="0"/>
        <v>469433</v>
      </c>
      <c r="K17" s="27">
        <v>15700</v>
      </c>
      <c r="L17" s="27">
        <f t="shared" si="1"/>
        <v>486700</v>
      </c>
      <c r="M17" s="27">
        <v>16000</v>
      </c>
      <c r="N17" s="27">
        <f t="shared" si="2"/>
        <v>496000</v>
      </c>
      <c r="O17" s="28">
        <f t="shared" si="13"/>
        <v>15143</v>
      </c>
      <c r="P17" s="26">
        <f>HARMEAN(H17,I17,K17)</f>
        <v>16785.108770530263</v>
      </c>
      <c r="Q17" s="28">
        <f>AVERAGE(H17,I17,K17)</f>
        <v>17083.933333333334</v>
      </c>
      <c r="R17" s="26">
        <f>GEOMEAN(H17,I17,K17)</f>
        <v>16929.456461360074</v>
      </c>
      <c r="S17" s="25">
        <f>STDEVA(H17,I17,K17)</f>
        <v>2892.8560305230058</v>
      </c>
      <c r="T17" s="29">
        <f t="shared" si="7"/>
        <v>0.16933196671275969</v>
      </c>
      <c r="U17" s="28">
        <f t="shared" si="15"/>
        <v>16929.456461360074</v>
      </c>
      <c r="V17" s="28">
        <f t="shared" ref="V17:V20" si="16">O17</f>
        <v>15143</v>
      </c>
      <c r="W17" s="23" t="s">
        <v>29</v>
      </c>
      <c r="X17" s="30">
        <f t="shared" si="8"/>
        <v>15143</v>
      </c>
      <c r="Y17" s="30">
        <f t="shared" si="9"/>
        <v>469433</v>
      </c>
    </row>
    <row r="18" spans="2:26" ht="19.2" customHeight="1" x14ac:dyDescent="0.25">
      <c r="B18" s="40" t="s">
        <v>10</v>
      </c>
      <c r="C18" s="78" t="s">
        <v>77</v>
      </c>
      <c r="D18" s="24" t="s">
        <v>1</v>
      </c>
      <c r="E18" s="77">
        <v>39</v>
      </c>
      <c r="F18" s="65">
        <v>382500</v>
      </c>
      <c r="G18" s="26">
        <f t="shared" si="10"/>
        <v>19890</v>
      </c>
      <c r="H18" s="26">
        <f t="shared" si="11"/>
        <v>402390</v>
      </c>
      <c r="I18" s="27">
        <v>457143</v>
      </c>
      <c r="J18" s="27">
        <f t="shared" si="0"/>
        <v>17828577</v>
      </c>
      <c r="K18" s="27">
        <v>513500</v>
      </c>
      <c r="L18" s="27">
        <f t="shared" si="1"/>
        <v>20026500</v>
      </c>
      <c r="M18" s="27">
        <v>489000</v>
      </c>
      <c r="N18" s="27">
        <f t="shared" si="2"/>
        <v>19071000</v>
      </c>
      <c r="O18" s="28">
        <f t="shared" si="13"/>
        <v>402390</v>
      </c>
      <c r="P18" s="26">
        <f t="shared" si="3"/>
        <v>461624.04050051206</v>
      </c>
      <c r="Q18" s="28">
        <f t="shared" si="4"/>
        <v>465508.25</v>
      </c>
      <c r="R18" s="26">
        <f t="shared" si="5"/>
        <v>463593.2886035972</v>
      </c>
      <c r="S18" s="25">
        <f t="shared" si="6"/>
        <v>47989.447717701441</v>
      </c>
      <c r="T18" s="29">
        <f>S18/Q18</f>
        <v>0.10309043441808269</v>
      </c>
      <c r="U18" s="28">
        <f>Q18</f>
        <v>465508.25</v>
      </c>
      <c r="V18" s="28">
        <f t="shared" si="16"/>
        <v>402390</v>
      </c>
      <c r="W18" s="23" t="s">
        <v>29</v>
      </c>
      <c r="X18" s="30">
        <f t="shared" si="8"/>
        <v>402390</v>
      </c>
      <c r="Y18" s="30">
        <f t="shared" si="9"/>
        <v>15693210</v>
      </c>
    </row>
    <row r="19" spans="2:26" ht="94.8" customHeight="1" x14ac:dyDescent="0.25">
      <c r="B19" s="40" t="s">
        <v>11</v>
      </c>
      <c r="C19" s="51" t="s">
        <v>78</v>
      </c>
      <c r="D19" s="24" t="s">
        <v>1</v>
      </c>
      <c r="E19" s="77">
        <v>19</v>
      </c>
      <c r="F19" s="65">
        <v>1900</v>
      </c>
      <c r="G19" s="26">
        <f t="shared" si="10"/>
        <v>98.800000000000011</v>
      </c>
      <c r="H19" s="26">
        <f t="shared" si="11"/>
        <v>1998.8</v>
      </c>
      <c r="I19" s="27">
        <v>2143</v>
      </c>
      <c r="J19" s="27">
        <f t="shared" si="0"/>
        <v>40717</v>
      </c>
      <c r="K19" s="27">
        <v>2300</v>
      </c>
      <c r="L19" s="27">
        <f t="shared" si="1"/>
        <v>43700</v>
      </c>
      <c r="M19" s="27">
        <v>2000</v>
      </c>
      <c r="N19" s="27">
        <f t="shared" si="2"/>
        <v>38000</v>
      </c>
      <c r="O19" s="28">
        <f t="shared" si="13"/>
        <v>1998.8</v>
      </c>
      <c r="P19" s="26">
        <f t="shared" si="3"/>
        <v>2103.3608933216897</v>
      </c>
      <c r="Q19" s="28">
        <f t="shared" si="4"/>
        <v>2110.4499999999998</v>
      </c>
      <c r="R19" s="26">
        <f t="shared" si="5"/>
        <v>2106.868043347074</v>
      </c>
      <c r="S19" s="25">
        <f t="shared" si="6"/>
        <v>143.35693216583564</v>
      </c>
      <c r="T19" s="29">
        <f t="shared" si="7"/>
        <v>6.7927187171378453E-2</v>
      </c>
      <c r="U19" s="28">
        <f>P19</f>
        <v>2103.3608933216897</v>
      </c>
      <c r="V19" s="28">
        <f t="shared" si="16"/>
        <v>1998.8</v>
      </c>
      <c r="W19" s="23" t="s">
        <v>29</v>
      </c>
      <c r="X19" s="30">
        <f t="shared" si="8"/>
        <v>1999</v>
      </c>
      <c r="Y19" s="30">
        <f t="shared" si="9"/>
        <v>37977.199999999997</v>
      </c>
    </row>
    <row r="20" spans="2:26" ht="91.5" customHeight="1" x14ac:dyDescent="0.25">
      <c r="B20" s="40" t="s">
        <v>12</v>
      </c>
      <c r="C20" s="78" t="s">
        <v>79</v>
      </c>
      <c r="D20" s="24" t="s">
        <v>1</v>
      </c>
      <c r="E20" s="77">
        <v>37</v>
      </c>
      <c r="F20" s="65">
        <v>18500</v>
      </c>
      <c r="G20" s="26">
        <f t="shared" si="10"/>
        <v>962.00000000000011</v>
      </c>
      <c r="H20" s="26">
        <f t="shared" si="11"/>
        <v>19462</v>
      </c>
      <c r="I20" s="27">
        <v>14286</v>
      </c>
      <c r="J20" s="27">
        <f t="shared" si="0"/>
        <v>528582</v>
      </c>
      <c r="K20" s="27">
        <v>18900</v>
      </c>
      <c r="L20" s="27">
        <f t="shared" si="1"/>
        <v>699300</v>
      </c>
      <c r="M20" s="27">
        <v>16000</v>
      </c>
      <c r="N20" s="27">
        <f t="shared" si="2"/>
        <v>592000</v>
      </c>
      <c r="O20" s="28">
        <f t="shared" si="13"/>
        <v>14286</v>
      </c>
      <c r="P20" s="26">
        <f t="shared" si="3"/>
        <v>16892.545793365422</v>
      </c>
      <c r="Q20" s="28">
        <f t="shared" si="4"/>
        <v>17162</v>
      </c>
      <c r="R20" s="26">
        <f t="shared" si="5"/>
        <v>17028.248336350782</v>
      </c>
      <c r="S20" s="25">
        <f t="shared" si="6"/>
        <v>2444.8765476672506</v>
      </c>
      <c r="T20" s="29">
        <f t="shared" si="7"/>
        <v>0.14245871971024651</v>
      </c>
      <c r="U20" s="28">
        <f t="shared" ref="U20:U22" si="17">R20</f>
        <v>17028.248336350782</v>
      </c>
      <c r="V20" s="28">
        <f t="shared" si="16"/>
        <v>14286</v>
      </c>
      <c r="W20" s="23" t="s">
        <v>29</v>
      </c>
      <c r="X20" s="30">
        <f t="shared" si="8"/>
        <v>14286</v>
      </c>
      <c r="Y20" s="30">
        <f t="shared" si="9"/>
        <v>528582</v>
      </c>
    </row>
    <row r="21" spans="2:26" ht="27.6" customHeight="1" x14ac:dyDescent="0.25">
      <c r="B21" s="40" t="s">
        <v>13</v>
      </c>
      <c r="C21" s="78" t="s">
        <v>80</v>
      </c>
      <c r="D21" s="24" t="s">
        <v>1</v>
      </c>
      <c r="E21" s="77">
        <v>5</v>
      </c>
      <c r="F21" s="65">
        <v>255200</v>
      </c>
      <c r="G21" s="26">
        <f t="shared" si="10"/>
        <v>13270.400000000001</v>
      </c>
      <c r="H21" s="26">
        <f t="shared" si="11"/>
        <v>268470.40000000002</v>
      </c>
      <c r="I21" s="27">
        <v>442857</v>
      </c>
      <c r="J21" s="27">
        <f t="shared" si="0"/>
        <v>2214285</v>
      </c>
      <c r="K21" s="27">
        <v>534800</v>
      </c>
      <c r="L21" s="27">
        <f t="shared" si="1"/>
        <v>2674000</v>
      </c>
      <c r="M21" s="27">
        <v>465000</v>
      </c>
      <c r="N21" s="27">
        <f t="shared" si="2"/>
        <v>2325000</v>
      </c>
      <c r="O21" s="28">
        <f t="shared" si="13"/>
        <v>268470.40000000002</v>
      </c>
      <c r="P21" s="26">
        <f t="shared" si="3"/>
        <v>399869.39522150328</v>
      </c>
      <c r="Q21" s="28">
        <f t="shared" si="4"/>
        <v>427781.85</v>
      </c>
      <c r="R21" s="26">
        <f t="shared" si="5"/>
        <v>414668.52198428335</v>
      </c>
      <c r="S21" s="25">
        <f t="shared" si="6"/>
        <v>113204.05376644734</v>
      </c>
      <c r="T21" s="29">
        <f t="shared" si="7"/>
        <v>0.26463033381721862</v>
      </c>
      <c r="U21" s="28">
        <f t="shared" si="17"/>
        <v>414668.52198428335</v>
      </c>
      <c r="V21" s="28">
        <f t="shared" ref="V21:V22" si="18">P21</f>
        <v>399869.39522150328</v>
      </c>
      <c r="W21" s="23" t="s">
        <v>30</v>
      </c>
      <c r="X21" s="30">
        <f t="shared" si="8"/>
        <v>399869</v>
      </c>
      <c r="Y21" s="30">
        <f t="shared" si="9"/>
        <v>1999346.9761075163</v>
      </c>
    </row>
    <row r="22" spans="2:26" ht="36.75" customHeight="1" x14ac:dyDescent="0.25">
      <c r="B22" s="40" t="s">
        <v>14</v>
      </c>
      <c r="C22" s="78" t="s">
        <v>81</v>
      </c>
      <c r="D22" s="24" t="s">
        <v>1</v>
      </c>
      <c r="E22" s="77">
        <v>2</v>
      </c>
      <c r="F22" s="65" t="s">
        <v>28</v>
      </c>
      <c r="G22" s="26" t="s">
        <v>28</v>
      </c>
      <c r="H22" s="56" t="s">
        <v>28</v>
      </c>
      <c r="I22" s="57">
        <v>45714</v>
      </c>
      <c r="J22" s="27">
        <f t="shared" si="0"/>
        <v>91428</v>
      </c>
      <c r="K22" s="57">
        <v>48000</v>
      </c>
      <c r="L22" s="27">
        <f t="shared" si="1"/>
        <v>96000</v>
      </c>
      <c r="M22" s="57">
        <v>49000</v>
      </c>
      <c r="N22" s="27">
        <f t="shared" si="2"/>
        <v>98000</v>
      </c>
      <c r="O22" s="28">
        <f t="shared" si="13"/>
        <v>45714</v>
      </c>
      <c r="P22" s="26">
        <f t="shared" si="3"/>
        <v>47531.05231189265</v>
      </c>
      <c r="Q22" s="28">
        <f t="shared" si="4"/>
        <v>47571.333333333336</v>
      </c>
      <c r="R22" s="26">
        <f t="shared" si="5"/>
        <v>47551.276556532772</v>
      </c>
      <c r="S22" s="25">
        <f t="shared" si="6"/>
        <v>23825.395043944183</v>
      </c>
      <c r="T22" s="29">
        <f t="shared" si="7"/>
        <v>0.50083513272581914</v>
      </c>
      <c r="U22" s="28">
        <f t="shared" si="17"/>
        <v>47551.276556532772</v>
      </c>
      <c r="V22" s="28">
        <f t="shared" si="18"/>
        <v>47531.05231189265</v>
      </c>
      <c r="W22" s="23" t="s">
        <v>30</v>
      </c>
      <c r="X22" s="30">
        <f t="shared" si="8"/>
        <v>47531</v>
      </c>
      <c r="Y22" s="30">
        <f t="shared" si="9"/>
        <v>95062.104623785301</v>
      </c>
    </row>
    <row r="23" spans="2:26" ht="26.25" customHeight="1" x14ac:dyDescent="0.25">
      <c r="B23" s="40" t="s">
        <v>2</v>
      </c>
      <c r="C23" s="76" t="s">
        <v>57</v>
      </c>
      <c r="D23" s="24"/>
      <c r="E23" s="25"/>
      <c r="F23" s="26"/>
      <c r="G23" s="26"/>
      <c r="H23" s="26"/>
      <c r="I23" s="27"/>
      <c r="J23" s="27"/>
      <c r="K23" s="27"/>
      <c r="L23" s="27"/>
      <c r="M23" s="27"/>
      <c r="N23" s="27"/>
      <c r="O23" s="28"/>
      <c r="P23" s="26"/>
      <c r="Q23" s="28"/>
      <c r="R23" s="26"/>
      <c r="S23" s="25"/>
      <c r="T23" s="29"/>
      <c r="U23" s="28"/>
      <c r="V23" s="28"/>
      <c r="W23" s="23"/>
      <c r="X23" s="30"/>
      <c r="Y23" s="30">
        <f t="shared" si="9"/>
        <v>0</v>
      </c>
    </row>
    <row r="24" spans="2:26" ht="57.6" customHeight="1" x14ac:dyDescent="0.25">
      <c r="B24" s="40" t="s">
        <v>15</v>
      </c>
      <c r="C24" s="48" t="s">
        <v>88</v>
      </c>
      <c r="D24" s="24" t="s">
        <v>1</v>
      </c>
      <c r="E24" s="77">
        <v>132</v>
      </c>
      <c r="F24" s="26">
        <v>34700</v>
      </c>
      <c r="G24" s="26">
        <f t="shared" si="10"/>
        <v>1804.4</v>
      </c>
      <c r="H24" s="26">
        <f t="shared" si="11"/>
        <v>36504.400000000001</v>
      </c>
      <c r="I24" s="27">
        <v>35714</v>
      </c>
      <c r="J24" s="27">
        <f t="shared" si="0"/>
        <v>4714248</v>
      </c>
      <c r="K24" s="27">
        <v>39900</v>
      </c>
      <c r="L24" s="27">
        <f t="shared" si="1"/>
        <v>5266800</v>
      </c>
      <c r="M24" s="27">
        <v>38000</v>
      </c>
      <c r="N24" s="27">
        <f t="shared" si="2"/>
        <v>5016000</v>
      </c>
      <c r="O24" s="28">
        <f>MIN(H24,I24,M24,K24)</f>
        <v>35714</v>
      </c>
      <c r="P24" s="26">
        <f t="shared" si="3"/>
        <v>37462.784900639039</v>
      </c>
      <c r="Q24" s="28">
        <f t="shared" si="4"/>
        <v>37529.599999999999</v>
      </c>
      <c r="R24" s="26">
        <f t="shared" si="5"/>
        <v>37496.00947883859</v>
      </c>
      <c r="S24" s="25">
        <f t="shared" si="6"/>
        <v>1842.7796685080573</v>
      </c>
      <c r="T24" s="29">
        <f t="shared" si="7"/>
        <v>4.9102033288605726E-2</v>
      </c>
      <c r="U24" s="28">
        <f t="shared" ref="U24:U26" si="19">R24</f>
        <v>37496.00947883859</v>
      </c>
      <c r="V24" s="28">
        <f t="shared" ref="V24:V30" si="20">O24</f>
        <v>35714</v>
      </c>
      <c r="W24" s="23" t="s">
        <v>29</v>
      </c>
      <c r="X24" s="30">
        <f t="shared" si="8"/>
        <v>35714</v>
      </c>
      <c r="Y24" s="30">
        <f t="shared" si="9"/>
        <v>4714248</v>
      </c>
    </row>
    <row r="25" spans="2:26" ht="62.4" customHeight="1" x14ac:dyDescent="0.25">
      <c r="B25" s="40" t="s">
        <v>16</v>
      </c>
      <c r="C25" s="49" t="s">
        <v>59</v>
      </c>
      <c r="D25" s="24" t="s">
        <v>1</v>
      </c>
      <c r="E25" s="77">
        <v>35</v>
      </c>
      <c r="F25" s="26">
        <v>119900</v>
      </c>
      <c r="G25" s="26">
        <f t="shared" si="10"/>
        <v>6234.8</v>
      </c>
      <c r="H25" s="26">
        <f t="shared" si="11"/>
        <v>126134.8</v>
      </c>
      <c r="I25" s="27">
        <v>130000</v>
      </c>
      <c r="J25" s="27">
        <f t="shared" si="0"/>
        <v>4550000</v>
      </c>
      <c r="K25" s="27">
        <v>164500</v>
      </c>
      <c r="L25" s="27">
        <f t="shared" si="1"/>
        <v>5757500</v>
      </c>
      <c r="M25" s="27">
        <v>143000</v>
      </c>
      <c r="N25" s="27">
        <f t="shared" si="2"/>
        <v>5005000</v>
      </c>
      <c r="O25" s="28">
        <f>MIN(H25,I25,M25,K25)</f>
        <v>126134.8</v>
      </c>
      <c r="P25" s="26">
        <f t="shared" si="3"/>
        <v>139409.89344104574</v>
      </c>
      <c r="Q25" s="28">
        <f t="shared" si="4"/>
        <v>140908.70000000001</v>
      </c>
      <c r="R25" s="26">
        <f t="shared" si="5"/>
        <v>140142.56232567938</v>
      </c>
      <c r="S25" s="25">
        <f t="shared" si="6"/>
        <v>17303.090555158047</v>
      </c>
      <c r="T25" s="29">
        <f t="shared" si="7"/>
        <v>0.12279646718164347</v>
      </c>
      <c r="U25" s="28">
        <f t="shared" si="19"/>
        <v>140142.56232567938</v>
      </c>
      <c r="V25" s="28">
        <f t="shared" si="20"/>
        <v>126134.8</v>
      </c>
      <c r="W25" s="23" t="s">
        <v>29</v>
      </c>
      <c r="X25" s="30">
        <f t="shared" si="8"/>
        <v>126135</v>
      </c>
      <c r="Y25" s="30">
        <f t="shared" si="9"/>
        <v>4414718</v>
      </c>
    </row>
    <row r="26" spans="2:26" s="70" customFormat="1" ht="72" customHeight="1" x14ac:dyDescent="0.25">
      <c r="B26" s="40" t="s">
        <v>17</v>
      </c>
      <c r="C26" s="49" t="s">
        <v>83</v>
      </c>
      <c r="D26" s="66" t="s">
        <v>1</v>
      </c>
      <c r="E26" s="77">
        <v>1350</v>
      </c>
      <c r="F26" s="27">
        <v>20200</v>
      </c>
      <c r="G26" s="27">
        <f t="shared" si="10"/>
        <v>1050.4000000000001</v>
      </c>
      <c r="H26" s="26">
        <f t="shared" si="11"/>
        <v>21250.400000000001</v>
      </c>
      <c r="I26" s="27">
        <v>20714</v>
      </c>
      <c r="J26" s="27">
        <f t="shared" si="0"/>
        <v>27963900</v>
      </c>
      <c r="K26" s="27">
        <v>26000</v>
      </c>
      <c r="L26" s="27">
        <f t="shared" si="1"/>
        <v>35100000</v>
      </c>
      <c r="M26" s="27">
        <v>22000</v>
      </c>
      <c r="N26" s="27">
        <f t="shared" si="2"/>
        <v>29700000</v>
      </c>
      <c r="O26" s="68">
        <f t="shared" ref="O26:O30" si="21">MIN(H26,I26,M26,K26)</f>
        <v>20714</v>
      </c>
      <c r="P26" s="27">
        <f t="shared" si="3"/>
        <v>22315.133810751649</v>
      </c>
      <c r="Q26" s="68">
        <f t="shared" si="4"/>
        <v>22491.1</v>
      </c>
      <c r="R26" s="27">
        <f t="shared" si="5"/>
        <v>22400.451783576969</v>
      </c>
      <c r="S26" s="67">
        <f t="shared" si="6"/>
        <v>2397.9838281356274</v>
      </c>
      <c r="T26" s="69">
        <f t="shared" si="7"/>
        <v>0.10661923285813622</v>
      </c>
      <c r="U26" s="28">
        <f t="shared" si="19"/>
        <v>22400.451783576969</v>
      </c>
      <c r="V26" s="28">
        <f t="shared" si="20"/>
        <v>20714</v>
      </c>
      <c r="W26" s="23" t="s">
        <v>29</v>
      </c>
      <c r="X26" s="30">
        <f t="shared" si="8"/>
        <v>20714</v>
      </c>
      <c r="Y26" s="30">
        <f t="shared" si="9"/>
        <v>27963900</v>
      </c>
    </row>
    <row r="27" spans="2:26" ht="92.4" customHeight="1" x14ac:dyDescent="0.25">
      <c r="B27" s="40" t="s">
        <v>18</v>
      </c>
      <c r="C27" s="48" t="s">
        <v>60</v>
      </c>
      <c r="D27" s="24" t="s">
        <v>1</v>
      </c>
      <c r="E27" s="77">
        <v>4</v>
      </c>
      <c r="F27" s="65">
        <v>251400</v>
      </c>
      <c r="G27" s="27">
        <f t="shared" si="10"/>
        <v>13072.800000000001</v>
      </c>
      <c r="H27" s="26">
        <f t="shared" si="11"/>
        <v>264472.8</v>
      </c>
      <c r="I27" s="27">
        <v>264286</v>
      </c>
      <c r="J27" s="27">
        <f t="shared" si="0"/>
        <v>1057144</v>
      </c>
      <c r="K27" s="27">
        <v>325500</v>
      </c>
      <c r="L27" s="27">
        <f t="shared" si="1"/>
        <v>1302000</v>
      </c>
      <c r="M27" s="27">
        <v>283000</v>
      </c>
      <c r="N27" s="27">
        <f t="shared" si="2"/>
        <v>1132000</v>
      </c>
      <c r="O27" s="28">
        <f t="shared" si="21"/>
        <v>264286</v>
      </c>
      <c r="P27" s="26">
        <f t="shared" si="3"/>
        <v>282273.5249402597</v>
      </c>
      <c r="Q27" s="28">
        <f t="shared" si="4"/>
        <v>284314.7</v>
      </c>
      <c r="R27" s="26">
        <f t="shared" si="5"/>
        <v>283268.4132809107</v>
      </c>
      <c r="S27" s="25">
        <f t="shared" si="6"/>
        <v>28825.955847002428</v>
      </c>
      <c r="T27" s="29">
        <f t="shared" si="7"/>
        <v>0.101387497188863</v>
      </c>
      <c r="U27" s="28">
        <f>P27</f>
        <v>282273.5249402597</v>
      </c>
      <c r="V27" s="28">
        <f t="shared" si="20"/>
        <v>264286</v>
      </c>
      <c r="W27" s="23" t="s">
        <v>29</v>
      </c>
      <c r="X27" s="30">
        <f t="shared" si="8"/>
        <v>264286</v>
      </c>
      <c r="Y27" s="30">
        <f t="shared" si="9"/>
        <v>1057144</v>
      </c>
    </row>
    <row r="28" spans="2:26" ht="72" customHeight="1" x14ac:dyDescent="0.25">
      <c r="B28" s="40" t="s">
        <v>19</v>
      </c>
      <c r="C28" s="48" t="s">
        <v>84</v>
      </c>
      <c r="D28" s="24" t="s">
        <v>1</v>
      </c>
      <c r="E28" s="77">
        <v>16</v>
      </c>
      <c r="F28" s="26">
        <v>130400</v>
      </c>
      <c r="G28" s="26">
        <f t="shared" si="10"/>
        <v>6780.8</v>
      </c>
      <c r="H28" s="26">
        <f t="shared" si="11"/>
        <v>137180.79999999999</v>
      </c>
      <c r="I28" s="27">
        <v>140000</v>
      </c>
      <c r="J28" s="27">
        <f t="shared" si="0"/>
        <v>2240000</v>
      </c>
      <c r="K28" s="27">
        <v>147000</v>
      </c>
      <c r="L28" s="27">
        <f t="shared" si="1"/>
        <v>2352000</v>
      </c>
      <c r="M28" s="27">
        <v>150000</v>
      </c>
      <c r="N28" s="27">
        <f t="shared" si="2"/>
        <v>2400000</v>
      </c>
      <c r="O28" s="28">
        <f t="shared" si="21"/>
        <v>137180.79999999999</v>
      </c>
      <c r="P28" s="26">
        <f t="shared" si="3"/>
        <v>143359.4397151758</v>
      </c>
      <c r="Q28" s="28">
        <f t="shared" si="4"/>
        <v>143545.20000000001</v>
      </c>
      <c r="R28" s="26">
        <f t="shared" si="5"/>
        <v>143452.29154536873</v>
      </c>
      <c r="S28" s="25">
        <f t="shared" si="6"/>
        <v>5963.0561649767078</v>
      </c>
      <c r="T28" s="29">
        <f t="shared" si="7"/>
        <v>4.1541313572148054E-2</v>
      </c>
      <c r="U28" s="28">
        <f t="shared" ref="U28:U30" si="22">R28</f>
        <v>143452.29154536873</v>
      </c>
      <c r="V28" s="28">
        <f t="shared" si="20"/>
        <v>137180.79999999999</v>
      </c>
      <c r="W28" s="23" t="s">
        <v>29</v>
      </c>
      <c r="X28" s="30">
        <f t="shared" si="8"/>
        <v>137181</v>
      </c>
      <c r="Y28" s="30">
        <f t="shared" si="9"/>
        <v>2194892.7999999998</v>
      </c>
    </row>
    <row r="29" spans="2:26" ht="45" customHeight="1" x14ac:dyDescent="0.25">
      <c r="B29" s="40" t="s">
        <v>20</v>
      </c>
      <c r="C29" s="48" t="s">
        <v>61</v>
      </c>
      <c r="D29" s="24" t="s">
        <v>1</v>
      </c>
      <c r="E29" s="77">
        <v>90</v>
      </c>
      <c r="F29" s="26">
        <v>32300</v>
      </c>
      <c r="G29" s="26">
        <f t="shared" si="10"/>
        <v>1679.6000000000001</v>
      </c>
      <c r="H29" s="26">
        <f t="shared" si="11"/>
        <v>33979.599999999999</v>
      </c>
      <c r="I29" s="27">
        <v>27857</v>
      </c>
      <c r="J29" s="27">
        <f t="shared" si="0"/>
        <v>2507130</v>
      </c>
      <c r="K29" s="27">
        <v>32600</v>
      </c>
      <c r="L29" s="27">
        <f t="shared" si="1"/>
        <v>2934000</v>
      </c>
      <c r="M29" s="27">
        <v>31000</v>
      </c>
      <c r="N29" s="27">
        <f t="shared" si="2"/>
        <v>2790000</v>
      </c>
      <c r="O29" s="28">
        <f t="shared" si="21"/>
        <v>27857</v>
      </c>
      <c r="P29" s="26">
        <f t="shared" si="3"/>
        <v>31186.663422136728</v>
      </c>
      <c r="Q29" s="28">
        <f t="shared" si="4"/>
        <v>31359.15</v>
      </c>
      <c r="R29" s="26">
        <f t="shared" si="5"/>
        <v>31273.96710764111</v>
      </c>
      <c r="S29" s="25">
        <f t="shared" si="6"/>
        <v>2633.1546523767515</v>
      </c>
      <c r="T29" s="29">
        <f t="shared" si="7"/>
        <v>8.3967666610120215E-2</v>
      </c>
      <c r="U29" s="28">
        <f t="shared" si="22"/>
        <v>31273.96710764111</v>
      </c>
      <c r="V29" s="28">
        <f t="shared" si="20"/>
        <v>27857</v>
      </c>
      <c r="W29" s="23" t="s">
        <v>29</v>
      </c>
      <c r="X29" s="30">
        <f t="shared" si="8"/>
        <v>27857</v>
      </c>
      <c r="Y29" s="30">
        <f t="shared" si="9"/>
        <v>2507130</v>
      </c>
    </row>
    <row r="30" spans="2:26" ht="54" customHeight="1" x14ac:dyDescent="0.25">
      <c r="B30" s="40" t="s">
        <v>21</v>
      </c>
      <c r="C30" s="48" t="s">
        <v>85</v>
      </c>
      <c r="D30" s="24" t="s">
        <v>1</v>
      </c>
      <c r="E30" s="77">
        <v>5</v>
      </c>
      <c r="F30" s="26">
        <v>390000</v>
      </c>
      <c r="G30" s="26">
        <f t="shared" si="10"/>
        <v>20280</v>
      </c>
      <c r="H30" s="26">
        <f t="shared" si="11"/>
        <v>410280</v>
      </c>
      <c r="I30" s="27">
        <v>407143</v>
      </c>
      <c r="J30" s="27">
        <f t="shared" si="0"/>
        <v>2035715</v>
      </c>
      <c r="K30" s="27">
        <v>492200</v>
      </c>
      <c r="L30" s="27">
        <f t="shared" si="1"/>
        <v>2461000</v>
      </c>
      <c r="M30" s="27">
        <v>428000</v>
      </c>
      <c r="N30" s="27">
        <f t="shared" si="2"/>
        <v>2140000</v>
      </c>
      <c r="O30" s="28">
        <f t="shared" si="21"/>
        <v>407143</v>
      </c>
      <c r="P30" s="26">
        <f t="shared" si="3"/>
        <v>431888.84209341311</v>
      </c>
      <c r="Q30" s="28">
        <f t="shared" si="4"/>
        <v>434405.75</v>
      </c>
      <c r="R30" s="26">
        <f t="shared" si="5"/>
        <v>433114.94969849114</v>
      </c>
      <c r="S30" s="25">
        <f t="shared" si="6"/>
        <v>39608.577845167158</v>
      </c>
      <c r="T30" s="29">
        <f t="shared" si="7"/>
        <v>9.1178760514029011E-2</v>
      </c>
      <c r="U30" s="28">
        <f t="shared" si="22"/>
        <v>433114.94969849114</v>
      </c>
      <c r="V30" s="28">
        <f t="shared" si="20"/>
        <v>407143</v>
      </c>
      <c r="W30" s="23" t="s">
        <v>29</v>
      </c>
      <c r="X30" s="30">
        <f t="shared" si="8"/>
        <v>407143</v>
      </c>
      <c r="Y30" s="30">
        <f t="shared" si="9"/>
        <v>2035715</v>
      </c>
    </row>
    <row r="31" spans="2:26" ht="28.5" customHeight="1" x14ac:dyDescent="0.25">
      <c r="B31" s="50"/>
      <c r="C31" s="51"/>
      <c r="D31" s="47"/>
      <c r="E31" s="52"/>
      <c r="F31" s="53"/>
      <c r="G31" s="53"/>
      <c r="H31" s="53"/>
      <c r="I31" s="54"/>
      <c r="J31" s="54">
        <f>SUM(J9:J30)</f>
        <v>163827928</v>
      </c>
      <c r="K31" s="54"/>
      <c r="L31" s="54">
        <f>SUM(L9:L30)</f>
        <v>200783300</v>
      </c>
      <c r="M31" s="54"/>
      <c r="N31" s="54">
        <f>SUM(N9:N30)</f>
        <v>175072000</v>
      </c>
      <c r="O31" s="30"/>
      <c r="P31" s="53"/>
      <c r="Q31" s="30"/>
      <c r="R31" s="53"/>
      <c r="S31" s="52"/>
      <c r="T31" s="55"/>
      <c r="U31" s="31"/>
      <c r="V31" s="31"/>
      <c r="X31" s="30"/>
      <c r="Y31" s="31"/>
    </row>
    <row r="32" spans="2:26" ht="28.5" customHeight="1" x14ac:dyDescent="0.25">
      <c r="B32" s="50"/>
      <c r="C32" s="51"/>
      <c r="D32" s="47"/>
      <c r="E32" s="52"/>
      <c r="F32" s="53"/>
      <c r="G32" s="53"/>
      <c r="H32" s="53"/>
      <c r="I32" s="54"/>
      <c r="J32" s="54"/>
      <c r="K32" s="54"/>
      <c r="L32" s="54"/>
      <c r="M32" s="54"/>
      <c r="N32" s="54"/>
      <c r="O32" s="30"/>
      <c r="P32" s="53"/>
      <c r="Q32" s="30"/>
      <c r="R32" s="53"/>
      <c r="S32" s="52"/>
      <c r="T32" s="55"/>
      <c r="U32" s="31"/>
      <c r="V32" s="31"/>
      <c r="X32" s="30"/>
      <c r="Y32" s="31"/>
      <c r="Z32" s="55"/>
    </row>
    <row r="33" spans="8:26" x14ac:dyDescent="0.25">
      <c r="H33" s="31"/>
      <c r="J33" s="31"/>
      <c r="K33" s="31"/>
      <c r="L33" s="31"/>
      <c r="N33" s="31"/>
      <c r="X33" s="30"/>
      <c r="Z33" s="55"/>
    </row>
    <row r="34" spans="8:26" x14ac:dyDescent="0.25">
      <c r="X34" s="30"/>
    </row>
    <row r="37" spans="8:26" x14ac:dyDescent="0.25">
      <c r="J37" s="31"/>
      <c r="K37" s="31"/>
      <c r="L37" s="31"/>
    </row>
  </sheetData>
  <autoFilter ref="B7:T31" xr:uid="{00000000-0009-0000-0000-000000000000}"/>
  <mergeCells count="4">
    <mergeCell ref="I6:J6"/>
    <mergeCell ref="M6:N6"/>
    <mergeCell ref="B1:N4"/>
    <mergeCell ref="K6:L6"/>
  </mergeCells>
  <phoneticPr fontId="13" type="noConversion"/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B29"/>
  <sheetViews>
    <sheetView zoomScale="90" zoomScaleNormal="90" workbookViewId="0">
      <selection activeCell="E1" sqref="E1:Y1048576"/>
    </sheetView>
  </sheetViews>
  <sheetFormatPr baseColWidth="10" defaultColWidth="11.44140625" defaultRowHeight="13.8" x14ac:dyDescent="0.3"/>
  <cols>
    <col min="1" max="1" width="5.109375" style="34" customWidth="1"/>
    <col min="2" max="2" width="6.44140625" style="34" customWidth="1"/>
    <col min="3" max="3" width="46.88671875" style="34" customWidth="1"/>
    <col min="4" max="10" width="8" style="34" customWidth="1"/>
    <col min="11" max="11" width="11.44140625" style="34" customWidth="1"/>
    <col min="12" max="12" width="11.44140625" style="44" customWidth="1"/>
    <col min="13" max="13" width="7.33203125" style="34" customWidth="1"/>
    <col min="14" max="14" width="11.44140625" style="45" customWidth="1"/>
    <col min="15" max="15" width="8.109375" style="34" customWidth="1"/>
    <col min="16" max="16" width="12.88671875" style="45" customWidth="1"/>
    <col min="17" max="17" width="9.44140625" style="34" customWidth="1"/>
    <col min="18" max="18" width="11.44140625" style="34" customWidth="1"/>
    <col min="19" max="19" width="8.6640625" style="34" customWidth="1"/>
    <col min="20" max="22" width="11.109375" style="34" customWidth="1"/>
    <col min="23" max="24" width="11.44140625" style="34" customWidth="1"/>
    <col min="25" max="25" width="11.44140625" style="34"/>
    <col min="26" max="26" width="6.33203125" style="34" customWidth="1"/>
    <col min="27" max="27" width="11.44140625" style="34"/>
    <col min="28" max="28" width="7.88671875" style="34" customWidth="1"/>
    <col min="29" max="16384" width="11.44140625" style="34"/>
  </cols>
  <sheetData>
    <row r="2" spans="2:28" ht="27.6" x14ac:dyDescent="0.3">
      <c r="B2" s="32" t="s">
        <v>23</v>
      </c>
      <c r="C2" s="32" t="s">
        <v>22</v>
      </c>
      <c r="D2" s="33" t="s">
        <v>24</v>
      </c>
      <c r="E2" s="32" t="s">
        <v>25</v>
      </c>
      <c r="F2" s="1" t="s">
        <v>63</v>
      </c>
      <c r="G2" s="1" t="s">
        <v>38</v>
      </c>
      <c r="H2" s="1" t="s">
        <v>37</v>
      </c>
      <c r="I2" s="1" t="s">
        <v>65</v>
      </c>
      <c r="J2" s="1" t="s">
        <v>64</v>
      </c>
      <c r="K2" s="2" t="s">
        <v>39</v>
      </c>
      <c r="L2" s="3" t="s">
        <v>40</v>
      </c>
      <c r="M2" s="1" t="s">
        <v>63</v>
      </c>
      <c r="N2" s="82"/>
      <c r="O2" s="1" t="s">
        <v>38</v>
      </c>
      <c r="P2" s="82"/>
      <c r="Q2" s="1" t="s">
        <v>37</v>
      </c>
      <c r="R2" s="1"/>
      <c r="S2" s="1" t="s">
        <v>65</v>
      </c>
      <c r="T2" s="1"/>
      <c r="U2" s="1" t="s">
        <v>64</v>
      </c>
      <c r="V2" s="1"/>
      <c r="W2" s="4" t="s">
        <v>41</v>
      </c>
      <c r="Y2" s="89" t="s">
        <v>42</v>
      </c>
      <c r="Z2" s="90"/>
      <c r="AA2" s="90"/>
      <c r="AB2" s="91"/>
    </row>
    <row r="3" spans="2:28" ht="20.399999999999999" x14ac:dyDescent="0.3">
      <c r="B3" s="35" t="s">
        <v>0</v>
      </c>
      <c r="C3" s="20" t="s">
        <v>56</v>
      </c>
      <c r="D3" s="36"/>
      <c r="E3" s="37"/>
      <c r="F3" s="61"/>
      <c r="G3" s="61"/>
      <c r="H3" s="61"/>
      <c r="I3" s="61"/>
      <c r="J3" s="61"/>
      <c r="K3" s="58"/>
      <c r="L3" s="39"/>
      <c r="M3" s="38"/>
      <c r="N3" s="43"/>
      <c r="O3" s="38"/>
      <c r="P3" s="43"/>
      <c r="Q3" s="38"/>
      <c r="R3" s="38"/>
      <c r="S3" s="38"/>
      <c r="T3" s="38"/>
      <c r="U3" s="38"/>
      <c r="V3" s="38"/>
      <c r="W3" s="38"/>
      <c r="Y3" s="5" t="s">
        <v>43</v>
      </c>
      <c r="Z3" s="5" t="s">
        <v>44</v>
      </c>
      <c r="AA3" s="5" t="s">
        <v>45</v>
      </c>
      <c r="AB3" s="5" t="s">
        <v>44</v>
      </c>
    </row>
    <row r="4" spans="2:28" ht="132.6" x14ac:dyDescent="0.3">
      <c r="B4" s="40" t="s">
        <v>0</v>
      </c>
      <c r="C4" s="78" t="s">
        <v>69</v>
      </c>
      <c r="D4" s="41" t="s">
        <v>1</v>
      </c>
      <c r="E4" s="42">
        <v>286</v>
      </c>
      <c r="F4" s="62"/>
      <c r="G4" s="79">
        <v>50</v>
      </c>
      <c r="H4" s="79">
        <v>60</v>
      </c>
      <c r="I4" s="79">
        <v>120</v>
      </c>
      <c r="J4" s="79">
        <v>56</v>
      </c>
      <c r="K4" s="63">
        <f>F4+G4+H4+I4+J4</f>
        <v>286</v>
      </c>
      <c r="L4" s="43">
        <v>28571</v>
      </c>
      <c r="M4" s="38">
        <f>F4</f>
        <v>0</v>
      </c>
      <c r="N4" s="43">
        <f>M4*L4</f>
        <v>0</v>
      </c>
      <c r="O4" s="39">
        <v>40</v>
      </c>
      <c r="P4" s="43">
        <f>O4*L4</f>
        <v>1142840</v>
      </c>
      <c r="Q4" s="38">
        <v>29</v>
      </c>
      <c r="R4" s="39">
        <f>Q4*L4</f>
        <v>828559</v>
      </c>
      <c r="S4" s="39">
        <v>110</v>
      </c>
      <c r="T4" s="39">
        <f t="shared" ref="T4:T17" si="0">S4*L4</f>
        <v>3142810</v>
      </c>
      <c r="U4" s="39">
        <v>56</v>
      </c>
      <c r="V4" s="39">
        <f t="shared" ref="V4:V20" si="1">U4*L4</f>
        <v>1599976</v>
      </c>
      <c r="W4" s="39">
        <f>M4+O4+Q4+S4+U4</f>
        <v>235</v>
      </c>
      <c r="X4" s="43">
        <f>W4*L4</f>
        <v>6714185</v>
      </c>
      <c r="Y4" s="39">
        <f>W4</f>
        <v>235</v>
      </c>
      <c r="Z4" s="39">
        <f>+(Y4*100)/(Y4+AA4)</f>
        <v>82.167832167832174</v>
      </c>
      <c r="AA4" s="42">
        <f>+E4-W4</f>
        <v>51</v>
      </c>
      <c r="AB4" s="39">
        <f>100-Z4</f>
        <v>17.832167832167826</v>
      </c>
    </row>
    <row r="5" spans="2:28" ht="133.19999999999999" customHeight="1" x14ac:dyDescent="0.3">
      <c r="B5" s="40" t="s">
        <v>2</v>
      </c>
      <c r="C5" s="78" t="s">
        <v>70</v>
      </c>
      <c r="D5" s="41" t="s">
        <v>1</v>
      </c>
      <c r="E5" s="42">
        <v>82</v>
      </c>
      <c r="F5" s="62"/>
      <c r="G5" s="79">
        <v>80</v>
      </c>
      <c r="H5" s="79"/>
      <c r="I5" s="79"/>
      <c r="J5" s="79">
        <v>2</v>
      </c>
      <c r="K5" s="63">
        <f t="shared" ref="K5:K25" si="2">F5+G5+H5+I5+J5</f>
        <v>82</v>
      </c>
      <c r="L5" s="43">
        <v>1037488</v>
      </c>
      <c r="M5" s="38">
        <f t="shared" ref="M5:M25" si="3">F5</f>
        <v>0</v>
      </c>
      <c r="N5" s="43">
        <f t="shared" ref="N5:N25" si="4">M5*L5</f>
        <v>0</v>
      </c>
      <c r="O5" s="39">
        <v>3</v>
      </c>
      <c r="P5" s="43">
        <f t="shared" ref="P5:P25" si="5">O5*L5</f>
        <v>3112464</v>
      </c>
      <c r="Q5" s="38">
        <f t="shared" ref="Q5:Q24" si="6">H5</f>
        <v>0</v>
      </c>
      <c r="R5" s="39">
        <f t="shared" ref="R5:R25" si="7">Q5*L5</f>
        <v>0</v>
      </c>
      <c r="S5" s="39">
        <f t="shared" ref="S5:S25" si="8">I5</f>
        <v>0</v>
      </c>
      <c r="T5" s="39">
        <f t="shared" si="0"/>
        <v>0</v>
      </c>
      <c r="U5" s="39">
        <f t="shared" ref="U5:U25" si="9">J5</f>
        <v>2</v>
      </c>
      <c r="V5" s="39">
        <f t="shared" si="1"/>
        <v>2074976</v>
      </c>
      <c r="W5" s="39">
        <f t="shared" ref="W5:W25" si="10">M5+O5+Q5+S5+U5</f>
        <v>5</v>
      </c>
      <c r="X5" s="43">
        <f t="shared" ref="X5:X25" si="11">W5*L5</f>
        <v>5187440</v>
      </c>
      <c r="Y5" s="39">
        <f t="shared" ref="Y5:Y20" si="12">W5</f>
        <v>5</v>
      </c>
      <c r="Z5" s="39">
        <f t="shared" ref="Z5:Z20" si="13">+(Y5*100)/(Y5+AA5)</f>
        <v>6.0975609756097562</v>
      </c>
      <c r="AA5" s="42">
        <f t="shared" ref="AA5:AA20" si="14">+E5-W5</f>
        <v>77</v>
      </c>
      <c r="AB5" s="39">
        <f t="shared" ref="AB5:AB20" si="15">100-Z5</f>
        <v>93.902439024390247</v>
      </c>
    </row>
    <row r="6" spans="2:28" ht="132.6" x14ac:dyDescent="0.3">
      <c r="B6" s="40" t="s">
        <v>3</v>
      </c>
      <c r="C6" s="78" t="s">
        <v>71</v>
      </c>
      <c r="D6" s="41" t="s">
        <v>1</v>
      </c>
      <c r="E6" s="42">
        <v>4</v>
      </c>
      <c r="F6" s="62"/>
      <c r="G6" s="79"/>
      <c r="H6" s="79"/>
      <c r="I6" s="79">
        <v>4</v>
      </c>
      <c r="J6" s="80"/>
      <c r="K6" s="63">
        <f t="shared" si="2"/>
        <v>4</v>
      </c>
      <c r="L6" s="43">
        <v>529682</v>
      </c>
      <c r="M6" s="38">
        <f t="shared" si="3"/>
        <v>0</v>
      </c>
      <c r="N6" s="43">
        <f t="shared" si="4"/>
        <v>0</v>
      </c>
      <c r="O6" s="39">
        <f t="shared" ref="O6:O25" si="16">G6</f>
        <v>0</v>
      </c>
      <c r="P6" s="43">
        <f t="shared" si="5"/>
        <v>0</v>
      </c>
      <c r="Q6" s="38">
        <f t="shared" si="6"/>
        <v>0</v>
      </c>
      <c r="R6" s="39">
        <f t="shared" si="7"/>
        <v>0</v>
      </c>
      <c r="S6" s="39">
        <f t="shared" si="8"/>
        <v>4</v>
      </c>
      <c r="T6" s="39">
        <f t="shared" si="0"/>
        <v>2118728</v>
      </c>
      <c r="U6" s="39">
        <f t="shared" si="9"/>
        <v>0</v>
      </c>
      <c r="V6" s="39">
        <f t="shared" si="1"/>
        <v>0</v>
      </c>
      <c r="W6" s="39">
        <f t="shared" si="10"/>
        <v>4</v>
      </c>
      <c r="X6" s="43">
        <f t="shared" si="11"/>
        <v>2118728</v>
      </c>
      <c r="Y6" s="39">
        <f t="shared" si="12"/>
        <v>4</v>
      </c>
      <c r="Z6" s="39">
        <f t="shared" si="13"/>
        <v>100</v>
      </c>
      <c r="AA6" s="42">
        <f t="shared" si="14"/>
        <v>0</v>
      </c>
      <c r="AB6" s="39">
        <f t="shared" si="15"/>
        <v>0</v>
      </c>
    </row>
    <row r="7" spans="2:28" ht="27" x14ac:dyDescent="0.3">
      <c r="B7" s="40" t="s">
        <v>4</v>
      </c>
      <c r="C7" s="78" t="s">
        <v>72</v>
      </c>
      <c r="D7" s="41" t="s">
        <v>1</v>
      </c>
      <c r="E7" s="42">
        <v>714</v>
      </c>
      <c r="F7" s="62"/>
      <c r="G7" s="79">
        <v>701</v>
      </c>
      <c r="H7" s="79"/>
      <c r="I7" s="79"/>
      <c r="J7" s="80">
        <v>13</v>
      </c>
      <c r="K7" s="63">
        <f t="shared" si="2"/>
        <v>714</v>
      </c>
      <c r="L7" s="43">
        <v>5681</v>
      </c>
      <c r="M7" s="38">
        <f t="shared" si="3"/>
        <v>0</v>
      </c>
      <c r="N7" s="43">
        <f t="shared" si="4"/>
        <v>0</v>
      </c>
      <c r="O7" s="39">
        <v>532</v>
      </c>
      <c r="P7" s="43">
        <f t="shared" si="5"/>
        <v>3022292</v>
      </c>
      <c r="Q7" s="38">
        <f t="shared" si="6"/>
        <v>0</v>
      </c>
      <c r="R7" s="39">
        <f t="shared" si="7"/>
        <v>0</v>
      </c>
      <c r="S7" s="39">
        <f t="shared" si="8"/>
        <v>0</v>
      </c>
      <c r="T7" s="39">
        <f t="shared" si="0"/>
        <v>0</v>
      </c>
      <c r="U7" s="39">
        <v>8</v>
      </c>
      <c r="V7" s="39">
        <f t="shared" si="1"/>
        <v>45448</v>
      </c>
      <c r="W7" s="39">
        <f t="shared" si="10"/>
        <v>540</v>
      </c>
      <c r="X7" s="43">
        <f t="shared" si="11"/>
        <v>3067740</v>
      </c>
      <c r="Y7" s="39">
        <f t="shared" si="12"/>
        <v>540</v>
      </c>
      <c r="Z7" s="39">
        <f t="shared" si="13"/>
        <v>75.630252100840337</v>
      </c>
      <c r="AA7" s="42">
        <f t="shared" si="14"/>
        <v>174</v>
      </c>
      <c r="AB7" s="39">
        <f t="shared" si="15"/>
        <v>24.369747899159663</v>
      </c>
    </row>
    <row r="8" spans="2:28" ht="40.200000000000003" x14ac:dyDescent="0.3">
      <c r="B8" s="40" t="s">
        <v>5</v>
      </c>
      <c r="C8" s="78" t="s">
        <v>82</v>
      </c>
      <c r="D8" s="41" t="s">
        <v>1</v>
      </c>
      <c r="E8" s="42">
        <v>12</v>
      </c>
      <c r="F8" s="62"/>
      <c r="G8" s="79"/>
      <c r="H8" s="79"/>
      <c r="I8" s="79">
        <v>4</v>
      </c>
      <c r="J8" s="80">
        <v>8</v>
      </c>
      <c r="K8" s="63">
        <f t="shared" si="2"/>
        <v>12</v>
      </c>
      <c r="L8" s="43">
        <v>107409</v>
      </c>
      <c r="M8" s="38">
        <f t="shared" si="3"/>
        <v>0</v>
      </c>
      <c r="N8" s="43">
        <f t="shared" si="4"/>
        <v>0</v>
      </c>
      <c r="O8" s="39">
        <f t="shared" si="16"/>
        <v>0</v>
      </c>
      <c r="P8" s="43">
        <f t="shared" si="5"/>
        <v>0</v>
      </c>
      <c r="Q8" s="38">
        <f t="shared" si="6"/>
        <v>0</v>
      </c>
      <c r="R8" s="39">
        <f t="shared" si="7"/>
        <v>0</v>
      </c>
      <c r="S8" s="39">
        <f t="shared" si="8"/>
        <v>4</v>
      </c>
      <c r="T8" s="39">
        <f t="shared" si="0"/>
        <v>429636</v>
      </c>
      <c r="U8" s="39">
        <v>4</v>
      </c>
      <c r="V8" s="39">
        <f t="shared" si="1"/>
        <v>429636</v>
      </c>
      <c r="W8" s="39">
        <f t="shared" si="10"/>
        <v>8</v>
      </c>
      <c r="X8" s="43">
        <f t="shared" si="11"/>
        <v>859272</v>
      </c>
      <c r="Y8" s="39">
        <f t="shared" si="12"/>
        <v>8</v>
      </c>
      <c r="Z8" s="39">
        <f t="shared" si="13"/>
        <v>66.666666666666671</v>
      </c>
      <c r="AA8" s="42">
        <f t="shared" si="14"/>
        <v>4</v>
      </c>
      <c r="AB8" s="39">
        <f t="shared" si="15"/>
        <v>33.333333333333329</v>
      </c>
    </row>
    <row r="9" spans="2:28" ht="85.2" customHeight="1" x14ac:dyDescent="0.3">
      <c r="B9" s="40" t="s">
        <v>6</v>
      </c>
      <c r="C9" s="78" t="s">
        <v>73</v>
      </c>
      <c r="D9" s="41" t="s">
        <v>1</v>
      </c>
      <c r="E9" s="42">
        <v>12</v>
      </c>
      <c r="F9" s="62">
        <v>12</v>
      </c>
      <c r="G9" s="79"/>
      <c r="H9" s="79"/>
      <c r="I9" s="79"/>
      <c r="J9" s="80"/>
      <c r="K9" s="63">
        <f t="shared" si="2"/>
        <v>12</v>
      </c>
      <c r="L9" s="43">
        <v>28571</v>
      </c>
      <c r="M9" s="38">
        <v>6</v>
      </c>
      <c r="N9" s="43">
        <f t="shared" si="4"/>
        <v>171426</v>
      </c>
      <c r="O9" s="39">
        <f t="shared" si="16"/>
        <v>0</v>
      </c>
      <c r="P9" s="43">
        <f t="shared" si="5"/>
        <v>0</v>
      </c>
      <c r="Q9" s="38">
        <f t="shared" si="6"/>
        <v>0</v>
      </c>
      <c r="R9" s="39">
        <f t="shared" si="7"/>
        <v>0</v>
      </c>
      <c r="S9" s="39">
        <f t="shared" si="8"/>
        <v>0</v>
      </c>
      <c r="T9" s="39">
        <f t="shared" si="0"/>
        <v>0</v>
      </c>
      <c r="U9" s="39">
        <f t="shared" si="9"/>
        <v>0</v>
      </c>
      <c r="V9" s="39">
        <f t="shared" si="1"/>
        <v>0</v>
      </c>
      <c r="W9" s="39">
        <f t="shared" si="10"/>
        <v>6</v>
      </c>
      <c r="X9" s="43">
        <f t="shared" si="11"/>
        <v>171426</v>
      </c>
      <c r="Y9" s="39">
        <f t="shared" si="12"/>
        <v>6</v>
      </c>
      <c r="Z9" s="39">
        <f t="shared" si="13"/>
        <v>50</v>
      </c>
      <c r="AA9" s="42">
        <f t="shared" si="14"/>
        <v>6</v>
      </c>
      <c r="AB9" s="39">
        <f t="shared" si="15"/>
        <v>50</v>
      </c>
    </row>
    <row r="10" spans="2:28" ht="119.4" x14ac:dyDescent="0.3">
      <c r="B10" s="40" t="s">
        <v>7</v>
      </c>
      <c r="C10" s="78" t="s">
        <v>74</v>
      </c>
      <c r="D10" s="41" t="s">
        <v>1</v>
      </c>
      <c r="E10" s="42">
        <v>5</v>
      </c>
      <c r="F10" s="62"/>
      <c r="G10" s="79"/>
      <c r="H10" s="79">
        <v>3</v>
      </c>
      <c r="I10" s="79"/>
      <c r="J10" s="80">
        <v>2</v>
      </c>
      <c r="K10" s="63">
        <f t="shared" si="2"/>
        <v>5</v>
      </c>
      <c r="L10" s="43">
        <v>392291</v>
      </c>
      <c r="M10" s="38">
        <f t="shared" si="3"/>
        <v>0</v>
      </c>
      <c r="N10" s="43">
        <f t="shared" si="4"/>
        <v>0</v>
      </c>
      <c r="O10" s="39">
        <f t="shared" si="16"/>
        <v>0</v>
      </c>
      <c r="P10" s="43">
        <f t="shared" si="5"/>
        <v>0</v>
      </c>
      <c r="Q10" s="38">
        <v>2</v>
      </c>
      <c r="R10" s="39">
        <f t="shared" si="7"/>
        <v>784582</v>
      </c>
      <c r="S10" s="39">
        <f t="shared" si="8"/>
        <v>0</v>
      </c>
      <c r="T10" s="39">
        <f t="shared" si="0"/>
        <v>0</v>
      </c>
      <c r="U10" s="39">
        <f t="shared" si="9"/>
        <v>2</v>
      </c>
      <c r="V10" s="39">
        <f t="shared" si="1"/>
        <v>784582</v>
      </c>
      <c r="W10" s="39">
        <f t="shared" si="10"/>
        <v>4</v>
      </c>
      <c r="X10" s="43">
        <f t="shared" si="11"/>
        <v>1569164</v>
      </c>
      <c r="Y10" s="39">
        <f t="shared" si="12"/>
        <v>4</v>
      </c>
      <c r="Z10" s="39">
        <f t="shared" si="13"/>
        <v>80</v>
      </c>
      <c r="AA10" s="42">
        <f t="shared" si="14"/>
        <v>1</v>
      </c>
      <c r="AB10" s="39">
        <f t="shared" si="15"/>
        <v>20</v>
      </c>
    </row>
    <row r="11" spans="2:28" ht="93" x14ac:dyDescent="0.3">
      <c r="B11" s="40" t="s">
        <v>8</v>
      </c>
      <c r="C11" s="78" t="s">
        <v>75</v>
      </c>
      <c r="D11" s="41" t="s">
        <v>1</v>
      </c>
      <c r="E11" s="42">
        <v>200</v>
      </c>
      <c r="F11" s="62"/>
      <c r="G11" s="79">
        <v>100</v>
      </c>
      <c r="H11" s="79">
        <v>100</v>
      </c>
      <c r="I11" s="79"/>
      <c r="J11" s="80"/>
      <c r="K11" s="63">
        <f t="shared" si="2"/>
        <v>200</v>
      </c>
      <c r="L11" s="43">
        <v>7979</v>
      </c>
      <c r="M11" s="38">
        <f t="shared" si="3"/>
        <v>0</v>
      </c>
      <c r="N11" s="43">
        <f t="shared" si="4"/>
        <v>0</v>
      </c>
      <c r="O11" s="39">
        <v>80</v>
      </c>
      <c r="P11" s="43">
        <f t="shared" si="5"/>
        <v>638320</v>
      </c>
      <c r="Q11" s="38">
        <v>30</v>
      </c>
      <c r="R11" s="39">
        <f t="shared" si="7"/>
        <v>239370</v>
      </c>
      <c r="S11" s="39">
        <f t="shared" si="8"/>
        <v>0</v>
      </c>
      <c r="T11" s="39">
        <f t="shared" si="0"/>
        <v>0</v>
      </c>
      <c r="U11" s="39">
        <f t="shared" si="9"/>
        <v>0</v>
      </c>
      <c r="V11" s="39">
        <f t="shared" si="1"/>
        <v>0</v>
      </c>
      <c r="W11" s="39">
        <f t="shared" si="10"/>
        <v>110</v>
      </c>
      <c r="X11" s="43">
        <f t="shared" si="11"/>
        <v>877690</v>
      </c>
      <c r="Y11" s="39">
        <f t="shared" si="12"/>
        <v>110</v>
      </c>
      <c r="Z11" s="39">
        <f t="shared" si="13"/>
        <v>55</v>
      </c>
      <c r="AA11" s="42">
        <f t="shared" si="14"/>
        <v>90</v>
      </c>
      <c r="AB11" s="39">
        <f t="shared" si="15"/>
        <v>45</v>
      </c>
    </row>
    <row r="12" spans="2:28" ht="66.599999999999994" x14ac:dyDescent="0.3">
      <c r="B12" s="40" t="s">
        <v>9</v>
      </c>
      <c r="C12" s="78" t="s">
        <v>76</v>
      </c>
      <c r="D12" s="41" t="s">
        <v>1</v>
      </c>
      <c r="E12" s="42">
        <v>31</v>
      </c>
      <c r="F12" s="62"/>
      <c r="G12" s="79">
        <v>25</v>
      </c>
      <c r="H12" s="79"/>
      <c r="I12" s="79"/>
      <c r="J12" s="80">
        <v>6</v>
      </c>
      <c r="K12" s="63">
        <f t="shared" si="2"/>
        <v>31</v>
      </c>
      <c r="L12" s="43">
        <v>15143</v>
      </c>
      <c r="M12" s="38">
        <f t="shared" si="3"/>
        <v>0</v>
      </c>
      <c r="N12" s="43">
        <f t="shared" si="4"/>
        <v>0</v>
      </c>
      <c r="O12" s="39">
        <v>20</v>
      </c>
      <c r="P12" s="43">
        <f t="shared" si="5"/>
        <v>302860</v>
      </c>
      <c r="Q12" s="38">
        <f t="shared" si="6"/>
        <v>0</v>
      </c>
      <c r="R12" s="39">
        <f t="shared" si="7"/>
        <v>0</v>
      </c>
      <c r="S12" s="39">
        <f t="shared" si="8"/>
        <v>0</v>
      </c>
      <c r="T12" s="39">
        <f t="shared" si="0"/>
        <v>0</v>
      </c>
      <c r="U12" s="39">
        <f t="shared" si="9"/>
        <v>6</v>
      </c>
      <c r="V12" s="39">
        <f t="shared" si="1"/>
        <v>90858</v>
      </c>
      <c r="W12" s="39">
        <f t="shared" si="10"/>
        <v>26</v>
      </c>
      <c r="X12" s="43">
        <f t="shared" si="11"/>
        <v>393718</v>
      </c>
      <c r="Y12" s="39">
        <f t="shared" si="12"/>
        <v>26</v>
      </c>
      <c r="Z12" s="39">
        <f t="shared" si="13"/>
        <v>83.870967741935488</v>
      </c>
      <c r="AA12" s="42">
        <f t="shared" si="14"/>
        <v>5</v>
      </c>
      <c r="AB12" s="39">
        <f t="shared" si="15"/>
        <v>16.129032258064512</v>
      </c>
    </row>
    <row r="13" spans="2:28" ht="27" x14ac:dyDescent="0.3">
      <c r="B13" s="40" t="s">
        <v>10</v>
      </c>
      <c r="C13" s="78" t="s">
        <v>77</v>
      </c>
      <c r="D13" s="41" t="s">
        <v>1</v>
      </c>
      <c r="E13" s="42">
        <v>39</v>
      </c>
      <c r="F13" s="62"/>
      <c r="G13" s="79">
        <v>20</v>
      </c>
      <c r="H13" s="79">
        <v>15</v>
      </c>
      <c r="I13" s="79"/>
      <c r="J13" s="80">
        <v>4</v>
      </c>
      <c r="K13" s="63">
        <f t="shared" si="2"/>
        <v>39</v>
      </c>
      <c r="L13" s="43">
        <v>402390</v>
      </c>
      <c r="M13" s="38">
        <f t="shared" si="3"/>
        <v>0</v>
      </c>
      <c r="N13" s="43">
        <f t="shared" si="4"/>
        <v>0</v>
      </c>
      <c r="O13" s="39">
        <v>10</v>
      </c>
      <c r="P13" s="43">
        <f t="shared" si="5"/>
        <v>4023900</v>
      </c>
      <c r="Q13" s="38">
        <v>5</v>
      </c>
      <c r="R13" s="39">
        <f t="shared" si="7"/>
        <v>2011950</v>
      </c>
      <c r="S13" s="39">
        <f t="shared" si="8"/>
        <v>0</v>
      </c>
      <c r="T13" s="39">
        <f t="shared" si="0"/>
        <v>0</v>
      </c>
      <c r="U13" s="39">
        <v>2</v>
      </c>
      <c r="V13" s="39">
        <f t="shared" si="1"/>
        <v>804780</v>
      </c>
      <c r="W13" s="39">
        <f t="shared" si="10"/>
        <v>17</v>
      </c>
      <c r="X13" s="43">
        <f t="shared" si="11"/>
        <v>6840630</v>
      </c>
      <c r="Y13" s="39">
        <f t="shared" si="12"/>
        <v>17</v>
      </c>
      <c r="Z13" s="39">
        <f t="shared" si="13"/>
        <v>43.589743589743591</v>
      </c>
      <c r="AA13" s="42">
        <f t="shared" si="14"/>
        <v>22</v>
      </c>
      <c r="AB13" s="39">
        <f t="shared" si="15"/>
        <v>56.410256410256409</v>
      </c>
    </row>
    <row r="14" spans="2:28" ht="145.80000000000001" x14ac:dyDescent="0.3">
      <c r="B14" s="40" t="s">
        <v>11</v>
      </c>
      <c r="C14" s="51" t="s">
        <v>78</v>
      </c>
      <c r="D14" s="41" t="s">
        <v>1</v>
      </c>
      <c r="E14" s="42">
        <v>19</v>
      </c>
      <c r="F14" s="62"/>
      <c r="G14" s="79"/>
      <c r="H14" s="79"/>
      <c r="I14" s="79"/>
      <c r="J14" s="80">
        <v>19</v>
      </c>
      <c r="K14" s="63">
        <f t="shared" si="2"/>
        <v>19</v>
      </c>
      <c r="L14" s="43">
        <v>1999</v>
      </c>
      <c r="M14" s="38">
        <f t="shared" si="3"/>
        <v>0</v>
      </c>
      <c r="N14" s="43">
        <f t="shared" si="4"/>
        <v>0</v>
      </c>
      <c r="O14" s="39">
        <f t="shared" si="16"/>
        <v>0</v>
      </c>
      <c r="P14" s="43">
        <f t="shared" si="5"/>
        <v>0</v>
      </c>
      <c r="Q14" s="38">
        <f t="shared" si="6"/>
        <v>0</v>
      </c>
      <c r="R14" s="39">
        <f t="shared" si="7"/>
        <v>0</v>
      </c>
      <c r="S14" s="39">
        <f t="shared" si="8"/>
        <v>0</v>
      </c>
      <c r="T14" s="39">
        <f t="shared" si="0"/>
        <v>0</v>
      </c>
      <c r="U14" s="39">
        <v>12</v>
      </c>
      <c r="V14" s="39">
        <f t="shared" si="1"/>
        <v>23988</v>
      </c>
      <c r="W14" s="39">
        <f t="shared" si="10"/>
        <v>12</v>
      </c>
      <c r="X14" s="43">
        <f t="shared" si="11"/>
        <v>23988</v>
      </c>
      <c r="Y14" s="39">
        <f t="shared" si="12"/>
        <v>12</v>
      </c>
      <c r="Z14" s="39">
        <f t="shared" si="13"/>
        <v>63.157894736842103</v>
      </c>
      <c r="AA14" s="42">
        <f t="shared" si="14"/>
        <v>7</v>
      </c>
      <c r="AB14" s="39">
        <f t="shared" si="15"/>
        <v>36.842105263157897</v>
      </c>
    </row>
    <row r="15" spans="2:28" ht="145.80000000000001" x14ac:dyDescent="0.3">
      <c r="B15" s="40" t="s">
        <v>12</v>
      </c>
      <c r="C15" s="78" t="s">
        <v>79</v>
      </c>
      <c r="D15" s="41" t="s">
        <v>1</v>
      </c>
      <c r="E15" s="42">
        <v>37</v>
      </c>
      <c r="F15" s="62"/>
      <c r="G15" s="79">
        <v>2</v>
      </c>
      <c r="H15" s="79">
        <v>20</v>
      </c>
      <c r="I15" s="79"/>
      <c r="J15" s="80">
        <v>15</v>
      </c>
      <c r="K15" s="63">
        <f t="shared" si="2"/>
        <v>37</v>
      </c>
      <c r="L15" s="43">
        <v>14286</v>
      </c>
      <c r="M15" s="38">
        <f t="shared" si="3"/>
        <v>0</v>
      </c>
      <c r="N15" s="43">
        <f t="shared" si="4"/>
        <v>0</v>
      </c>
      <c r="O15" s="39">
        <f t="shared" si="16"/>
        <v>2</v>
      </c>
      <c r="P15" s="43">
        <f t="shared" si="5"/>
        <v>28572</v>
      </c>
      <c r="Q15" s="38">
        <v>8</v>
      </c>
      <c r="R15" s="39">
        <f t="shared" si="7"/>
        <v>114288</v>
      </c>
      <c r="S15" s="39">
        <f t="shared" si="8"/>
        <v>0</v>
      </c>
      <c r="T15" s="39">
        <f t="shared" si="0"/>
        <v>0</v>
      </c>
      <c r="U15" s="39">
        <f t="shared" si="9"/>
        <v>15</v>
      </c>
      <c r="V15" s="39">
        <f t="shared" si="1"/>
        <v>214290</v>
      </c>
      <c r="W15" s="39">
        <f t="shared" si="10"/>
        <v>25</v>
      </c>
      <c r="X15" s="43">
        <f t="shared" si="11"/>
        <v>357150</v>
      </c>
      <c r="Y15" s="39">
        <f t="shared" si="12"/>
        <v>25</v>
      </c>
      <c r="Z15" s="39">
        <f t="shared" si="13"/>
        <v>67.567567567567565</v>
      </c>
      <c r="AA15" s="42">
        <f t="shared" si="14"/>
        <v>12</v>
      </c>
      <c r="AB15" s="39">
        <f t="shared" si="15"/>
        <v>32.432432432432435</v>
      </c>
    </row>
    <row r="16" spans="2:28" ht="27" x14ac:dyDescent="0.3">
      <c r="B16" s="40" t="s">
        <v>13</v>
      </c>
      <c r="C16" s="78" t="s">
        <v>80</v>
      </c>
      <c r="D16" s="41" t="s">
        <v>1</v>
      </c>
      <c r="E16" s="42">
        <v>5</v>
      </c>
      <c r="F16" s="62"/>
      <c r="G16" s="79"/>
      <c r="H16" s="79"/>
      <c r="I16" s="79"/>
      <c r="J16" s="80">
        <v>5</v>
      </c>
      <c r="K16" s="63">
        <f t="shared" si="2"/>
        <v>5</v>
      </c>
      <c r="L16" s="43">
        <v>399869</v>
      </c>
      <c r="M16" s="38">
        <f t="shared" si="3"/>
        <v>0</v>
      </c>
      <c r="N16" s="43">
        <f t="shared" si="4"/>
        <v>0</v>
      </c>
      <c r="O16" s="39">
        <f t="shared" si="16"/>
        <v>0</v>
      </c>
      <c r="P16" s="43">
        <f t="shared" si="5"/>
        <v>0</v>
      </c>
      <c r="Q16" s="38">
        <f t="shared" si="6"/>
        <v>0</v>
      </c>
      <c r="R16" s="39">
        <f t="shared" si="7"/>
        <v>0</v>
      </c>
      <c r="S16" s="39">
        <f t="shared" si="8"/>
        <v>0</v>
      </c>
      <c r="T16" s="39">
        <f t="shared" si="0"/>
        <v>0</v>
      </c>
      <c r="U16" s="39">
        <f t="shared" si="9"/>
        <v>5</v>
      </c>
      <c r="V16" s="39">
        <f t="shared" si="1"/>
        <v>1999345</v>
      </c>
      <c r="W16" s="39">
        <f t="shared" si="10"/>
        <v>5</v>
      </c>
      <c r="X16" s="43">
        <f t="shared" si="11"/>
        <v>1999345</v>
      </c>
      <c r="Y16" s="39">
        <f t="shared" si="12"/>
        <v>5</v>
      </c>
      <c r="Z16" s="39">
        <f t="shared" si="13"/>
        <v>100</v>
      </c>
      <c r="AA16" s="42">
        <f t="shared" si="14"/>
        <v>0</v>
      </c>
      <c r="AB16" s="39">
        <f t="shared" si="15"/>
        <v>0</v>
      </c>
    </row>
    <row r="17" spans="2:28" ht="40.200000000000003" x14ac:dyDescent="0.3">
      <c r="B17" s="40" t="s">
        <v>14</v>
      </c>
      <c r="C17" s="78" t="s">
        <v>81</v>
      </c>
      <c r="D17" s="41" t="s">
        <v>1</v>
      </c>
      <c r="E17" s="42">
        <v>2</v>
      </c>
      <c r="F17" s="62"/>
      <c r="G17" s="79"/>
      <c r="H17" s="81"/>
      <c r="I17" s="81"/>
      <c r="J17" s="80">
        <v>2</v>
      </c>
      <c r="K17" s="63">
        <f t="shared" si="2"/>
        <v>2</v>
      </c>
      <c r="L17" s="43">
        <v>47531</v>
      </c>
      <c r="M17" s="38">
        <f t="shared" si="3"/>
        <v>0</v>
      </c>
      <c r="N17" s="43">
        <f t="shared" si="4"/>
        <v>0</v>
      </c>
      <c r="O17" s="39">
        <f t="shared" si="16"/>
        <v>0</v>
      </c>
      <c r="P17" s="43">
        <f t="shared" si="5"/>
        <v>0</v>
      </c>
      <c r="Q17" s="38">
        <f t="shared" si="6"/>
        <v>0</v>
      </c>
      <c r="R17" s="39">
        <f t="shared" si="7"/>
        <v>0</v>
      </c>
      <c r="S17" s="39">
        <f t="shared" si="8"/>
        <v>0</v>
      </c>
      <c r="T17" s="39">
        <f t="shared" si="0"/>
        <v>0</v>
      </c>
      <c r="U17" s="39">
        <f t="shared" si="9"/>
        <v>2</v>
      </c>
      <c r="V17" s="39">
        <f t="shared" si="1"/>
        <v>95062</v>
      </c>
      <c r="W17" s="39">
        <f t="shared" si="10"/>
        <v>2</v>
      </c>
      <c r="X17" s="43">
        <f t="shared" si="11"/>
        <v>95062</v>
      </c>
      <c r="Y17" s="39">
        <f t="shared" si="12"/>
        <v>2</v>
      </c>
      <c r="Z17" s="39">
        <f t="shared" si="13"/>
        <v>100</v>
      </c>
      <c r="AA17" s="42">
        <f t="shared" si="14"/>
        <v>0</v>
      </c>
      <c r="AB17" s="39">
        <f t="shared" si="15"/>
        <v>0</v>
      </c>
    </row>
    <row r="18" spans="2:28" ht="27" x14ac:dyDescent="0.3">
      <c r="B18" s="40" t="s">
        <v>2</v>
      </c>
      <c r="C18" s="76" t="s">
        <v>57</v>
      </c>
      <c r="D18" s="41" t="s">
        <v>1</v>
      </c>
      <c r="E18" s="42"/>
      <c r="F18" s="62"/>
      <c r="G18" s="62"/>
      <c r="H18" s="64"/>
      <c r="I18" s="64"/>
      <c r="J18" s="73"/>
      <c r="K18" s="63"/>
      <c r="L18" s="43"/>
      <c r="M18" s="38">
        <f t="shared" si="3"/>
        <v>0</v>
      </c>
      <c r="N18" s="43">
        <f t="shared" si="4"/>
        <v>0</v>
      </c>
      <c r="O18" s="39">
        <f>G18</f>
        <v>0</v>
      </c>
      <c r="P18" s="43"/>
      <c r="Q18" s="38">
        <f t="shared" si="6"/>
        <v>0</v>
      </c>
      <c r="R18" s="39">
        <f t="shared" si="7"/>
        <v>0</v>
      </c>
      <c r="S18" s="39">
        <f t="shared" si="8"/>
        <v>0</v>
      </c>
      <c r="T18" s="39"/>
      <c r="U18" s="39">
        <f t="shared" si="9"/>
        <v>0</v>
      </c>
      <c r="V18" s="39">
        <f t="shared" si="1"/>
        <v>0</v>
      </c>
      <c r="W18" s="39">
        <f t="shared" si="10"/>
        <v>0</v>
      </c>
      <c r="X18" s="43">
        <f t="shared" si="11"/>
        <v>0</v>
      </c>
      <c r="Y18" s="39">
        <f t="shared" si="12"/>
        <v>0</v>
      </c>
      <c r="Z18" s="39" t="e">
        <f t="shared" si="13"/>
        <v>#DIV/0!</v>
      </c>
      <c r="AA18" s="42">
        <f t="shared" si="14"/>
        <v>0</v>
      </c>
      <c r="AB18" s="39" t="e">
        <f t="shared" si="15"/>
        <v>#DIV/0!</v>
      </c>
    </row>
    <row r="19" spans="2:28" ht="66.599999999999994" x14ac:dyDescent="0.3">
      <c r="B19" s="40" t="s">
        <v>15</v>
      </c>
      <c r="C19" s="48" t="s">
        <v>88</v>
      </c>
      <c r="D19" s="41" t="s">
        <v>1</v>
      </c>
      <c r="E19" s="42">
        <v>132</v>
      </c>
      <c r="F19" s="62">
        <v>120</v>
      </c>
      <c r="G19" s="62"/>
      <c r="H19" s="62"/>
      <c r="I19" s="62">
        <v>12</v>
      </c>
      <c r="J19" s="73"/>
      <c r="K19" s="63">
        <f t="shared" si="2"/>
        <v>132</v>
      </c>
      <c r="L19" s="43">
        <v>35714</v>
      </c>
      <c r="M19" s="38">
        <v>60</v>
      </c>
      <c r="N19" s="43">
        <f t="shared" si="4"/>
        <v>2142840</v>
      </c>
      <c r="O19" s="39">
        <f t="shared" si="16"/>
        <v>0</v>
      </c>
      <c r="P19" s="43">
        <f t="shared" si="5"/>
        <v>0</v>
      </c>
      <c r="Q19" s="38">
        <f t="shared" si="6"/>
        <v>0</v>
      </c>
      <c r="R19" s="39">
        <f t="shared" si="7"/>
        <v>0</v>
      </c>
      <c r="S19" s="39">
        <f t="shared" si="8"/>
        <v>12</v>
      </c>
      <c r="T19" s="39">
        <f>S19*L19</f>
        <v>428568</v>
      </c>
      <c r="U19" s="39">
        <f t="shared" si="9"/>
        <v>0</v>
      </c>
      <c r="V19" s="39">
        <f t="shared" si="1"/>
        <v>0</v>
      </c>
      <c r="W19" s="39">
        <f t="shared" si="10"/>
        <v>72</v>
      </c>
      <c r="X19" s="43">
        <f t="shared" si="11"/>
        <v>2571408</v>
      </c>
      <c r="Y19" s="39">
        <f t="shared" si="12"/>
        <v>72</v>
      </c>
      <c r="Z19" s="39">
        <f t="shared" si="13"/>
        <v>54.545454545454547</v>
      </c>
      <c r="AA19" s="42">
        <f t="shared" si="14"/>
        <v>60</v>
      </c>
      <c r="AB19" s="39">
        <f t="shared" si="15"/>
        <v>45.454545454545453</v>
      </c>
    </row>
    <row r="20" spans="2:28" ht="106.2" x14ac:dyDescent="0.3">
      <c r="B20" s="40" t="s">
        <v>16</v>
      </c>
      <c r="C20" s="49" t="s">
        <v>59</v>
      </c>
      <c r="D20" s="41" t="s">
        <v>1</v>
      </c>
      <c r="E20" s="42">
        <v>35</v>
      </c>
      <c r="F20" s="62"/>
      <c r="G20" s="62"/>
      <c r="H20" s="62">
        <v>25</v>
      </c>
      <c r="I20" s="62">
        <v>10</v>
      </c>
      <c r="J20" s="64"/>
      <c r="K20" s="63">
        <f t="shared" si="2"/>
        <v>35</v>
      </c>
      <c r="L20" s="43">
        <v>126135</v>
      </c>
      <c r="M20" s="38">
        <f t="shared" si="3"/>
        <v>0</v>
      </c>
      <c r="N20" s="43">
        <f t="shared" si="4"/>
        <v>0</v>
      </c>
      <c r="O20" s="39">
        <f t="shared" si="16"/>
        <v>0</v>
      </c>
      <c r="P20" s="43">
        <f t="shared" si="5"/>
        <v>0</v>
      </c>
      <c r="Q20" s="38">
        <v>15</v>
      </c>
      <c r="R20" s="39">
        <f t="shared" si="7"/>
        <v>1892025</v>
      </c>
      <c r="S20" s="39">
        <f t="shared" si="8"/>
        <v>10</v>
      </c>
      <c r="T20" s="39">
        <f>S20*L20</f>
        <v>1261350</v>
      </c>
      <c r="U20" s="39">
        <f t="shared" si="9"/>
        <v>0</v>
      </c>
      <c r="V20" s="39">
        <f t="shared" si="1"/>
        <v>0</v>
      </c>
      <c r="W20" s="39">
        <f t="shared" si="10"/>
        <v>25</v>
      </c>
      <c r="X20" s="43">
        <f t="shared" si="11"/>
        <v>3153375</v>
      </c>
      <c r="Y20" s="39">
        <f t="shared" si="12"/>
        <v>25</v>
      </c>
      <c r="Z20" s="39">
        <f t="shared" si="13"/>
        <v>71.428571428571431</v>
      </c>
      <c r="AA20" s="42">
        <f t="shared" si="14"/>
        <v>10</v>
      </c>
      <c r="AB20" s="39">
        <f t="shared" si="15"/>
        <v>28.571428571428569</v>
      </c>
    </row>
    <row r="21" spans="2:28" ht="132.6" x14ac:dyDescent="0.3">
      <c r="B21" s="40" t="s">
        <v>17</v>
      </c>
      <c r="C21" s="49" t="s">
        <v>83</v>
      </c>
      <c r="D21" s="41"/>
      <c r="E21" s="42">
        <v>1350</v>
      </c>
      <c r="F21" s="62">
        <v>1200</v>
      </c>
      <c r="G21" s="62"/>
      <c r="H21" s="62">
        <v>150</v>
      </c>
      <c r="I21" s="62"/>
      <c r="J21" s="62"/>
      <c r="K21" s="63">
        <f t="shared" si="2"/>
        <v>1350</v>
      </c>
      <c r="L21" s="43">
        <v>20714</v>
      </c>
      <c r="M21" s="38">
        <v>322</v>
      </c>
      <c r="N21" s="43">
        <f t="shared" si="4"/>
        <v>6669908</v>
      </c>
      <c r="O21" s="39">
        <f t="shared" si="16"/>
        <v>0</v>
      </c>
      <c r="P21" s="43"/>
      <c r="Q21" s="38">
        <v>65</v>
      </c>
      <c r="R21" s="39">
        <f t="shared" si="7"/>
        <v>1346410</v>
      </c>
      <c r="S21" s="39">
        <f t="shared" si="8"/>
        <v>0</v>
      </c>
      <c r="T21" s="39"/>
      <c r="U21" s="39">
        <f t="shared" si="9"/>
        <v>0</v>
      </c>
      <c r="V21" s="39"/>
      <c r="W21" s="39">
        <f t="shared" si="10"/>
        <v>387</v>
      </c>
      <c r="X21" s="43">
        <f t="shared" si="11"/>
        <v>8016318</v>
      </c>
      <c r="Y21" s="39"/>
      <c r="Z21" s="39"/>
      <c r="AA21" s="42"/>
      <c r="AB21" s="39"/>
    </row>
    <row r="22" spans="2:28" ht="145.80000000000001" x14ac:dyDescent="0.3">
      <c r="B22" s="40" t="s">
        <v>18</v>
      </c>
      <c r="C22" s="48" t="s">
        <v>60</v>
      </c>
      <c r="D22" s="41" t="s">
        <v>1</v>
      </c>
      <c r="E22" s="42">
        <v>4</v>
      </c>
      <c r="F22" s="62"/>
      <c r="G22" s="62"/>
      <c r="H22" s="62"/>
      <c r="I22" s="62">
        <v>4</v>
      </c>
      <c r="J22" s="62"/>
      <c r="K22" s="63">
        <f t="shared" si="2"/>
        <v>4</v>
      </c>
      <c r="L22" s="43">
        <v>264286</v>
      </c>
      <c r="M22" s="38">
        <f t="shared" si="3"/>
        <v>0</v>
      </c>
      <c r="N22" s="43">
        <f t="shared" si="4"/>
        <v>0</v>
      </c>
      <c r="O22" s="39">
        <f t="shared" si="16"/>
        <v>0</v>
      </c>
      <c r="P22" s="43">
        <f t="shared" si="5"/>
        <v>0</v>
      </c>
      <c r="Q22" s="38">
        <f t="shared" si="6"/>
        <v>0</v>
      </c>
      <c r="R22" s="39">
        <f t="shared" si="7"/>
        <v>0</v>
      </c>
      <c r="S22" s="39">
        <f t="shared" si="8"/>
        <v>4</v>
      </c>
      <c r="T22" s="39">
        <f>S22*L22</f>
        <v>1057144</v>
      </c>
      <c r="U22" s="39">
        <f t="shared" si="9"/>
        <v>0</v>
      </c>
      <c r="V22" s="39">
        <f>U22*L22</f>
        <v>0</v>
      </c>
      <c r="W22" s="39">
        <f t="shared" si="10"/>
        <v>4</v>
      </c>
      <c r="X22" s="43">
        <f t="shared" si="11"/>
        <v>1057144</v>
      </c>
      <c r="Y22" s="39">
        <f t="shared" ref="Y22:Y25" si="17">W22</f>
        <v>4</v>
      </c>
      <c r="Z22" s="39">
        <f t="shared" ref="Z22:Z25" si="18">+(Y22*100)/(Y22+AA22)</f>
        <v>100</v>
      </c>
      <c r="AA22" s="42">
        <f>+E22-W22</f>
        <v>0</v>
      </c>
      <c r="AB22" s="39">
        <f t="shared" ref="AB22:AB25" si="19">100-Z22</f>
        <v>0</v>
      </c>
    </row>
    <row r="23" spans="2:28" ht="93" x14ac:dyDescent="0.3">
      <c r="B23" s="40" t="s">
        <v>19</v>
      </c>
      <c r="C23" s="48" t="s">
        <v>84</v>
      </c>
      <c r="D23" s="41" t="s">
        <v>1</v>
      </c>
      <c r="E23" s="42">
        <v>16</v>
      </c>
      <c r="F23" s="62">
        <v>12</v>
      </c>
      <c r="G23" s="62"/>
      <c r="H23" s="62"/>
      <c r="I23" s="62"/>
      <c r="J23" s="62">
        <v>4</v>
      </c>
      <c r="K23" s="63">
        <f t="shared" si="2"/>
        <v>16</v>
      </c>
      <c r="L23" s="43">
        <v>137181</v>
      </c>
      <c r="M23" s="38">
        <v>6</v>
      </c>
      <c r="N23" s="43">
        <f t="shared" si="4"/>
        <v>823086</v>
      </c>
      <c r="O23" s="39">
        <f t="shared" si="16"/>
        <v>0</v>
      </c>
      <c r="P23" s="43">
        <f t="shared" si="5"/>
        <v>0</v>
      </c>
      <c r="Q23" s="38">
        <f t="shared" si="6"/>
        <v>0</v>
      </c>
      <c r="R23" s="39">
        <f t="shared" si="7"/>
        <v>0</v>
      </c>
      <c r="S23" s="39">
        <f t="shared" si="8"/>
        <v>0</v>
      </c>
      <c r="T23" s="39">
        <f>S23*L23</f>
        <v>0</v>
      </c>
      <c r="U23" s="39">
        <v>2</v>
      </c>
      <c r="V23" s="39">
        <f>U23*L23</f>
        <v>274362</v>
      </c>
      <c r="W23" s="39">
        <f t="shared" si="10"/>
        <v>8</v>
      </c>
      <c r="X23" s="43">
        <f t="shared" si="11"/>
        <v>1097448</v>
      </c>
      <c r="Y23" s="39">
        <f t="shared" si="17"/>
        <v>8</v>
      </c>
      <c r="Z23" s="39">
        <f t="shared" si="18"/>
        <v>50</v>
      </c>
      <c r="AA23" s="42">
        <f>+E23-W23</f>
        <v>8</v>
      </c>
      <c r="AB23" s="39">
        <f t="shared" si="19"/>
        <v>50</v>
      </c>
    </row>
    <row r="24" spans="2:28" ht="40.799999999999997" customHeight="1" x14ac:dyDescent="0.3">
      <c r="B24" s="40" t="s">
        <v>20</v>
      </c>
      <c r="C24" s="48" t="s">
        <v>61</v>
      </c>
      <c r="D24" s="41" t="s">
        <v>1</v>
      </c>
      <c r="E24" s="42">
        <v>90</v>
      </c>
      <c r="F24" s="62">
        <v>90</v>
      </c>
      <c r="G24" s="62"/>
      <c r="H24" s="62"/>
      <c r="I24" s="62"/>
      <c r="J24" s="62"/>
      <c r="K24" s="63">
        <f t="shared" si="2"/>
        <v>90</v>
      </c>
      <c r="L24" s="43">
        <v>27857</v>
      </c>
      <c r="M24" s="38">
        <v>45</v>
      </c>
      <c r="N24" s="43">
        <f t="shared" si="4"/>
        <v>1253565</v>
      </c>
      <c r="O24" s="39">
        <f t="shared" si="16"/>
        <v>0</v>
      </c>
      <c r="P24" s="43">
        <f t="shared" si="5"/>
        <v>0</v>
      </c>
      <c r="Q24" s="38">
        <f t="shared" si="6"/>
        <v>0</v>
      </c>
      <c r="R24" s="39">
        <f t="shared" si="7"/>
        <v>0</v>
      </c>
      <c r="S24" s="39">
        <f t="shared" si="8"/>
        <v>0</v>
      </c>
      <c r="T24" s="39">
        <f>S24*L24</f>
        <v>0</v>
      </c>
      <c r="U24" s="39">
        <f t="shared" si="9"/>
        <v>0</v>
      </c>
      <c r="V24" s="39">
        <f>U24*L24</f>
        <v>0</v>
      </c>
      <c r="W24" s="39">
        <f t="shared" si="10"/>
        <v>45</v>
      </c>
      <c r="X24" s="43">
        <f t="shared" si="11"/>
        <v>1253565</v>
      </c>
      <c r="Y24" s="39">
        <f t="shared" si="17"/>
        <v>45</v>
      </c>
      <c r="Z24" s="39">
        <f t="shared" si="18"/>
        <v>50</v>
      </c>
      <c r="AA24" s="42">
        <f>+E24-W24</f>
        <v>45</v>
      </c>
      <c r="AB24" s="39">
        <f t="shared" si="19"/>
        <v>50</v>
      </c>
    </row>
    <row r="25" spans="2:28" ht="66.599999999999994" x14ac:dyDescent="0.3">
      <c r="B25" s="40" t="s">
        <v>21</v>
      </c>
      <c r="C25" s="48" t="s">
        <v>85</v>
      </c>
      <c r="D25" s="41" t="s">
        <v>1</v>
      </c>
      <c r="E25" s="42">
        <v>5</v>
      </c>
      <c r="F25" s="62"/>
      <c r="G25" s="62"/>
      <c r="H25" s="62">
        <v>5</v>
      </c>
      <c r="I25" s="62"/>
      <c r="J25" s="62"/>
      <c r="K25" s="63">
        <f t="shared" si="2"/>
        <v>5</v>
      </c>
      <c r="L25" s="43">
        <v>407143</v>
      </c>
      <c r="M25" s="38">
        <f t="shared" si="3"/>
        <v>0</v>
      </c>
      <c r="N25" s="43">
        <f t="shared" si="4"/>
        <v>0</v>
      </c>
      <c r="O25" s="39">
        <f t="shared" si="16"/>
        <v>0</v>
      </c>
      <c r="P25" s="43">
        <f t="shared" si="5"/>
        <v>0</v>
      </c>
      <c r="Q25" s="38">
        <v>3</v>
      </c>
      <c r="R25" s="39">
        <f t="shared" si="7"/>
        <v>1221429</v>
      </c>
      <c r="S25" s="39">
        <f t="shared" si="8"/>
        <v>0</v>
      </c>
      <c r="T25" s="39">
        <f>S25*L25</f>
        <v>0</v>
      </c>
      <c r="U25" s="39">
        <f t="shared" si="9"/>
        <v>0</v>
      </c>
      <c r="V25" s="39">
        <f>U25*L25</f>
        <v>0</v>
      </c>
      <c r="W25" s="39">
        <f t="shared" si="10"/>
        <v>3</v>
      </c>
      <c r="X25" s="43">
        <f t="shared" si="11"/>
        <v>1221429</v>
      </c>
      <c r="Y25" s="39">
        <f t="shared" si="17"/>
        <v>3</v>
      </c>
      <c r="Z25" s="39">
        <f t="shared" si="18"/>
        <v>60</v>
      </c>
      <c r="AA25" s="42">
        <f>+E25-W25</f>
        <v>2</v>
      </c>
      <c r="AB25" s="39">
        <f t="shared" si="19"/>
        <v>40</v>
      </c>
    </row>
    <row r="26" spans="2:28" x14ac:dyDescent="0.3">
      <c r="E26" s="71"/>
      <c r="F26" s="71">
        <f t="shared" ref="F26:K26" si="20">SUM(F4:F25)</f>
        <v>1434</v>
      </c>
      <c r="G26" s="71">
        <f t="shared" si="20"/>
        <v>978</v>
      </c>
      <c r="H26" s="71">
        <f t="shared" si="20"/>
        <v>378</v>
      </c>
      <c r="I26" s="71">
        <f t="shared" si="20"/>
        <v>154</v>
      </c>
      <c r="J26" s="71">
        <f t="shared" si="20"/>
        <v>136</v>
      </c>
      <c r="K26" s="71">
        <f t="shared" si="20"/>
        <v>3080</v>
      </c>
      <c r="N26" s="45">
        <f>SUM(N4:N25)</f>
        <v>11060825</v>
      </c>
      <c r="P26" s="45">
        <f>SUM(P4:P25)</f>
        <v>12271248</v>
      </c>
      <c r="Q26" s="44"/>
      <c r="R26" s="44">
        <f>SUM(R4:R25)</f>
        <v>8438613</v>
      </c>
      <c r="T26" s="44">
        <f>SUM(T4:T25)</f>
        <v>8438236</v>
      </c>
      <c r="V26" s="44">
        <f>SUM(V4:V25)</f>
        <v>8437303</v>
      </c>
      <c r="X26" s="74">
        <f>SUM(X4:X25)</f>
        <v>48646225</v>
      </c>
    </row>
    <row r="27" spans="2:28" x14ac:dyDescent="0.3">
      <c r="F27" s="59"/>
      <c r="G27" s="59"/>
      <c r="H27" s="59"/>
      <c r="I27" s="59"/>
      <c r="J27" s="59"/>
      <c r="N27" s="72">
        <v>11553960</v>
      </c>
      <c r="P27" s="72">
        <v>12272805</v>
      </c>
      <c r="R27" s="72">
        <v>8439061</v>
      </c>
      <c r="T27" s="72">
        <v>8439060</v>
      </c>
      <c r="V27" s="72">
        <v>8439061</v>
      </c>
      <c r="X27" s="72">
        <f>N27+P27+R27+T27+V27</f>
        <v>49143947</v>
      </c>
      <c r="Y27" s="44"/>
    </row>
    <row r="28" spans="2:28" x14ac:dyDescent="0.3">
      <c r="F28" s="59"/>
      <c r="G28" s="59"/>
      <c r="H28" s="59"/>
      <c r="I28" s="59"/>
      <c r="J28" s="59"/>
      <c r="N28" s="45">
        <f>N27-N26</f>
        <v>493135</v>
      </c>
      <c r="P28" s="45">
        <f>P27-P26</f>
        <v>1557</v>
      </c>
      <c r="R28" s="44">
        <f>R27-R26</f>
        <v>448</v>
      </c>
      <c r="T28" s="44">
        <f>T27-T26</f>
        <v>824</v>
      </c>
      <c r="V28" s="44">
        <f>V27-V26</f>
        <v>1758</v>
      </c>
      <c r="X28" s="44">
        <f>N28+P28+R28+T28+U3+V28</f>
        <v>497722</v>
      </c>
    </row>
    <row r="29" spans="2:28" x14ac:dyDescent="0.3">
      <c r="F29" s="59"/>
      <c r="G29" s="59"/>
      <c r="H29" s="60"/>
      <c r="I29" s="60"/>
      <c r="J29" s="60"/>
    </row>
  </sheetData>
  <mergeCells count="1">
    <mergeCell ref="Y2:AB2"/>
  </mergeCells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K27"/>
  <sheetViews>
    <sheetView tabSelected="1" workbookViewId="0">
      <selection activeCell="B3" sqref="B3:G26"/>
    </sheetView>
  </sheetViews>
  <sheetFormatPr baseColWidth="10" defaultColWidth="11.44140625" defaultRowHeight="13.2" x14ac:dyDescent="0.25"/>
  <cols>
    <col min="1" max="1" width="11.44140625" style="12"/>
    <col min="2" max="2" width="5.21875" style="12" customWidth="1"/>
    <col min="3" max="3" width="61.5546875" style="12" customWidth="1"/>
    <col min="4" max="4" width="8" style="12" customWidth="1"/>
    <col min="5" max="5" width="11.44140625" style="12"/>
    <col min="6" max="7" width="11.44140625" style="12" customWidth="1"/>
    <col min="8" max="8" width="15.44140625" style="12" customWidth="1"/>
    <col min="9" max="9" width="22.33203125" style="12" customWidth="1"/>
    <col min="10" max="16384" width="11.44140625" style="12"/>
  </cols>
  <sheetData>
    <row r="3" spans="2:11" ht="69" customHeight="1" x14ac:dyDescent="0.3">
      <c r="B3" s="32" t="s">
        <v>23</v>
      </c>
      <c r="C3" s="32" t="s">
        <v>22</v>
      </c>
      <c r="D3" s="46" t="s">
        <v>24</v>
      </c>
      <c r="E3" s="32" t="s">
        <v>25</v>
      </c>
      <c r="F3" s="32" t="s">
        <v>48</v>
      </c>
      <c r="G3" s="32" t="s">
        <v>49</v>
      </c>
      <c r="H3" s="7" t="s">
        <v>46</v>
      </c>
      <c r="I3" s="7" t="s">
        <v>47</v>
      </c>
    </row>
    <row r="4" spans="2:11" ht="18" customHeight="1" x14ac:dyDescent="0.3">
      <c r="B4" s="35" t="s">
        <v>0</v>
      </c>
      <c r="C4" s="20" t="s">
        <v>56</v>
      </c>
      <c r="D4" s="36"/>
      <c r="E4" s="23"/>
      <c r="F4" s="23"/>
      <c r="G4" s="23"/>
      <c r="H4" s="6"/>
      <c r="I4" s="6"/>
    </row>
    <row r="5" spans="2:11" ht="99.6" customHeight="1" x14ac:dyDescent="0.3">
      <c r="B5" s="40" t="s">
        <v>0</v>
      </c>
      <c r="C5" s="78" t="s">
        <v>69</v>
      </c>
      <c r="D5" s="41" t="s">
        <v>1</v>
      </c>
      <c r="E5" s="39">
        <v>235</v>
      </c>
      <c r="F5" s="39"/>
      <c r="G5" s="39"/>
      <c r="H5" s="43">
        <v>28571</v>
      </c>
      <c r="I5" s="43">
        <f>H5*E5</f>
        <v>6714185</v>
      </c>
      <c r="K5" s="31"/>
    </row>
    <row r="6" spans="2:11" ht="100.2" customHeight="1" x14ac:dyDescent="0.3">
      <c r="B6" s="40" t="s">
        <v>2</v>
      </c>
      <c r="C6" s="78" t="s">
        <v>70</v>
      </c>
      <c r="D6" s="41" t="s">
        <v>1</v>
      </c>
      <c r="E6" s="39">
        <v>5</v>
      </c>
      <c r="F6" s="39"/>
      <c r="G6" s="39"/>
      <c r="H6" s="43">
        <v>1037488</v>
      </c>
      <c r="I6" s="43">
        <f t="shared" ref="I6:I26" si="0">H6*E6</f>
        <v>5187440</v>
      </c>
      <c r="K6" s="31"/>
    </row>
    <row r="7" spans="2:11" ht="102.6" customHeight="1" x14ac:dyDescent="0.3">
      <c r="B7" s="40" t="s">
        <v>3</v>
      </c>
      <c r="C7" s="78" t="s">
        <v>71</v>
      </c>
      <c r="D7" s="41" t="s">
        <v>1</v>
      </c>
      <c r="E7" s="39">
        <v>4</v>
      </c>
      <c r="F7" s="39"/>
      <c r="G7" s="39"/>
      <c r="H7" s="43">
        <v>529682</v>
      </c>
      <c r="I7" s="43">
        <f t="shared" si="0"/>
        <v>2118728</v>
      </c>
      <c r="K7" s="31"/>
    </row>
    <row r="8" spans="2:11" ht="27" x14ac:dyDescent="0.3">
      <c r="B8" s="40" t="s">
        <v>4</v>
      </c>
      <c r="C8" s="78" t="s">
        <v>72</v>
      </c>
      <c r="D8" s="41" t="s">
        <v>1</v>
      </c>
      <c r="E8" s="39">
        <v>540</v>
      </c>
      <c r="F8" s="39"/>
      <c r="G8" s="39"/>
      <c r="H8" s="43">
        <v>5681</v>
      </c>
      <c r="I8" s="43">
        <f t="shared" si="0"/>
        <v>3067740</v>
      </c>
      <c r="K8" s="31"/>
    </row>
    <row r="9" spans="2:11" ht="48" customHeight="1" x14ac:dyDescent="0.3">
      <c r="B9" s="40" t="s">
        <v>5</v>
      </c>
      <c r="C9" s="78" t="s">
        <v>82</v>
      </c>
      <c r="D9" s="41" t="s">
        <v>1</v>
      </c>
      <c r="E9" s="39">
        <v>8</v>
      </c>
      <c r="F9" s="39"/>
      <c r="G9" s="39"/>
      <c r="H9" s="43">
        <v>107409</v>
      </c>
      <c r="I9" s="43">
        <f t="shared" si="0"/>
        <v>859272</v>
      </c>
      <c r="K9" s="31"/>
    </row>
    <row r="10" spans="2:11" ht="66.599999999999994" customHeight="1" x14ac:dyDescent="0.3">
      <c r="B10" s="40" t="s">
        <v>6</v>
      </c>
      <c r="C10" s="78" t="s">
        <v>73</v>
      </c>
      <c r="D10" s="41" t="s">
        <v>1</v>
      </c>
      <c r="E10" s="39">
        <v>6</v>
      </c>
      <c r="F10" s="39"/>
      <c r="G10" s="39"/>
      <c r="H10" s="43">
        <v>28571</v>
      </c>
      <c r="I10" s="43">
        <f t="shared" si="0"/>
        <v>171426</v>
      </c>
      <c r="K10" s="31"/>
    </row>
    <row r="11" spans="2:11" ht="93" x14ac:dyDescent="0.3">
      <c r="B11" s="40" t="s">
        <v>7</v>
      </c>
      <c r="C11" s="78" t="s">
        <v>74</v>
      </c>
      <c r="D11" s="41" t="s">
        <v>1</v>
      </c>
      <c r="E11" s="39">
        <v>4</v>
      </c>
      <c r="F11" s="39"/>
      <c r="G11" s="39"/>
      <c r="H11" s="43">
        <v>392291</v>
      </c>
      <c r="I11" s="43">
        <f t="shared" si="0"/>
        <v>1569164</v>
      </c>
      <c r="K11" s="31"/>
    </row>
    <row r="12" spans="2:11" ht="96.75" customHeight="1" x14ac:dyDescent="0.3">
      <c r="B12" s="40" t="s">
        <v>8</v>
      </c>
      <c r="C12" s="78" t="s">
        <v>75</v>
      </c>
      <c r="D12" s="41" t="s">
        <v>1</v>
      </c>
      <c r="E12" s="39">
        <v>110</v>
      </c>
      <c r="F12" s="39"/>
      <c r="G12" s="39"/>
      <c r="H12" s="43">
        <v>7979</v>
      </c>
      <c r="I12" s="43">
        <f t="shared" si="0"/>
        <v>877690</v>
      </c>
      <c r="K12" s="31"/>
    </row>
    <row r="13" spans="2:11" ht="78" customHeight="1" x14ac:dyDescent="0.3">
      <c r="B13" s="40" t="s">
        <v>9</v>
      </c>
      <c r="C13" s="78" t="s">
        <v>76</v>
      </c>
      <c r="D13" s="41" t="s">
        <v>1</v>
      </c>
      <c r="E13" s="39">
        <v>26</v>
      </c>
      <c r="F13" s="39"/>
      <c r="G13" s="39"/>
      <c r="H13" s="43">
        <v>15143</v>
      </c>
      <c r="I13" s="43">
        <f t="shared" si="0"/>
        <v>393718</v>
      </c>
      <c r="K13" s="31"/>
    </row>
    <row r="14" spans="2:11" ht="64.2" customHeight="1" x14ac:dyDescent="0.3">
      <c r="B14" s="40" t="s">
        <v>10</v>
      </c>
      <c r="C14" s="78" t="s">
        <v>77</v>
      </c>
      <c r="D14" s="41" t="s">
        <v>1</v>
      </c>
      <c r="E14" s="39">
        <v>17</v>
      </c>
      <c r="F14" s="39"/>
      <c r="G14" s="39"/>
      <c r="H14" s="43">
        <v>402390</v>
      </c>
      <c r="I14" s="43">
        <f t="shared" si="0"/>
        <v>6840630</v>
      </c>
      <c r="K14" s="31"/>
    </row>
    <row r="15" spans="2:11" ht="37.200000000000003" customHeight="1" x14ac:dyDescent="0.3">
      <c r="B15" s="40" t="s">
        <v>11</v>
      </c>
      <c r="C15" s="51" t="s">
        <v>78</v>
      </c>
      <c r="D15" s="41" t="s">
        <v>1</v>
      </c>
      <c r="E15" s="39">
        <v>12</v>
      </c>
      <c r="F15" s="39"/>
      <c r="G15" s="39"/>
      <c r="H15" s="43">
        <v>1999</v>
      </c>
      <c r="I15" s="43">
        <f t="shared" si="0"/>
        <v>23988</v>
      </c>
      <c r="K15" s="31"/>
    </row>
    <row r="16" spans="2:11" ht="118.2" customHeight="1" x14ac:dyDescent="0.3">
      <c r="B16" s="40" t="s">
        <v>12</v>
      </c>
      <c r="C16" s="78" t="s">
        <v>79</v>
      </c>
      <c r="D16" s="41" t="s">
        <v>1</v>
      </c>
      <c r="E16" s="39">
        <v>25</v>
      </c>
      <c r="F16" s="39"/>
      <c r="G16" s="39"/>
      <c r="H16" s="43">
        <v>14286</v>
      </c>
      <c r="I16" s="43">
        <f t="shared" si="0"/>
        <v>357150</v>
      </c>
      <c r="K16" s="31"/>
    </row>
    <row r="17" spans="2:11" ht="108.6" customHeight="1" x14ac:dyDescent="0.3">
      <c r="B17" s="40" t="s">
        <v>13</v>
      </c>
      <c r="C17" s="78" t="s">
        <v>80</v>
      </c>
      <c r="D17" s="41" t="s">
        <v>1</v>
      </c>
      <c r="E17" s="39">
        <v>5</v>
      </c>
      <c r="F17" s="39"/>
      <c r="G17" s="39"/>
      <c r="H17" s="43">
        <v>399869</v>
      </c>
      <c r="I17" s="43">
        <f t="shared" si="0"/>
        <v>1999345</v>
      </c>
      <c r="K17" s="31"/>
    </row>
    <row r="18" spans="2:11" ht="39" customHeight="1" x14ac:dyDescent="0.3">
      <c r="B18" s="40" t="s">
        <v>14</v>
      </c>
      <c r="C18" s="78" t="s">
        <v>81</v>
      </c>
      <c r="D18" s="41" t="s">
        <v>1</v>
      </c>
      <c r="E18" s="39">
        <v>2</v>
      </c>
      <c r="F18" s="39"/>
      <c r="G18" s="39"/>
      <c r="H18" s="43">
        <v>47531</v>
      </c>
      <c r="I18" s="43">
        <f t="shared" si="0"/>
        <v>95062</v>
      </c>
      <c r="K18" s="31"/>
    </row>
    <row r="19" spans="2:11" ht="36" customHeight="1" x14ac:dyDescent="0.3">
      <c r="B19" s="40" t="s">
        <v>2</v>
      </c>
      <c r="C19" s="76" t="s">
        <v>57</v>
      </c>
      <c r="D19" s="41" t="s">
        <v>1</v>
      </c>
      <c r="E19" s="39"/>
      <c r="F19" s="39"/>
      <c r="G19" s="39"/>
      <c r="H19" s="43"/>
      <c r="I19" s="43"/>
      <c r="K19" s="31"/>
    </row>
    <row r="20" spans="2:11" ht="31.5" customHeight="1" x14ac:dyDescent="0.3">
      <c r="B20" s="40" t="s">
        <v>15</v>
      </c>
      <c r="C20" s="48" t="s">
        <v>88</v>
      </c>
      <c r="D20" s="41" t="s">
        <v>1</v>
      </c>
      <c r="E20" s="39">
        <v>72</v>
      </c>
      <c r="F20" s="39"/>
      <c r="G20" s="39"/>
      <c r="H20" s="43">
        <v>35714</v>
      </c>
      <c r="I20" s="43">
        <f t="shared" si="0"/>
        <v>2571408</v>
      </c>
      <c r="K20" s="31"/>
    </row>
    <row r="21" spans="2:11" ht="36" customHeight="1" x14ac:dyDescent="0.3">
      <c r="B21" s="40" t="s">
        <v>16</v>
      </c>
      <c r="C21" s="49" t="s">
        <v>59</v>
      </c>
      <c r="D21" s="41" t="s">
        <v>1</v>
      </c>
      <c r="E21" s="39">
        <v>25</v>
      </c>
      <c r="F21" s="39"/>
      <c r="G21" s="39"/>
      <c r="H21" s="43">
        <v>126135</v>
      </c>
      <c r="I21" s="43">
        <f t="shared" si="0"/>
        <v>3153375</v>
      </c>
      <c r="K21" s="31"/>
    </row>
    <row r="22" spans="2:11" ht="42.75" customHeight="1" x14ac:dyDescent="0.3">
      <c r="B22" s="40" t="s">
        <v>17</v>
      </c>
      <c r="C22" s="49" t="s">
        <v>83</v>
      </c>
      <c r="D22" s="41"/>
      <c r="E22" s="39">
        <v>387</v>
      </c>
      <c r="F22" s="39"/>
      <c r="G22" s="39"/>
      <c r="H22" s="43">
        <v>20714</v>
      </c>
      <c r="I22" s="43">
        <f t="shared" si="0"/>
        <v>8016318</v>
      </c>
      <c r="K22" s="31"/>
    </row>
    <row r="23" spans="2:11" ht="56.4" customHeight="1" x14ac:dyDescent="0.3">
      <c r="B23" s="40" t="s">
        <v>18</v>
      </c>
      <c r="C23" s="48" t="s">
        <v>60</v>
      </c>
      <c r="D23" s="41" t="s">
        <v>1</v>
      </c>
      <c r="E23" s="39">
        <v>4</v>
      </c>
      <c r="F23" s="39"/>
      <c r="G23" s="39"/>
      <c r="H23" s="43">
        <v>264286</v>
      </c>
      <c r="I23" s="43">
        <f t="shared" si="0"/>
        <v>1057144</v>
      </c>
      <c r="K23" s="31"/>
    </row>
    <row r="24" spans="2:11" ht="88.5" customHeight="1" x14ac:dyDescent="0.3">
      <c r="B24" s="40" t="s">
        <v>19</v>
      </c>
      <c r="C24" s="48" t="s">
        <v>84</v>
      </c>
      <c r="D24" s="41" t="s">
        <v>1</v>
      </c>
      <c r="E24" s="39">
        <v>8</v>
      </c>
      <c r="F24" s="39"/>
      <c r="G24" s="39"/>
      <c r="H24" s="43">
        <v>137181</v>
      </c>
      <c r="I24" s="43">
        <f t="shared" si="0"/>
        <v>1097448</v>
      </c>
      <c r="K24" s="31"/>
    </row>
    <row r="25" spans="2:11" ht="74.400000000000006" customHeight="1" x14ac:dyDescent="0.3">
      <c r="B25" s="40" t="s">
        <v>20</v>
      </c>
      <c r="C25" s="48" t="s">
        <v>61</v>
      </c>
      <c r="D25" s="41" t="s">
        <v>1</v>
      </c>
      <c r="E25" s="39">
        <v>45</v>
      </c>
      <c r="F25" s="39"/>
      <c r="G25" s="39"/>
      <c r="H25" s="43">
        <v>27857</v>
      </c>
      <c r="I25" s="43">
        <f t="shared" si="0"/>
        <v>1253565</v>
      </c>
      <c r="K25" s="31"/>
    </row>
    <row r="26" spans="2:11" ht="113.4" customHeight="1" x14ac:dyDescent="0.3">
      <c r="B26" s="40" t="s">
        <v>21</v>
      </c>
      <c r="C26" s="48" t="s">
        <v>85</v>
      </c>
      <c r="D26" s="41" t="s">
        <v>1</v>
      </c>
      <c r="E26" s="39">
        <v>3</v>
      </c>
      <c r="F26" s="39"/>
      <c r="G26" s="39"/>
      <c r="H26" s="43">
        <v>407143</v>
      </c>
      <c r="I26" s="43">
        <f t="shared" si="0"/>
        <v>1221429</v>
      </c>
      <c r="K26" s="31"/>
    </row>
    <row r="27" spans="2:11" x14ac:dyDescent="0.25">
      <c r="I27" s="75">
        <f>SUM(I5:I26)</f>
        <v>48646225</v>
      </c>
    </row>
  </sheetData>
  <phoneticPr fontId="1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H4"/>
  <sheetViews>
    <sheetView workbookViewId="0">
      <selection activeCell="G4" sqref="G4"/>
    </sheetView>
  </sheetViews>
  <sheetFormatPr baseColWidth="10" defaultRowHeight="13.2" x14ac:dyDescent="0.25"/>
  <cols>
    <col min="2" max="2" width="14.44140625" customWidth="1"/>
    <col min="3" max="3" width="5.33203125" customWidth="1"/>
    <col min="4" max="4" width="26" customWidth="1"/>
    <col min="5" max="5" width="14.6640625" customWidth="1"/>
  </cols>
  <sheetData>
    <row r="3" spans="2:8" ht="20.399999999999999" x14ac:dyDescent="0.25">
      <c r="B3" s="8" t="s">
        <v>50</v>
      </c>
      <c r="C3" s="8" t="s">
        <v>51</v>
      </c>
      <c r="D3" s="8" t="s">
        <v>52</v>
      </c>
      <c r="E3" s="8" t="s">
        <v>24</v>
      </c>
      <c r="F3" s="9" t="s">
        <v>53</v>
      </c>
      <c r="G3" s="9" t="s">
        <v>54</v>
      </c>
      <c r="H3" s="9" t="s">
        <v>55</v>
      </c>
    </row>
    <row r="4" spans="2:8" ht="55.2" customHeight="1" x14ac:dyDescent="0.25">
      <c r="B4" s="10" t="s">
        <v>66</v>
      </c>
      <c r="C4" s="10">
        <v>10</v>
      </c>
      <c r="D4" s="10" t="s">
        <v>67</v>
      </c>
      <c r="E4" s="10" t="s">
        <v>68</v>
      </c>
      <c r="F4" s="11">
        <v>49143947</v>
      </c>
      <c r="G4" s="11">
        <v>48646225</v>
      </c>
      <c r="H4" s="11">
        <f>+F4-G4</f>
        <v>497722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ANALISIS DE LAS COTIZACIONES</vt:lpstr>
      <vt:lpstr>PROYECCION CANTIDADES MINIMAS</vt:lpstr>
      <vt:lpstr>PRECIO DE REFERENCIA</vt:lpstr>
      <vt:lpstr>PRESUPUESTO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CENACUCUC1</dc:creator>
  <cp:keywords/>
  <dc:description/>
  <cp:lastModifiedBy>YOLEIMA CARDENAS MENDOZA</cp:lastModifiedBy>
  <dcterms:created xsi:type="dcterms:W3CDTF">2024-02-13T20:19:26Z</dcterms:created>
  <dcterms:modified xsi:type="dcterms:W3CDTF">2026-03-03T14:53:54Z</dcterms:modified>
  <cp:category/>
  <cp:contentStatus/>
</cp:coreProperties>
</file>