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lo\Downloads\"/>
    </mc:Choice>
  </mc:AlternateContent>
  <xr:revisionPtr revIDLastSave="0" documentId="13_ncr:1_{EC7DA03A-2B59-45E0-A235-D681A2754D6B}" xr6:coauthVersionLast="47" xr6:coauthVersionMax="47" xr10:uidLastSave="{00000000-0000-0000-0000-000000000000}"/>
  <bookViews>
    <workbookView xWindow="-110" yWindow="-110" windowWidth="19420" windowHeight="10300" firstSheet="1" activeTab="1" xr2:uid="{CDABD794-D074-AB49-B364-1CC5D7FCCF8E}"/>
  </bookViews>
  <sheets>
    <sheet name="Media-2026" sheetId="17" r:id="rId1"/>
    <sheet name="OFICIAL" sheetId="18" r:id="rId2"/>
    <sheet name="PRESUPUESTO" sheetId="15" r:id="rId3"/>
    <sheet name="PERSONAL" sheetId="14" r:id="rId4"/>
    <sheet name="INSUMOS DE ASEO Y CAFETERIA" sheetId="10" r:id="rId5"/>
    <sheet name="INSUMOS PISCINA" sheetId="11" r:id="rId6"/>
    <sheet name="MTO GRAMA" sheetId="16" r:id="rId7"/>
  </sheets>
  <definedNames>
    <definedName name="_xlnm.Print_Area" localSheetId="4">'INSUMOS DE ASEO Y CAFETERIA'!$A$1:$H$48</definedName>
    <definedName name="_xlnm.Print_Area" localSheetId="5">'INSUMOS PISCINA'!$A$1:$I$15</definedName>
    <definedName name="_xlnm.Print_Area" localSheetId="6">'MTO GRAMA'!$A$1:$E$9</definedName>
    <definedName name="_xlnm.Print_Area" localSheetId="1">OFICIAL!$B$1:$G$28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7" l="1"/>
  <c r="G16" i="18" l="1"/>
  <c r="G14" i="18"/>
  <c r="G12" i="18"/>
  <c r="G11" i="18"/>
  <c r="G10" i="18"/>
  <c r="G9" i="18"/>
  <c r="G8" i="18"/>
  <c r="G7" i="18"/>
  <c r="B22" i="14"/>
  <c r="D22" i="14"/>
  <c r="I15" i="14"/>
  <c r="H23" i="10"/>
  <c r="H39" i="10"/>
  <c r="D47" i="10"/>
  <c r="D14" i="11"/>
  <c r="E9" i="16"/>
  <c r="I19" i="14" s="1"/>
  <c r="I22" i="14" s="1"/>
  <c r="F14" i="15" s="1"/>
  <c r="I3" i="11"/>
  <c r="I4" i="11"/>
  <c r="I6" i="11"/>
  <c r="I7" i="11"/>
  <c r="I10" i="11"/>
  <c r="I13" i="11"/>
  <c r="H17" i="14"/>
  <c r="H22" i="14"/>
  <c r="F12" i="15"/>
  <c r="G12" i="15"/>
  <c r="H45" i="10"/>
  <c r="D18" i="14"/>
  <c r="F7" i="15"/>
  <c r="G7" i="15" s="1"/>
  <c r="H3" i="14"/>
  <c r="J22" i="14"/>
  <c r="L24" i="14" s="1"/>
  <c r="M16" i="17"/>
  <c r="M15" i="17"/>
  <c r="M14" i="17"/>
  <c r="M13" i="17"/>
  <c r="M12" i="17"/>
  <c r="M11" i="17"/>
  <c r="M21" i="17"/>
  <c r="M22" i="17"/>
  <c r="M23" i="17"/>
  <c r="M24" i="17"/>
  <c r="M25" i="17"/>
  <c r="L11" i="17"/>
  <c r="L12" i="17"/>
  <c r="L13" i="17"/>
  <c r="L14" i="17"/>
  <c r="L15" i="17"/>
  <c r="L16" i="17"/>
  <c r="L18" i="17"/>
  <c r="M18" i="17"/>
  <c r="L20" i="17"/>
  <c r="M20" i="17"/>
  <c r="B5" i="14"/>
  <c r="B6" i="14"/>
  <c r="B7" i="14"/>
  <c r="B8" i="14"/>
  <c r="B9" i="14"/>
  <c r="B10" i="14"/>
  <c r="B11" i="14"/>
  <c r="B13" i="14"/>
  <c r="B15" i="14"/>
  <c r="F5" i="15"/>
  <c r="I5" i="15"/>
  <c r="L5" i="15" s="1"/>
  <c r="M5" i="15" s="1"/>
  <c r="C5" i="14"/>
  <c r="C6" i="14"/>
  <c r="C7" i="14"/>
  <c r="C8" i="14"/>
  <c r="C9" i="14"/>
  <c r="C10" i="14"/>
  <c r="C11" i="14"/>
  <c r="C13" i="14"/>
  <c r="C15" i="14"/>
  <c r="C22" i="14"/>
  <c r="F6" i="15"/>
  <c r="I6" i="15"/>
  <c r="L6" i="15"/>
  <c r="N6" i="15"/>
  <c r="P6" i="15"/>
  <c r="Q6" i="15"/>
  <c r="D5" i="14"/>
  <c r="D6" i="14"/>
  <c r="D7" i="14"/>
  <c r="D8" i="14"/>
  <c r="D9" i="14"/>
  <c r="D10" i="14"/>
  <c r="D11" i="14"/>
  <c r="D13" i="14"/>
  <c r="D15" i="14"/>
  <c r="E5" i="14"/>
  <c r="E6" i="14"/>
  <c r="E7" i="14"/>
  <c r="E8" i="14"/>
  <c r="E9" i="14"/>
  <c r="E10" i="14"/>
  <c r="E11" i="14"/>
  <c r="E13" i="14"/>
  <c r="E15" i="14"/>
  <c r="E22" i="14"/>
  <c r="F8" i="15"/>
  <c r="I8" i="15"/>
  <c r="L8" i="15"/>
  <c r="N8" i="15"/>
  <c r="P8" i="15"/>
  <c r="Q8" i="15"/>
  <c r="F5" i="14"/>
  <c r="F6" i="14"/>
  <c r="F7" i="14"/>
  <c r="F8" i="14"/>
  <c r="F9" i="14"/>
  <c r="F10" i="14"/>
  <c r="F11" i="14"/>
  <c r="F13" i="14"/>
  <c r="F15" i="14"/>
  <c r="F22" i="14"/>
  <c r="F9" i="15"/>
  <c r="I9" i="15"/>
  <c r="L9" i="15"/>
  <c r="N9" i="15"/>
  <c r="P9" i="15"/>
  <c r="Q9" i="15"/>
  <c r="G5" i="14"/>
  <c r="G6" i="14"/>
  <c r="G7" i="14"/>
  <c r="G8" i="14"/>
  <c r="G9" i="14"/>
  <c r="G10" i="14"/>
  <c r="G11" i="14"/>
  <c r="G13" i="14"/>
  <c r="G15" i="14"/>
  <c r="G22" i="14"/>
  <c r="F10" i="15"/>
  <c r="I10" i="15"/>
  <c r="L10" i="15"/>
  <c r="N10" i="15"/>
  <c r="P10" i="15"/>
  <c r="Q10" i="15"/>
  <c r="H5" i="14"/>
  <c r="H6" i="14"/>
  <c r="H7" i="14"/>
  <c r="H8" i="14"/>
  <c r="H9" i="14"/>
  <c r="H10" i="14"/>
  <c r="H11" i="14"/>
  <c r="H13" i="14"/>
  <c r="H15" i="14"/>
  <c r="H5" i="11"/>
  <c r="I5" i="11"/>
  <c r="I12" i="15"/>
  <c r="L12" i="15"/>
  <c r="N12" i="15"/>
  <c r="P12" i="15"/>
  <c r="Q12" i="15"/>
  <c r="I5" i="14"/>
  <c r="I6" i="14"/>
  <c r="I7" i="14"/>
  <c r="I8" i="14"/>
  <c r="I9" i="14"/>
  <c r="I10" i="14"/>
  <c r="I11" i="14"/>
  <c r="I13" i="14"/>
  <c r="K18" i="17"/>
  <c r="K20" i="17"/>
  <c r="K12" i="17"/>
  <c r="K13" i="17"/>
  <c r="K14" i="17"/>
  <c r="K15" i="17"/>
  <c r="K16" i="17"/>
  <c r="K11" i="17"/>
  <c r="I18" i="17"/>
  <c r="I20" i="17"/>
  <c r="I13" i="17"/>
  <c r="I14" i="17"/>
  <c r="I15" i="17"/>
  <c r="I16" i="17"/>
  <c r="I12" i="17"/>
  <c r="G5" i="15"/>
  <c r="G6" i="15"/>
  <c r="G8" i="15"/>
  <c r="G9" i="15"/>
  <c r="G10" i="15"/>
  <c r="G18" i="17"/>
  <c r="G20" i="17"/>
  <c r="G13" i="17"/>
  <c r="G14" i="17"/>
  <c r="G15" i="17"/>
  <c r="G16" i="17"/>
  <c r="G12" i="17"/>
  <c r="I11" i="17"/>
  <c r="G11" i="17"/>
  <c r="G21" i="17"/>
  <c r="K21" i="17"/>
  <c r="I21" i="17"/>
  <c r="K25" i="17"/>
  <c r="I25" i="17"/>
  <c r="D14" i="14"/>
  <c r="C14" i="14"/>
  <c r="B14" i="14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40" i="10"/>
  <c r="H41" i="10"/>
  <c r="H42" i="10"/>
  <c r="H43" i="10"/>
  <c r="H44" i="10"/>
  <c r="F14" i="14"/>
  <c r="I14" i="14"/>
  <c r="H14" i="14"/>
  <c r="E14" i="14"/>
  <c r="H3" i="11"/>
  <c r="C1" i="14"/>
  <c r="E1" i="14"/>
  <c r="D1" i="14"/>
  <c r="J10" i="15"/>
  <c r="M10" i="15"/>
  <c r="O10" i="15"/>
  <c r="J9" i="15"/>
  <c r="M9" i="15"/>
  <c r="O9" i="15"/>
  <c r="J6" i="15"/>
  <c r="M6" i="15"/>
  <c r="H6" i="11"/>
  <c r="H7" i="11"/>
  <c r="H8" i="11"/>
  <c r="I8" i="11"/>
  <c r="H9" i="11"/>
  <c r="I9" i="11"/>
  <c r="H10" i="11"/>
  <c r="H11" i="11"/>
  <c r="I11" i="11"/>
  <c r="H12" i="11"/>
  <c r="I12" i="11"/>
  <c r="H4" i="11"/>
  <c r="H13" i="11"/>
  <c r="H3" i="10"/>
  <c r="O6" i="15"/>
  <c r="L22" i="14"/>
  <c r="J8" i="15"/>
  <c r="M8" i="15"/>
  <c r="J12" i="15"/>
  <c r="M12" i="15"/>
  <c r="O8" i="15"/>
  <c r="O12" i="15"/>
  <c r="G17" i="18" l="1"/>
  <c r="N5" i="15"/>
  <c r="O5" i="15" s="1"/>
  <c r="J5" i="15"/>
  <c r="I7" i="15"/>
  <c r="G14" i="15"/>
  <c r="G15" i="15" s="1"/>
  <c r="G16" i="15" s="1"/>
  <c r="I14" i="15"/>
  <c r="G18" i="18" l="1"/>
  <c r="G19" i="18"/>
  <c r="G20" i="18" s="1"/>
  <c r="G21" i="18" s="1"/>
  <c r="G25" i="18" s="1"/>
  <c r="P5" i="15"/>
  <c r="Q5" i="15" s="1"/>
  <c r="J7" i="15"/>
  <c r="L7" i="15"/>
  <c r="M7" i="15" s="1"/>
  <c r="N7" i="15"/>
  <c r="O7" i="15" s="1"/>
  <c r="J14" i="15"/>
  <c r="J15" i="15" s="1"/>
  <c r="L14" i="15"/>
  <c r="G17" i="15"/>
  <c r="G18" i="15" s="1"/>
  <c r="M14" i="15" l="1"/>
  <c r="M15" i="15" s="1"/>
  <c r="N14" i="15"/>
  <c r="P7" i="15"/>
  <c r="Q7" i="15" s="1"/>
  <c r="G19" i="15"/>
  <c r="G23" i="15" s="1"/>
  <c r="J16" i="15"/>
  <c r="J17" i="15"/>
  <c r="M17" i="15" l="1"/>
  <c r="M18" i="15" s="1"/>
  <c r="M19" i="15" s="1"/>
  <c r="M23" i="15" s="1"/>
  <c r="M16" i="15"/>
  <c r="O14" i="15"/>
  <c r="O15" i="15" s="1"/>
  <c r="P14" i="15"/>
  <c r="Q14" i="15" s="1"/>
  <c r="Q15" i="15" s="1"/>
  <c r="J18" i="15"/>
  <c r="J19" i="15"/>
  <c r="J23" i="15" s="1"/>
  <c r="Q16" i="15"/>
  <c r="Q17" i="15"/>
  <c r="O16" i="15" l="1"/>
  <c r="O18" i="15" s="1"/>
  <c r="O19" i="15" s="1"/>
  <c r="O23" i="15" s="1"/>
  <c r="O17" i="15"/>
  <c r="Q18" i="15"/>
  <c r="Q19" i="15" s="1"/>
  <c r="Q23" i="15" s="1"/>
</calcChain>
</file>

<file path=xl/sharedStrings.xml><?xml version="1.0" encoding="utf-8"?>
<sst xmlns="http://schemas.openxmlformats.org/spreadsheetml/2006/main" count="426" uniqueCount="264">
  <si>
    <t>Paquete</t>
  </si>
  <si>
    <t>Unidad</t>
  </si>
  <si>
    <t>ITEM</t>
  </si>
  <si>
    <t>DESCRIPCION</t>
  </si>
  <si>
    <t>BIEN</t>
  </si>
  <si>
    <t>Bolsas Plasticas</t>
  </si>
  <si>
    <t>Paquete de mínimo 6</t>
  </si>
  <si>
    <t>PRESENTACION</t>
  </si>
  <si>
    <t>Elaborada en polietileno de baja densidad
- De colores (verde, negra, blanca, según pedido)
-Calibre de mínimo 3
- Tamaño de 80 cm de ancho por 110 cm de largo</t>
  </si>
  <si>
    <t>Elaborada en polietileno de baja densidad
- De colores (verde, negra, blanca, según pedido)
- Calibre de mínimo 1
- Tamaño de 40 cm de ancho por 55 cm de largo</t>
  </si>
  <si>
    <t>Limpiador desinfectante para pisos</t>
  </si>
  <si>
    <t>Líquido, en recipiente plástico con capacidad mínima de 500 ml</t>
  </si>
  <si>
    <t xml:space="preserve">Apariencia: Líquido transparente
- Color y olor: De acuerdo a la fragancia
- Producto biodegradable que no afectas la capa de ozono
- Solubilidad: Total en agua
- PH: 7.5 - 8.5
- Composición: Tensoactivos, espesante, coadyuvante, colorante 
</t>
  </si>
  <si>
    <t>Ambientador 2</t>
  </si>
  <si>
    <t>Líquido, en aerosol seguro para la capa de ozono con capacidad mínima de 360 ml</t>
  </si>
  <si>
    <t>Solución con alcohol etílico y solventes.
- Con fragancia en una concentración del 1,5%
- En múltiples fragancias
- libre de CFC
- Elaborado en material reciclable</t>
  </si>
  <si>
    <t>- Solución con agentes desinfectantes, desmanchadores y desengrasantes  en concentración mínima del 15%.
- Biodegradable mínimo en un 95%</t>
  </si>
  <si>
    <t>Líquido, en recipiente plástico con capacidad mínima de 1000 ml</t>
  </si>
  <si>
    <t>Detergente biodegradable multiusos en polvo</t>
  </si>
  <si>
    <t>Polvo, en bolsa plástica o recipiente plástico
con un peso de 500 g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</si>
  <si>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</t>
  </si>
  <si>
    <t>Varsol</t>
  </si>
  <si>
    <t>Varsol  ecológico</t>
  </si>
  <si>
    <t>Líquido, en recipiente plástico con capacidad mínima de 850 ml</t>
  </si>
  <si>
    <t>Varsol transparente sin olor, desengrasante y desmachador, uso domesticos</t>
  </si>
  <si>
    <t>Creolina 1</t>
  </si>
  <si>
    <t>- Solución con una concentración mínima de fenoles de 4%</t>
  </si>
  <si>
    <t>Líquido, en recipiente
plástico con capacidad mínima de 500 ml</t>
  </si>
  <si>
    <t>Cepillo para sanitario (churrusco)</t>
  </si>
  <si>
    <t>- Cerdas duras elaboradas en fibras plásticas
- Extensión mínima de las cerdas es de 2,5 cm
- Base y mango elaborados en plástico
- Mango con longitud mínima de 33 cm (incluida la medida del cepillo)</t>
  </si>
  <si>
    <t>Escoba 1</t>
  </si>
  <si>
    <t>Cerdas suaves elaboradas con PET calibre entre 0,3 y 0,4 mm.
- Área de barrido mínima de 25 cm de largo por 8 cm de ancho por 10 cm de alto
- Material de base en plástico con acople tipo rosca</t>
  </si>
  <si>
    <t>Cerdas elaboradas en Paja
- Área de barrido mínima de 25 cm de largo por 10 cm de alto
- Cerdas asegurados con una cinta de acero.</t>
  </si>
  <si>
    <t>Esponjilla 2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</si>
  <si>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</si>
  <si>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>Guantes 3</t>
  </si>
  <si>
    <t>Par</t>
  </si>
  <si>
    <t>Tipo doméstico
- Elaborados en látex
- Calibre mínimo de 25
- Tallas 7 a 9 o S a XL
- Color negro y amarillo</t>
  </si>
  <si>
    <t>Blanqueador o hipoclorito 2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</si>
  <si>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</si>
  <si>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Trapero 3</t>
  </si>
  <si>
    <t>- Elaborado con hilaza de algodón natural
- Mecha con peso mínimo de 435 gr y extensión mínima de 32 cm de largo
- Material de base en plástico con acople tipo rosca</t>
  </si>
  <si>
    <t>Organizador  porta traperos</t>
  </si>
  <si>
    <t>Con capacidad para organizar mínimo 4 traperos de manera simultánea</t>
  </si>
  <si>
    <t>Recogedor de basura 1</t>
  </si>
  <si>
    <t>- Elaborado en plástico
- Con banda de goma y dientas barrescobas
- Mango con longitud mínima de 70 cm</t>
  </si>
  <si>
    <t>Toallas para manos 6</t>
  </si>
  <si>
    <t>- Toallas interdobladas, paquete con mínimo 150 unidades
- Doble hoja con un tamaño mínimo de 20 cm de largo por 15 cm de ancho
 - Hoja color blanco</t>
  </si>
  <si>
    <t>Jabón para loza 4</t>
  </si>
  <si>
    <t>- Con agente(s) tensoactivo(s) con efecto limpiador y desengrasante. 
- Disponible en múltiples fragancias.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Con etiqueta de amigable con el ambiente
- Debe contener concentraciones de fósforo iguales o inferiores a 0.65% de fósforo (Resolución 0689 de 2016)</t>
  </si>
  <si>
    <t>Crema, en recipiente plástico de mínimo 500 g</t>
  </si>
  <si>
    <t>Mezclador 1</t>
  </si>
  <si>
    <t>- Mezcladores  elaborados en madera y/o apartir de recursos renovables como la caña de azucar y/o almidón de maíz
- Longitud mínima de 11 cm</t>
  </si>
  <si>
    <t>Paquete de mínimo 500</t>
  </si>
  <si>
    <t>Vasos  1</t>
  </si>
  <si>
    <t>Elaborado en vidrio
- Cilíndrico
- Capacidad mínima de 9 oz</t>
  </si>
  <si>
    <t>Vasos biodegradables 1</t>
  </si>
  <si>
    <t xml:space="preserve"> - Elaborado en cartón 97% biodegradable
- Capacidad mínima de 4 oz</t>
  </si>
  <si>
    <t>Paquete de mínimo 50 unidades</t>
  </si>
  <si>
    <t>Vasos biodegradables 3</t>
  </si>
  <si>
    <t xml:space="preserve"> - Elaborado en cartón 97% biodegradable
- Capacidad mínima de 9 oz</t>
  </si>
  <si>
    <t>Paquete de mínimo 40 unidades</t>
  </si>
  <si>
    <t>Servilleta papel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</si>
  <si>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</si>
  <si>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>Paquete de mínimo 100 unidades</t>
  </si>
  <si>
    <t>Plato Biodegradable 1</t>
  </si>
  <si>
    <t>- Plato pando, circular, sin divisiones 
- Biodegradable  
-Tamaño: 15 cm
- Sin ala
- Elaborado con la fibra de caña de azúcar o almidón de maíz
- No debe contener PVC o Poliestireno expandido u otros plásticos de un solo uso tanto en el envase como en el embalaje.</t>
  </si>
  <si>
    <t>Plato Biodegradable 2</t>
  </si>
  <si>
    <t>- Plato pando, circular, sin divisiones 
- Biodegradable  
-Tamaño: 18 cm
- Sin ala
- Elaborado con la fibra de caña de azúcar o almidón de maíz
- No debe contener PVC o Poliestireno expandido u otros plásticos de un solo uso tanto en el envase como en el embalaje.</t>
  </si>
  <si>
    <t>Café 1</t>
  </si>
  <si>
    <t>- 100% café tostado y molido.   
- Tostión media.                                          
- Denominación de Origen (Anexo 6)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</si>
  <si>
    <t>Aromática con panela</t>
  </si>
  <si>
    <t>- Contiene sobres de mínimo 6g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 (Entrega mínima de 3 sabores)
- 100% natural</t>
  </si>
  <si>
    <t>Caja de 20 unidades</t>
  </si>
  <si>
    <t>Cajas de mínimo 20 en sobres.</t>
  </si>
  <si>
    <t>Aromática</t>
  </si>
  <si>
    <t>Para infusión
- Cajas disponbiles en sabor manzanilla, yerbabuena, cidron, limonaria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</si>
  <si>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</si>
  <si>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</si>
  <si>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</si>
  <si>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>Destapador para sanitario (chupa)</t>
  </si>
  <si>
    <t>- Tipo campana
- Chupa elaborada en caucho
- Diámetro mínimo de 12 cm
- Mango elaborado en madera
- Mango con longitud mínima de 33 cm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</si>
  <si>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</si>
  <si>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>Jabón para manos</t>
  </si>
  <si>
    <t>Rastrillo 1</t>
  </si>
  <si>
    <t>- Barra dentada plástica con mínimo 18 dientes
- Mango metálico  plastificado con longitud mínima de 120 cm</t>
  </si>
  <si>
    <t>VALOR TOTAL UNITARIO</t>
  </si>
  <si>
    <t>VALOR TOTAL MENSUAL</t>
  </si>
  <si>
    <t>Libra (500 gr)</t>
  </si>
  <si>
    <t>Líquido, en recipiente plástico con capacidad
mínima de 500 ml</t>
  </si>
  <si>
    <t>Bayetilla 1</t>
  </si>
  <si>
    <t xml:space="preserve"> - En tela fileteada
 -  100% algodón y fibra natural 
- Color blanco sin estampado
-Tamaño mínimo de 100 cm de largo por 70 cm de ancho</t>
  </si>
  <si>
    <t>Insecticida 1</t>
  </si>
  <si>
    <t>Líquido, en aerosol seguro para la capa de ozono con capacidad
mínima de 350 ml</t>
  </si>
  <si>
    <t>Para eliminar insectos rastreros y/o voladores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</si>
  <si>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Líquido para limpiar vidrios 2</t>
  </si>
  <si>
    <t>- Con agente(s) principal(es) con efecto limpiador y desengrasante en una concentración mínima del 4%
- Disponible mínimo en dos (2)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</si>
  <si>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ml, con
atomizador de pistola.</t>
  </si>
  <si>
    <t>Desmanchador multiusos</t>
  </si>
  <si>
    <t>- Con agente(s) tensoactivo(s) con efecto limpiador y desengrasante
- Para superficies de todo tipo.</t>
  </si>
  <si>
    <t>Crema, en bolsa plástica de mínimo 500 g</t>
  </si>
  <si>
    <t>Papel higiénico 1</t>
  </si>
  <si>
    <t xml:space="preserve"> - Rollo con longitud mínima de 20 metros
 - Doble hoja blanca
 - Sin fragancia</t>
  </si>
  <si>
    <t>Rollo</t>
  </si>
  <si>
    <t>Mango madera escoba 1</t>
  </si>
  <si>
    <t xml:space="preserve">- Extensión mínima de 140 cm
 -Acople plástico o rosca para palos de escoba
 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</si>
  <si>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</si>
  <si>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</si>
  <si>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>Cepillo para paredes y techos</t>
  </si>
  <si>
    <t xml:space="preserve"> - Cuerpo elaborado en plástico
 - Cerdas duras en fibra plástica
 - Largo mínimo de 140 cm</t>
  </si>
  <si>
    <t>PERIODICIDAD ENTREGA</t>
  </si>
  <si>
    <t>Mensual</t>
  </si>
  <si>
    <t>Trimestral</t>
  </si>
  <si>
    <t>Paquete 20 unidades</t>
  </si>
  <si>
    <t>Mango metálico trapero</t>
  </si>
  <si>
    <t>Extensión mínima de 140 cm
Acople plástico o rosca para palos de escoba</t>
  </si>
  <si>
    <t>Escoba Municipio</t>
  </si>
  <si>
    <t>Suministro de quimicos y elementos mantenimiento piscinas</t>
  </si>
  <si>
    <t>Manguera de aspirar diámetro = 1 1/2" Longitud = 15,00 mts</t>
  </si>
  <si>
    <t>Tubos telescópicos 6,00 - 10,00 mts diámetro = 2"</t>
  </si>
  <si>
    <t>Hipoclorito de calcio cloro al 70% de alta densidad (Tambor x 45 kg)</t>
  </si>
  <si>
    <t>Carro aspirador de 12 ruedas americano 1 1/2"</t>
  </si>
  <si>
    <t xml:space="preserve">Sulfato de aluminio tipo A (Bulto x 25 kg) </t>
  </si>
  <si>
    <t>Cepillo de nylon 18" cerda gruesa para piscinas</t>
  </si>
  <si>
    <t>Nasa saca hojas para piscinas</t>
  </si>
  <si>
    <t>Soda caustica (Bulto x 25 kg)</t>
  </si>
  <si>
    <t>Acido tricloroisocianúrico para síntesis al 91% (Tambor x 50 kg)</t>
  </si>
  <si>
    <t>SUMINISTROS DE ASEO Y CAFETERIA</t>
  </si>
  <si>
    <t>Tambor</t>
  </si>
  <si>
    <t>Carro</t>
  </si>
  <si>
    <t>Sulfato</t>
  </si>
  <si>
    <t>Cloro</t>
  </si>
  <si>
    <t>Kilo</t>
  </si>
  <si>
    <t>Bulto</t>
  </si>
  <si>
    <t xml:space="preserve">Soda </t>
  </si>
  <si>
    <t>Manguera</t>
  </si>
  <si>
    <t>Una vez por vigencia contrato</t>
  </si>
  <si>
    <t xml:space="preserve">CANTIDAD </t>
  </si>
  <si>
    <t>Tubo Telescopico</t>
  </si>
  <si>
    <t>Carro aspirador de 8 ruedas americano 1 1/2"</t>
  </si>
  <si>
    <t>Cepillo Piscina</t>
  </si>
  <si>
    <t>Nasas</t>
  </si>
  <si>
    <t>Cloro Granulado</t>
  </si>
  <si>
    <t>VALOR TOTAL</t>
  </si>
  <si>
    <t>JARDINERIA</t>
  </si>
  <si>
    <t>LIMPIEZA GENERAL</t>
  </si>
  <si>
    <t>TODEROS</t>
  </si>
  <si>
    <t>1.3</t>
  </si>
  <si>
    <t>SERVICIO LIMPIEZA DE PISCINAS</t>
  </si>
  <si>
    <t>SERVICIO DE LIMPIEZA DE JARDINERIA</t>
  </si>
  <si>
    <t>SUBTOTAL</t>
  </si>
  <si>
    <t>COSTOS DIRECTOS</t>
  </si>
  <si>
    <t>PISCINERO</t>
  </si>
  <si>
    <t>SALARIO MINIMO</t>
  </si>
  <si>
    <t>HORAS EXTRAS RECARGO NOCTURNO COMPLEMENTARIOS DOMINICALES , FESTIVOS Y BONIFICACIONES PERIODICAS</t>
  </si>
  <si>
    <t>SUBSIDIO DE TRANSPORTE</t>
  </si>
  <si>
    <t>CESANTIAS (8,33%)</t>
  </si>
  <si>
    <t>INTERESES A LAS CESANTIAS (1%)</t>
  </si>
  <si>
    <t>VACACIONES   (4,16%)</t>
  </si>
  <si>
    <t>PRIMA   (8,33%)</t>
  </si>
  <si>
    <t>CAJA DE COMPENSACIÓN (4%)</t>
  </si>
  <si>
    <t xml:space="preserve">PENSION (12%)           </t>
  </si>
  <si>
    <t xml:space="preserve">RIESGOS PROFESIONALES </t>
  </si>
  <si>
    <t>EPPS</t>
  </si>
  <si>
    <t>Insumos Piscina</t>
  </si>
  <si>
    <t>Insumos Aseo</t>
  </si>
  <si>
    <t>Mantenimiento Gramas</t>
  </si>
  <si>
    <t>TOTAL COSTOS DIRECTOS</t>
  </si>
  <si>
    <t>item</t>
  </si>
  <si>
    <t>Descricion</t>
  </si>
  <si>
    <t xml:space="preserve">Duración meses </t>
  </si>
  <si>
    <t>Valor mes sin IVA</t>
  </si>
  <si>
    <t>Valor total</t>
  </si>
  <si>
    <t>SERVICIO INTEGRAL ASEO Y CAFETERIA</t>
  </si>
  <si>
    <t>1.1</t>
  </si>
  <si>
    <t>SERVICIOS GENERALES DE ASEO</t>
  </si>
  <si>
    <t>SERVICIO DE LIMPIEZA DE PISCINAS</t>
  </si>
  <si>
    <t>SERVICIOS DE LIMPIEZA DE JARDINERÍA</t>
  </si>
  <si>
    <t>1.2</t>
  </si>
  <si>
    <t>2.1</t>
  </si>
  <si>
    <t>3.1</t>
  </si>
  <si>
    <t>IVA - A/U (19%(ARTICULO 462-1 ET))</t>
  </si>
  <si>
    <t>Servicios de operarios de aseo y mantenimiento (Numero/ personas/mes) (A)</t>
  </si>
  <si>
    <t>Rodamiento y/o Transporte</t>
  </si>
  <si>
    <t xml:space="preserve">ACTIVIDAD </t>
  </si>
  <si>
    <t>Mantenimiento Grama - Corte</t>
  </si>
  <si>
    <t>Corte 2 a 4 dias con maquina de corte Helicoidañ a altura de 15 mm a 20 mm. Puede variar de acuerdo al clima y recomendaciones tecnicas</t>
  </si>
  <si>
    <t>Fertilizacion</t>
  </si>
  <si>
    <t>4 bultos de nitrógeno (úrea),  2 bultos de DAP, 2 bultos de sulfato de potasio y 40 kilos de una fuente de elementos menores (vicorman, agrimins, etc.) según formulación del Ingeniero Agrónomo.</t>
  </si>
  <si>
    <t>Control de Plagas</t>
  </si>
  <si>
    <t>INVERTRINA, en dosis aproximadas de 1 c.c. por litro. Dichas aplicaciones son foliares - Solo en caso de presentarse presencia de insectos.</t>
  </si>
  <si>
    <t>Control Preventivo Enfermedades</t>
  </si>
  <si>
    <t>a) 2.5 TOPSIM, más CROROTALONIL . 5 cc
b) 1.0 RUBIGAN más CROROTALONIL. 5 cc
c) 2.0 AZOXISTROBIN
d) 1.0 TRIADIMEFON
e) 5.0 RIDOMIL
f) 1.0 TILT más CLOROTALONIL         Según formulación del Ingeniero Agrónomo.</t>
  </si>
  <si>
    <t>Control Maleza</t>
  </si>
  <si>
    <t>Reparacion Divots</t>
  </si>
  <si>
    <t>Reposición de pedazos de césped removidos</t>
  </si>
  <si>
    <t>TOTAL MANTENIMIENTO GRAMA</t>
  </si>
  <si>
    <t>MANTENIMIENTO DE GRAMA</t>
  </si>
  <si>
    <t>Transporte de Maquinaria y Elementos</t>
  </si>
  <si>
    <t>Aplicación de Herbicida                                   
a) Trenza: Aplicar 5 c.c. por litro de MASTER 720 localizado.
b) Carretón: Aplicar 6 c.c. Por litro de GUADAÑA.
c) Falso trébol: Aplicar 6 c.c. por litro de GUADAÑA.
d) Espartillo: Aplicar 6 c.c. por litro de GUADAÑA.
e) Coquitos: Aplicar 1 c.c. por litro de SYRIUS.
f) Kikuyo: Aplicar 2 c.c. por litro de SENCOR.
g) Pimpinela: Aplicar 5 c.c. por litro de 2.4D AMINA 6.
h) Pata de gallina: Aplicar 2 c.c. por litro de SENCOR.
i) Pasto cuaresma: Aplicar 2 c.c. por litro de SENCOR.</t>
  </si>
  <si>
    <t>PERSONAL</t>
  </si>
  <si>
    <t>MESES</t>
  </si>
  <si>
    <t>TOTAL</t>
  </si>
  <si>
    <t>ELECTRICISTA</t>
  </si>
  <si>
    <t>SOLDADOR</t>
  </si>
  <si>
    <t>CAPATAZ</t>
  </si>
  <si>
    <t>1.4</t>
  </si>
  <si>
    <t>1.5</t>
  </si>
  <si>
    <t>VALOR TOTAL TOTAL</t>
  </si>
  <si>
    <t>CANT,</t>
  </si>
  <si>
    <t>ADMINISTRACION</t>
  </si>
  <si>
    <t>UTILIDADES</t>
  </si>
  <si>
    <t>PROMEDIO</t>
  </si>
  <si>
    <t>COTIZACIÓN 2</t>
  </si>
  <si>
    <t>COTIZACIÓN 3</t>
  </si>
  <si>
    <t>ALCALDIA DISTRITAL DE BARRANCABERMEJA</t>
  </si>
  <si>
    <t>ANALISIS DE PRECIOS Y ESTUDIO DE COSTOS</t>
  </si>
  <si>
    <t>Código DEP-FO-016</t>
  </si>
  <si>
    <t>Fecha 06/12/2023</t>
  </si>
  <si>
    <t>Versión 001</t>
  </si>
  <si>
    <t>Página 1 de 1</t>
  </si>
  <si>
    <t>COTIZACION 3-AMERICANA DE SERVICIOS</t>
  </si>
  <si>
    <t xml:space="preserve">MEDIA ARITMETICA </t>
  </si>
  <si>
    <t>Servicios de aseo y cafeteria</t>
  </si>
  <si>
    <t>Valor unitario sin IVA</t>
  </si>
  <si>
    <t xml:space="preserve">Valor Parcial </t>
  </si>
  <si>
    <t>Valor unit. sin IVA</t>
  </si>
  <si>
    <t>Valor unit sin IVA</t>
  </si>
  <si>
    <t xml:space="preserve">SERVICIO DE MANTENIMIENTO BASICO </t>
  </si>
  <si>
    <t>1.1.1</t>
  </si>
  <si>
    <t>1.1.2</t>
  </si>
  <si>
    <t>1.1.3</t>
  </si>
  <si>
    <t>1.1.4</t>
  </si>
  <si>
    <t>1.1.5</t>
  </si>
  <si>
    <t>1.1.6</t>
  </si>
  <si>
    <t>1.3.1</t>
  </si>
  <si>
    <t>IVA - A/U</t>
  </si>
  <si>
    <t>COTIZACION 1. ASOCIACION AIRE</t>
  </si>
  <si>
    <t>COTIZACION 2. ASSEAR S.A.S</t>
  </si>
  <si>
    <t xml:space="preserve">COTIZACIÓN 1. </t>
  </si>
  <si>
    <t xml:space="preserve">      BENJAMIN GONZALEZ HERNANDEZ</t>
  </si>
  <si>
    <t xml:space="preserve">      Profesional Universitario </t>
  </si>
  <si>
    <t xml:space="preserve">      Administracion y Proyectos</t>
  </si>
  <si>
    <t>CPS.Profesional Universitario</t>
  </si>
  <si>
    <t>PRESTACION DE SERVICIO INTEGRAL DE ASEO  Y MANTENIMIENTO ESCENARIOS DEPORTIVOS Y RECREATIVOS DEL DISTRITO DE BARRANCABERMEJA</t>
  </si>
  <si>
    <t>MEDIA ARITMETICA SERVICIO INTEGRAL DE ASEO Y MANTENIMIENTO ESCENARIOS DEPORTIVOS Y RECREATIVOS DEL DISTRITO DE BARRANCABERMEJA</t>
  </si>
  <si>
    <t>HECTOR JUAN SIERRA TOLOSA</t>
  </si>
  <si>
    <t>OBJETO: SERVICIO INTEGRAL DE ASEO Y MANTENIMIENTO ESCENARIOS DEPORTIVOS Y RECREATIVOS DEL DISTRITO DE BARRANCABERMEJA</t>
  </si>
  <si>
    <t>Meses</t>
  </si>
  <si>
    <r>
      <rPr>
        <b/>
        <sz val="12"/>
        <rFont val="Calibri"/>
        <family val="2"/>
        <scheme val="minor"/>
      </rPr>
      <t>NOTA:</t>
    </r>
    <r>
      <rPr>
        <sz val="12"/>
        <rFont val="Calibri"/>
        <family val="2"/>
        <scheme val="minor"/>
      </rPr>
      <t xml:space="preserve"> El analisis de precios y estudio de costos se realiza con las cotizaciones presentadas a INDERBA, radicados 0171, 0172, 0173.</t>
    </r>
  </si>
  <si>
    <t>1.2.1</t>
  </si>
  <si>
    <t xml:space="preserve">PERIODICIDAD </t>
  </si>
  <si>
    <t xml:space="preserve">3 veces por semana </t>
  </si>
  <si>
    <t>3 veces por mes</t>
  </si>
  <si>
    <t>4 veces por mes</t>
  </si>
  <si>
    <t>2 veces al mes</t>
  </si>
  <si>
    <t>1 vez al mes</t>
  </si>
  <si>
    <t>100 m2 por mes</t>
  </si>
  <si>
    <t>UND</t>
  </si>
  <si>
    <t>SERVICIO</t>
  </si>
  <si>
    <t>CANT.</t>
  </si>
  <si>
    <t>TIEMPO DE EJECUCUION</t>
  </si>
  <si>
    <t>PRESTACIÓN DEL SERVICIO INTEGRAL DE ASEO Y MANTENIMIENTO LOCATIVO BÁSICO DE LOS ESCENARIOS DEPORTIVOS Y RECREATIVOS DE LA VILLA OLIMPICA DEL DISTRITO DE BARRANCABERMEJA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</si>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</sst>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&quot;$&quot;\ #,##0.00"/>
    <numFmt numFmtId="168" formatCode="_-&quot;$&quot;* #,##0_-;\-&quot;$&quot;* #,##0_-;_-&quot;$&quot;* &quot;-&quot;??_-;_-@"/>
    <numFmt numFmtId="169" formatCode="&quot;$&quot;#,##0"/>
    <numFmt numFmtId="170" formatCode="&quot;$&quot;#,##0.00"/>
    <numFmt numFmtId="171" formatCode="[$$-240A]\ #,##0.00"/>
    <numFmt numFmtId="172" formatCode="_(* #,##0_);_(* \(#,##0\);_(* &quot;-&quot;??_);_(@_)"/>
    <numFmt numFmtId="173" formatCode="[$$-240A]\ #,##0"/>
  </numFmts>
  <fonts count="2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4E4D4D"/>
      <name val="Verdana"/>
      <family val="2"/>
    </font>
    <font>
      <b/>
      <sz val="8"/>
      <color rgb="FF4E4D4D"/>
      <name val="Verdana"/>
      <family val="2"/>
    </font>
    <font>
      <sz val="8"/>
      <color theme="1"/>
      <name val="Arial Nova"/>
      <family val="2"/>
    </font>
    <font>
      <b/>
      <sz val="8"/>
      <color rgb="FF000000"/>
      <name val="Arial Nov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rgb="FF000000"/>
      <name val="Arial Nova"/>
      <family val="2"/>
    </font>
    <font>
      <b/>
      <sz val="8"/>
      <color theme="1"/>
      <name val="Arial Nova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969696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165" fontId="7" fillId="0" borderId="0" applyFont="0" applyFill="0" applyBorder="0" applyAlignment="0" applyProtection="0"/>
    <xf numFmtId="0" fontId="5" fillId="0" borderId="0"/>
    <xf numFmtId="0" fontId="2" fillId="0" borderId="0"/>
    <xf numFmtId="164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10"/>
    <xf numFmtId="168" fontId="2" fillId="0" borderId="0" xfId="10" applyNumberFormat="1"/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169" fontId="14" fillId="0" borderId="5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vertical="center"/>
    </xf>
    <xf numFmtId="0" fontId="11" fillId="4" borderId="8" xfId="0" applyFont="1" applyFill="1" applyBorder="1" applyAlignment="1">
      <alignment horizontal="center" vertical="center"/>
    </xf>
    <xf numFmtId="169" fontId="11" fillId="4" borderId="5" xfId="0" applyNumberFormat="1" applyFont="1" applyFill="1" applyBorder="1" applyAlignment="1">
      <alignment horizontal="right" vertical="center"/>
    </xf>
    <xf numFmtId="0" fontId="14" fillId="4" borderId="8" xfId="0" applyFont="1" applyFill="1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0" fontId="14" fillId="4" borderId="5" xfId="0" applyFont="1" applyFill="1" applyBorder="1" applyAlignment="1">
      <alignment vertical="center"/>
    </xf>
    <xf numFmtId="169" fontId="11" fillId="4" borderId="1" xfId="0" applyNumberFormat="1" applyFont="1" applyFill="1" applyBorder="1" applyAlignment="1">
      <alignment horizontal="center" vertical="center"/>
    </xf>
    <xf numFmtId="169" fontId="11" fillId="4" borderId="1" xfId="0" applyNumberFormat="1" applyFont="1" applyFill="1" applyBorder="1" applyAlignment="1">
      <alignment horizontal="center" vertical="center" wrapText="1"/>
    </xf>
    <xf numFmtId="165" fontId="0" fillId="0" borderId="0" xfId="8" applyFont="1" applyAlignment="1">
      <alignment vertical="center"/>
    </xf>
    <xf numFmtId="165" fontId="0" fillId="0" borderId="0" xfId="8" applyFont="1"/>
    <xf numFmtId="0" fontId="13" fillId="3" borderId="14" xfId="10" applyFont="1" applyFill="1" applyBorder="1" applyAlignment="1">
      <alignment vertical="center" wrapText="1"/>
    </xf>
    <xf numFmtId="169" fontId="11" fillId="4" borderId="2" xfId="0" applyNumberFormat="1" applyFont="1" applyFill="1" applyBorder="1" applyAlignment="1">
      <alignment horizontal="center" vertical="center"/>
    </xf>
    <xf numFmtId="0" fontId="13" fillId="0" borderId="12" xfId="10" applyFont="1" applyBorder="1" applyAlignment="1">
      <alignment vertical="center" wrapText="1"/>
    </xf>
    <xf numFmtId="0" fontId="13" fillId="7" borderId="12" xfId="10" applyFont="1" applyFill="1" applyBorder="1" applyAlignment="1">
      <alignment vertical="center" wrapText="1"/>
    </xf>
    <xf numFmtId="0" fontId="2" fillId="8" borderId="0" xfId="10" applyFill="1"/>
    <xf numFmtId="0" fontId="13" fillId="7" borderId="14" xfId="1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8" borderId="0" xfId="0" applyFill="1" applyAlignment="1">
      <alignment vertical="center" wrapText="1"/>
    </xf>
    <xf numFmtId="9" fontId="10" fillId="0" borderId="5" xfId="13" applyFont="1" applyBorder="1" applyAlignment="1">
      <alignment horizontal="center" vertical="center"/>
    </xf>
    <xf numFmtId="166" fontId="11" fillId="0" borderId="7" xfId="12" applyFont="1" applyBorder="1" applyAlignment="1">
      <alignment horizontal="center" vertical="center"/>
    </xf>
    <xf numFmtId="166" fontId="10" fillId="0" borderId="5" xfId="12" applyFont="1" applyBorder="1" applyAlignment="1">
      <alignment horizontal="right" vertical="center"/>
    </xf>
    <xf numFmtId="166" fontId="14" fillId="0" borderId="5" xfId="12" applyFont="1" applyBorder="1" applyAlignment="1">
      <alignment horizontal="right" vertical="center"/>
    </xf>
    <xf numFmtId="166" fontId="11" fillId="4" borderId="5" xfId="12" applyFont="1" applyFill="1" applyBorder="1" applyAlignment="1">
      <alignment horizontal="right" vertical="center"/>
    </xf>
    <xf numFmtId="9" fontId="14" fillId="0" borderId="5" xfId="13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14" xfId="10" applyFont="1" applyBorder="1" applyAlignment="1">
      <alignment vertical="center" wrapText="1"/>
    </xf>
    <xf numFmtId="0" fontId="13" fillId="0" borderId="16" xfId="10" applyFont="1" applyBorder="1" applyAlignment="1">
      <alignment vertical="center" wrapText="1"/>
    </xf>
    <xf numFmtId="0" fontId="12" fillId="0" borderId="18" xfId="10" applyFont="1" applyBorder="1" applyAlignment="1">
      <alignment vertical="center" wrapText="1"/>
    </xf>
    <xf numFmtId="0" fontId="12" fillId="0" borderId="21" xfId="10" applyFont="1" applyBorder="1" applyAlignment="1">
      <alignment vertical="center" wrapText="1"/>
    </xf>
    <xf numFmtId="0" fontId="12" fillId="0" borderId="10" xfId="10" applyFont="1" applyBorder="1" applyAlignment="1">
      <alignment vertical="center" wrapText="1"/>
    </xf>
    <xf numFmtId="166" fontId="12" fillId="0" borderId="24" xfId="12" applyFont="1" applyBorder="1" applyAlignment="1">
      <alignment vertical="center"/>
    </xf>
    <xf numFmtId="168" fontId="2" fillId="9" borderId="0" xfId="10" applyNumberFormat="1" applyFill="1"/>
    <xf numFmtId="170" fontId="14" fillId="0" borderId="5" xfId="0" applyNumberFormat="1" applyFont="1" applyBorder="1" applyAlignment="1">
      <alignment horizontal="right" vertical="center" wrapText="1"/>
    </xf>
    <xf numFmtId="170" fontId="10" fillId="0" borderId="5" xfId="12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25" xfId="0" applyBorder="1" applyAlignment="1">
      <alignment vertical="center"/>
    </xf>
    <xf numFmtId="0" fontId="16" fillId="0" borderId="26" xfId="0" applyFont="1" applyBorder="1" applyAlignment="1">
      <alignment horizontal="center" vertical="center"/>
    </xf>
    <xf numFmtId="167" fontId="8" fillId="0" borderId="1" xfId="0" applyNumberFormat="1" applyFont="1" applyBorder="1" applyAlignment="1">
      <alignment vertical="center" wrapText="1"/>
    </xf>
    <xf numFmtId="171" fontId="9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171" fontId="8" fillId="0" borderId="1" xfId="0" applyNumberFormat="1" applyFont="1" applyBorder="1" applyAlignment="1">
      <alignment vertical="center" wrapText="1"/>
    </xf>
    <xf numFmtId="171" fontId="9" fillId="0" borderId="1" xfId="0" applyNumberFormat="1" applyFont="1" applyBorder="1" applyAlignment="1">
      <alignment vertical="center" wrapText="1"/>
    </xf>
    <xf numFmtId="171" fontId="0" fillId="0" borderId="0" xfId="0" applyNumberFormat="1"/>
    <xf numFmtId="167" fontId="9" fillId="0" borderId="1" xfId="0" applyNumberFormat="1" applyFont="1" applyBorder="1" applyAlignment="1">
      <alignment vertical="center" wrapText="1"/>
    </xf>
    <xf numFmtId="171" fontId="13" fillId="0" borderId="3" xfId="11" applyNumberFormat="1" applyFont="1" applyFill="1" applyBorder="1" applyAlignment="1">
      <alignment horizontal="right" vertical="center" wrapText="1"/>
    </xf>
    <xf numFmtId="171" fontId="13" fillId="0" borderId="1" xfId="10" applyNumberFormat="1" applyFont="1" applyBorder="1" applyAlignment="1">
      <alignment horizontal="right" vertical="center"/>
    </xf>
    <xf numFmtId="171" fontId="13" fillId="0" borderId="1" xfId="11" applyNumberFormat="1" applyFont="1" applyFill="1" applyBorder="1" applyAlignment="1">
      <alignment horizontal="right" vertical="center" wrapText="1"/>
    </xf>
    <xf numFmtId="171" fontId="13" fillId="0" borderId="3" xfId="10" applyNumberFormat="1" applyFont="1" applyBorder="1" applyAlignment="1">
      <alignment horizontal="right" vertical="center"/>
    </xf>
    <xf numFmtId="171" fontId="13" fillId="0" borderId="15" xfId="10" applyNumberFormat="1" applyFont="1" applyBorder="1" applyAlignment="1">
      <alignment horizontal="right" vertical="center"/>
    </xf>
    <xf numFmtId="171" fontId="12" fillId="0" borderId="19" xfId="10" applyNumberFormat="1" applyFont="1" applyBorder="1" applyAlignment="1">
      <alignment horizontal="right" vertical="center"/>
    </xf>
    <xf numFmtId="171" fontId="12" fillId="0" borderId="20" xfId="10" applyNumberFormat="1" applyFont="1" applyBorder="1" applyAlignment="1">
      <alignment horizontal="right" vertical="center"/>
    </xf>
    <xf numFmtId="171" fontId="12" fillId="0" borderId="22" xfId="10" applyNumberFormat="1" applyFont="1" applyBorder="1" applyAlignment="1">
      <alignment horizontal="right" vertical="center"/>
    </xf>
    <xf numFmtId="171" fontId="12" fillId="0" borderId="23" xfId="10" applyNumberFormat="1" applyFont="1" applyBorder="1" applyAlignment="1">
      <alignment horizontal="right" vertical="center"/>
    </xf>
    <xf numFmtId="171" fontId="13" fillId="0" borderId="4" xfId="10" applyNumberFormat="1" applyFont="1" applyBorder="1" applyAlignment="1">
      <alignment horizontal="right" vertical="center"/>
    </xf>
    <xf numFmtId="171" fontId="13" fillId="0" borderId="17" xfId="10" applyNumberFormat="1" applyFont="1" applyBorder="1" applyAlignment="1">
      <alignment horizontal="right" vertical="center"/>
    </xf>
    <xf numFmtId="171" fontId="13" fillId="8" borderId="4" xfId="11" applyNumberFormat="1" applyFont="1" applyFill="1" applyBorder="1" applyAlignment="1">
      <alignment horizontal="right" vertical="center" wrapText="1"/>
    </xf>
    <xf numFmtId="171" fontId="13" fillId="8" borderId="1" xfId="10" applyNumberFormat="1" applyFont="1" applyFill="1" applyBorder="1" applyAlignment="1">
      <alignment horizontal="right" vertical="center"/>
    </xf>
    <xf numFmtId="171" fontId="13" fillId="8" borderId="1" xfId="11" applyNumberFormat="1" applyFont="1" applyFill="1" applyBorder="1" applyAlignment="1">
      <alignment horizontal="right" vertical="center" wrapText="1"/>
    </xf>
    <xf numFmtId="171" fontId="13" fillId="0" borderId="4" xfId="11" applyNumberFormat="1" applyFont="1" applyFill="1" applyBorder="1" applyAlignment="1">
      <alignment horizontal="right" vertical="center" wrapText="1"/>
    </xf>
    <xf numFmtId="171" fontId="0" fillId="6" borderId="1" xfId="0" applyNumberFormat="1" applyFill="1" applyBorder="1" applyAlignment="1">
      <alignment horizontal="right" vertical="center"/>
    </xf>
    <xf numFmtId="171" fontId="12" fillId="5" borderId="1" xfId="10" applyNumberFormat="1" applyFont="1" applyFill="1" applyBorder="1" applyAlignment="1">
      <alignment horizontal="right" vertical="center"/>
    </xf>
    <xf numFmtId="166" fontId="11" fillId="0" borderId="5" xfId="12" applyFont="1" applyBorder="1" applyAlignment="1">
      <alignment horizontal="right" vertical="center"/>
    </xf>
    <xf numFmtId="9" fontId="10" fillId="0" borderId="5" xfId="13" applyFont="1" applyFill="1" applyBorder="1" applyAlignment="1">
      <alignment horizontal="center" vertical="center"/>
    </xf>
    <xf numFmtId="170" fontId="10" fillId="0" borderId="28" xfId="12" applyNumberFormat="1" applyFont="1" applyBorder="1" applyAlignment="1">
      <alignment horizontal="right" vertical="center"/>
    </xf>
    <xf numFmtId="166" fontId="11" fillId="0" borderId="28" xfId="12" applyFont="1" applyBorder="1" applyAlignment="1">
      <alignment horizontal="right" vertical="center"/>
    </xf>
    <xf numFmtId="166" fontId="10" fillId="0" borderId="28" xfId="12" applyFont="1" applyBorder="1" applyAlignment="1">
      <alignment horizontal="right" vertical="center"/>
    </xf>
    <xf numFmtId="166" fontId="14" fillId="0" borderId="28" xfId="12" applyFont="1" applyBorder="1" applyAlignment="1">
      <alignment horizontal="right" vertical="center"/>
    </xf>
    <xf numFmtId="0" fontId="11" fillId="0" borderId="6" xfId="0" applyFont="1" applyBorder="1" applyAlignment="1">
      <alignment horizontal="center" vertical="center" wrapText="1"/>
    </xf>
    <xf numFmtId="166" fontId="11" fillId="0" borderId="26" xfId="12" applyFont="1" applyBorder="1" applyAlignment="1">
      <alignment horizontal="center" vertical="center"/>
    </xf>
    <xf numFmtId="0" fontId="11" fillId="4" borderId="10" xfId="0" applyFont="1" applyFill="1" applyBorder="1" applyAlignment="1">
      <alignment vertical="center" wrapText="1"/>
    </xf>
    <xf numFmtId="0" fontId="11" fillId="4" borderId="11" xfId="0" applyFont="1" applyFill="1" applyBorder="1" applyAlignment="1">
      <alignment vertical="center" wrapText="1"/>
    </xf>
    <xf numFmtId="170" fontId="11" fillId="0" borderId="28" xfId="12" applyNumberFormat="1" applyFont="1" applyBorder="1" applyAlignment="1">
      <alignment horizontal="right" vertical="center"/>
    </xf>
    <xf numFmtId="170" fontId="11" fillId="4" borderId="30" xfId="12" applyNumberFormat="1" applyFont="1" applyFill="1" applyBorder="1" applyAlignment="1">
      <alignment horizontal="right" vertical="center"/>
    </xf>
    <xf numFmtId="166" fontId="11" fillId="6" borderId="30" xfId="12" applyFont="1" applyFill="1" applyBorder="1" applyAlignment="1">
      <alignment horizontal="right" vertical="center"/>
    </xf>
    <xf numFmtId="0" fontId="14" fillId="6" borderId="5" xfId="0" applyFont="1" applyFill="1" applyBorder="1" applyAlignment="1">
      <alignment horizontal="center" vertical="center"/>
    </xf>
    <xf numFmtId="164" fontId="0" fillId="0" borderId="0" xfId="14" applyFont="1"/>
    <xf numFmtId="0" fontId="0" fillId="0" borderId="31" xfId="0" applyBorder="1"/>
    <xf numFmtId="0" fontId="19" fillId="0" borderId="33" xfId="0" applyFont="1" applyBorder="1" applyAlignment="1">
      <alignment horizontal="center" vertical="center"/>
    </xf>
    <xf numFmtId="0" fontId="19" fillId="0" borderId="36" xfId="0" applyFont="1" applyBorder="1" applyAlignment="1">
      <alignment vertical="center"/>
    </xf>
    <xf numFmtId="0" fontId="19" fillId="0" borderId="3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37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4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0" fontId="18" fillId="0" borderId="38" xfId="0" applyFont="1" applyBorder="1" applyAlignment="1">
      <alignment vertical="center"/>
    </xf>
    <xf numFmtId="0" fontId="18" fillId="0" borderId="39" xfId="0" applyFont="1" applyBorder="1" applyAlignment="1">
      <alignment vertical="center"/>
    </xf>
    <xf numFmtId="0" fontId="0" fillId="0" borderId="38" xfId="0" applyBorder="1"/>
    <xf numFmtId="0" fontId="0" fillId="0" borderId="40" xfId="0" applyBorder="1"/>
    <xf numFmtId="43" fontId="0" fillId="0" borderId="40" xfId="0" applyNumberFormat="1" applyBorder="1"/>
    <xf numFmtId="0" fontId="0" fillId="0" borderId="39" xfId="0" applyBorder="1"/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right" vertical="center" wrapText="1"/>
    </xf>
    <xf numFmtId="4" fontId="13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4" fontId="13" fillId="0" borderId="1" xfId="6" applyNumberFormat="1" applyFont="1" applyBorder="1" applyAlignment="1">
      <alignment horizontal="right"/>
    </xf>
    <xf numFmtId="4" fontId="13" fillId="0" borderId="1" xfId="6" applyNumberFormat="1" applyFont="1" applyBorder="1" applyAlignment="1">
      <alignment horizontal="right" vertical="center"/>
    </xf>
    <xf numFmtId="0" fontId="12" fillId="11" borderId="1" xfId="0" applyFont="1" applyFill="1" applyBorder="1" applyAlignment="1">
      <alignment vertical="center" wrapText="1"/>
    </xf>
    <xf numFmtId="4" fontId="13" fillId="11" borderId="1" xfId="6" applyNumberFormat="1" applyFont="1" applyFill="1" applyBorder="1" applyAlignment="1">
      <alignment horizontal="right"/>
    </xf>
    <xf numFmtId="4" fontId="13" fillId="11" borderId="1" xfId="6" applyNumberFormat="1" applyFont="1" applyFill="1" applyBorder="1" applyAlignment="1">
      <alignment horizontal="right" vertical="center"/>
    </xf>
    <xf numFmtId="0" fontId="12" fillId="11" borderId="35" xfId="0" applyFont="1" applyFill="1" applyBorder="1" applyAlignment="1">
      <alignment vertical="center" wrapText="1"/>
    </xf>
    <xf numFmtId="4" fontId="13" fillId="0" borderId="1" xfId="0" applyNumberFormat="1" applyFont="1" applyBorder="1" applyAlignment="1">
      <alignment horizontal="right"/>
    </xf>
    <xf numFmtId="0" fontId="12" fillId="11" borderId="2" xfId="0" applyFont="1" applyFill="1" applyBorder="1"/>
    <xf numFmtId="0" fontId="12" fillId="11" borderId="1" xfId="0" applyFont="1" applyFill="1" applyBorder="1"/>
    <xf numFmtId="4" fontId="13" fillId="11" borderId="1" xfId="0" applyNumberFormat="1" applyFont="1" applyFill="1" applyBorder="1" applyAlignment="1">
      <alignment horizontal="right"/>
    </xf>
    <xf numFmtId="0" fontId="12" fillId="0" borderId="2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right"/>
    </xf>
    <xf numFmtId="0" fontId="12" fillId="0" borderId="2" xfId="0" applyFont="1" applyBorder="1"/>
    <xf numFmtId="0" fontId="12" fillId="0" borderId="1" xfId="0" applyFont="1" applyBorder="1"/>
    <xf numFmtId="0" fontId="13" fillId="0" borderId="1" xfId="0" applyFont="1" applyBorder="1"/>
    <xf numFmtId="0" fontId="13" fillId="11" borderId="1" xfId="0" applyFont="1" applyFill="1" applyBorder="1"/>
    <xf numFmtId="4" fontId="12" fillId="11" borderId="1" xfId="0" applyNumberFormat="1" applyFont="1" applyFill="1" applyBorder="1" applyAlignment="1">
      <alignment horizontal="right" vertical="center"/>
    </xf>
    <xf numFmtId="4" fontId="13" fillId="11" borderId="1" xfId="0" applyNumberFormat="1" applyFont="1" applyFill="1" applyBorder="1" applyAlignment="1">
      <alignment horizontal="right" vertical="center"/>
    </xf>
    <xf numFmtId="0" fontId="0" fillId="0" borderId="32" xfId="0" applyBorder="1"/>
    <xf numFmtId="0" fontId="0" fillId="0" borderId="33" xfId="0" applyBorder="1"/>
    <xf numFmtId="0" fontId="0" fillId="0" borderId="36" xfId="0" applyBorder="1"/>
    <xf numFmtId="172" fontId="0" fillId="0" borderId="0" xfId="0" applyNumberFormat="1"/>
    <xf numFmtId="3" fontId="0" fillId="0" borderId="0" xfId="0" applyNumberFormat="1"/>
    <xf numFmtId="0" fontId="0" fillId="0" borderId="37" xfId="0" applyBorder="1"/>
    <xf numFmtId="164" fontId="0" fillId="0" borderId="0" xfId="14" applyFont="1" applyBorder="1" applyAlignment="1">
      <alignment horizontal="center"/>
    </xf>
    <xf numFmtId="164" fontId="0" fillId="0" borderId="0" xfId="14" applyFont="1" applyBorder="1"/>
    <xf numFmtId="164" fontId="0" fillId="0" borderId="0" xfId="0" applyNumberFormat="1"/>
    <xf numFmtId="3" fontId="12" fillId="0" borderId="37" xfId="0" applyNumberFormat="1" applyFont="1" applyBorder="1" applyAlignment="1">
      <alignment horizontal="right" vertical="center"/>
    </xf>
    <xf numFmtId="37" fontId="0" fillId="0" borderId="37" xfId="0" applyNumberFormat="1" applyBorder="1"/>
    <xf numFmtId="4" fontId="0" fillId="0" borderId="0" xfId="0" applyNumberFormat="1"/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vertical="center"/>
    </xf>
    <xf numFmtId="173" fontId="13" fillId="0" borderId="4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vertical="center"/>
    </xf>
    <xf numFmtId="173" fontId="13" fillId="0" borderId="0" xfId="0" applyNumberFormat="1" applyFont="1" applyAlignment="1">
      <alignment horizontal="center" vertical="center"/>
    </xf>
    <xf numFmtId="0" fontId="13" fillId="0" borderId="0" xfId="0" applyFont="1"/>
    <xf numFmtId="9" fontId="13" fillId="0" borderId="1" xfId="13" applyFont="1" applyBorder="1" applyAlignment="1">
      <alignment horizontal="right"/>
    </xf>
    <xf numFmtId="9" fontId="13" fillId="0" borderId="1" xfId="13" applyFont="1" applyFill="1" applyBorder="1" applyAlignment="1">
      <alignment horizontal="right" vertical="center"/>
    </xf>
    <xf numFmtId="0" fontId="16" fillId="0" borderId="0" xfId="0" applyFont="1"/>
    <xf numFmtId="0" fontId="17" fillId="0" borderId="0" xfId="0" applyFont="1"/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40" xfId="0" applyFont="1" applyBorder="1" applyAlignment="1">
      <alignment vertical="center"/>
    </xf>
    <xf numFmtId="0" fontId="12" fillId="11" borderId="2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/>
    <xf numFmtId="171" fontId="17" fillId="6" borderId="13" xfId="10" applyNumberFormat="1" applyFont="1" applyFill="1" applyBorder="1" applyAlignment="1">
      <alignment horizontal="right" vertical="center"/>
    </xf>
    <xf numFmtId="171" fontId="17" fillId="6" borderId="1" xfId="10" applyNumberFormat="1" applyFont="1" applyFill="1" applyBorder="1" applyAlignment="1">
      <alignment horizontal="right" vertical="center"/>
    </xf>
    <xf numFmtId="171" fontId="17" fillId="0" borderId="1" xfId="10" applyNumberFormat="1" applyFont="1" applyBorder="1" applyAlignment="1">
      <alignment horizontal="right" vertical="center"/>
    </xf>
    <xf numFmtId="171" fontId="1" fillId="12" borderId="1" xfId="10" applyNumberFormat="1" applyFont="1" applyFill="1" applyBorder="1" applyAlignment="1">
      <alignment horizontal="right" vertical="center"/>
    </xf>
    <xf numFmtId="171" fontId="2" fillId="0" borderId="0" xfId="10" applyNumberFormat="1"/>
    <xf numFmtId="0" fontId="10" fillId="0" borderId="0" xfId="0" applyFont="1" applyAlignment="1">
      <alignment vertical="center"/>
    </xf>
    <xf numFmtId="166" fontId="10" fillId="0" borderId="0" xfId="12" applyFont="1" applyAlignment="1">
      <alignment vertical="center"/>
    </xf>
    <xf numFmtId="0" fontId="10" fillId="0" borderId="11" xfId="0" applyFont="1" applyBorder="1" applyAlignment="1">
      <alignment vertical="center"/>
    </xf>
    <xf numFmtId="166" fontId="10" fillId="0" borderId="27" xfId="12" applyFont="1" applyBorder="1" applyAlignment="1">
      <alignment vertical="center"/>
    </xf>
    <xf numFmtId="166" fontId="10" fillId="0" borderId="29" xfId="12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166" fontId="15" fillId="0" borderId="1" xfId="12" applyFont="1" applyBorder="1" applyAlignment="1">
      <alignment vertical="center"/>
    </xf>
    <xf numFmtId="166" fontId="10" fillId="0" borderId="0" xfId="0" applyNumberFormat="1" applyFont="1" applyAlignment="1">
      <alignment vertical="center"/>
    </xf>
    <xf numFmtId="4" fontId="13" fillId="11" borderId="17" xfId="6" applyNumberFormat="1" applyFont="1" applyFill="1" applyBorder="1" applyAlignment="1">
      <alignment horizontal="right"/>
    </xf>
    <xf numFmtId="4" fontId="13" fillId="0" borderId="35" xfId="0" applyNumberFormat="1" applyFont="1" applyBorder="1" applyAlignment="1">
      <alignment horizontal="right" vertical="center"/>
    </xf>
    <xf numFmtId="170" fontId="21" fillId="0" borderId="1" xfId="0" applyNumberFormat="1" applyFont="1" applyBorder="1" applyAlignment="1">
      <alignment horizontal="right" vertical="center" wrapText="1"/>
    </xf>
    <xf numFmtId="0" fontId="0" fillId="6" borderId="25" xfId="0" applyFill="1" applyBorder="1" applyAlignment="1">
      <alignment vertical="center"/>
    </xf>
    <xf numFmtId="0" fontId="16" fillId="6" borderId="26" xfId="0" applyFont="1" applyFill="1" applyBorder="1" applyAlignment="1">
      <alignment horizontal="center" vertical="center"/>
    </xf>
    <xf numFmtId="0" fontId="22" fillId="0" borderId="0" xfId="0" applyFont="1"/>
    <xf numFmtId="4" fontId="12" fillId="11" borderId="1" xfId="6" applyNumberFormat="1" applyFont="1" applyFill="1" applyBorder="1" applyAlignment="1">
      <alignment horizontal="right"/>
    </xf>
    <xf numFmtId="4" fontId="12" fillId="11" borderId="1" xfId="0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15" fillId="0" borderId="21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1" fillId="6" borderId="10" xfId="0" applyFont="1" applyFill="1" applyBorder="1" applyAlignment="1">
      <alignment vertical="center" wrapText="1"/>
    </xf>
    <xf numFmtId="0" fontId="11" fillId="6" borderId="11" xfId="0" applyFont="1" applyFill="1" applyBorder="1" applyAlignment="1">
      <alignment vertical="center"/>
    </xf>
    <xf numFmtId="0" fontId="11" fillId="6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vertical="center" wrapText="1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4" fillId="0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5">
    <cellStyle name="Millares" xfId="12" builtinId="3"/>
    <cellStyle name="Millares 3" xfId="6" xr:uid="{854BF29B-4706-4699-B3F1-745B6BB65C84}"/>
    <cellStyle name="Moneda" xfId="8" builtinId="4"/>
    <cellStyle name="Moneda [0]" xfId="14" builtinId="7"/>
    <cellStyle name="Moneda [0] 2" xfId="2" xr:uid="{416937AA-AB83-4737-9478-F488A45BF545}"/>
    <cellStyle name="Moneda [0] 3" xfId="4" xr:uid="{7739046E-53F2-4184-ABC9-CEC223D1E2EC}"/>
    <cellStyle name="Moneda [0] 3 2" xfId="11" xr:uid="{A7746A3D-9092-4218-95B6-9863B4A98C04}"/>
    <cellStyle name="Moneda 2" xfId="5" xr:uid="{8DB2C364-A8CF-4F83-AE43-8F3EE08FCE3D}"/>
    <cellStyle name="Normal" xfId="0" builtinId="0"/>
    <cellStyle name="Normal 2" xfId="1" xr:uid="{B70BEEFB-BFAF-4B0A-A7B0-89E277FAA355}"/>
    <cellStyle name="Normal 2 2" xfId="9" xr:uid="{300B4FA5-BDED-4C23-9CE4-881ED9B6330D}"/>
    <cellStyle name="Normal 3" xfId="3" xr:uid="{8F42F94D-C775-4417-A3C0-A1E72B05D5E7}"/>
    <cellStyle name="Normal 3 2" xfId="7" xr:uid="{653ED6A3-CBE7-45FF-9C45-9EDE15FECF5C}"/>
    <cellStyle name="Normal 3 3" xfId="10" xr:uid="{90D25FE1-D85B-46DC-9FBC-57126C529FF1}"/>
    <cellStyle name="Porcentaje" xfId="1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1</xdr:row>
      <xdr:rowOff>85725</xdr:rowOff>
    </xdr:from>
    <xdr:to>
      <xdr:col>2</xdr:col>
      <xdr:colOff>1724024</xdr:colOff>
      <xdr:row>4</xdr:row>
      <xdr:rowOff>95250</xdr:rowOff>
    </xdr:to>
    <xdr:pic>
      <xdr:nvPicPr>
        <xdr:cNvPr id="2" name="Imagen 7" descr="LogoBarranca1">
          <a:extLst>
            <a:ext uri="{FF2B5EF4-FFF2-40B4-BE49-F238E27FC236}">
              <a16:creationId xmlns:a16="http://schemas.microsoft.com/office/drawing/2014/main" id="{45644C6A-6A34-4718-9296-C1DEC6D74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276225"/>
          <a:ext cx="15716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E409-A245-430A-ACC2-BA62C6185A39}">
  <dimension ref="A1:Q42"/>
  <sheetViews>
    <sheetView topLeftCell="A10" zoomScale="91" zoomScaleNormal="91" workbookViewId="0">
      <selection activeCell="K30" sqref="K30"/>
    </sheetView>
  </sheetViews>
  <sheetFormatPr baseColWidth="10" defaultRowHeight="15.5" x14ac:dyDescent="0.35"/>
  <cols>
    <col min="1" max="1" width="8" customWidth="1"/>
    <col min="2" max="2" width="18.1640625" customWidth="1"/>
    <col min="3" max="3" width="40.9140625" customWidth="1"/>
    <col min="4" max="4" width="12.9140625" customWidth="1"/>
    <col min="5" max="5" width="8.08203125" customWidth="1"/>
    <col min="6" max="6" width="15.1640625" customWidth="1"/>
    <col min="7" max="7" width="16.58203125" customWidth="1"/>
    <col min="8" max="8" width="14.9140625" customWidth="1"/>
    <col min="9" max="9" width="17.9140625" customWidth="1"/>
    <col min="10" max="10" width="15.6640625" customWidth="1"/>
    <col min="11" max="11" width="16.4140625" customWidth="1"/>
    <col min="12" max="12" width="14.4140625" customWidth="1"/>
    <col min="13" max="13" width="17" customWidth="1"/>
    <col min="14" max="14" width="13.4140625" bestFit="1" customWidth="1"/>
    <col min="15" max="15" width="11.6640625" bestFit="1" customWidth="1"/>
    <col min="16" max="16" width="12.5" bestFit="1" customWidth="1"/>
    <col min="17" max="17" width="14" style="95" customWidth="1"/>
  </cols>
  <sheetData>
    <row r="1" spans="1:17" x14ac:dyDescent="0.35">
      <c r="A1" s="216"/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8"/>
    </row>
    <row r="2" spans="1:17" ht="18" x14ac:dyDescent="0.35">
      <c r="A2" s="96"/>
      <c r="B2" s="145"/>
      <c r="C2" s="97"/>
      <c r="D2" s="219" t="s">
        <v>215</v>
      </c>
      <c r="E2" s="220"/>
      <c r="F2" s="220"/>
      <c r="G2" s="220"/>
      <c r="H2" s="220"/>
      <c r="I2" s="220"/>
      <c r="J2" s="220"/>
      <c r="K2" s="220"/>
      <c r="L2" s="220"/>
      <c r="M2" s="221"/>
    </row>
    <row r="3" spans="1:17" ht="18" x14ac:dyDescent="0.35">
      <c r="A3" s="98"/>
      <c r="B3" s="168"/>
      <c r="C3" s="99"/>
      <c r="D3" s="219" t="s">
        <v>216</v>
      </c>
      <c r="E3" s="220"/>
      <c r="F3" s="220"/>
      <c r="G3" s="220"/>
      <c r="H3" s="220"/>
      <c r="I3" s="220"/>
      <c r="J3" s="220"/>
      <c r="K3" s="220"/>
      <c r="L3" s="220"/>
      <c r="M3" s="221"/>
    </row>
    <row r="4" spans="1:17" x14ac:dyDescent="0.35">
      <c r="A4" s="100"/>
      <c r="B4" s="169"/>
      <c r="C4" s="101"/>
      <c r="D4" s="102"/>
      <c r="E4" s="103"/>
      <c r="F4" s="103"/>
      <c r="G4" s="103"/>
      <c r="H4" s="103"/>
      <c r="I4" s="103"/>
      <c r="J4" s="103"/>
      <c r="K4" s="103"/>
      <c r="L4" s="103"/>
      <c r="M4" s="104"/>
    </row>
    <row r="5" spans="1:17" x14ac:dyDescent="0.35">
      <c r="A5" s="105"/>
      <c r="B5" s="170"/>
      <c r="C5" s="106"/>
      <c r="D5" s="222" t="s">
        <v>217</v>
      </c>
      <c r="E5" s="223"/>
      <c r="F5" s="224"/>
      <c r="G5" s="222" t="s">
        <v>218</v>
      </c>
      <c r="H5" s="223"/>
      <c r="I5" s="224"/>
      <c r="J5" s="222" t="s">
        <v>219</v>
      </c>
      <c r="K5" s="224"/>
      <c r="L5" s="222" t="s">
        <v>220</v>
      </c>
      <c r="M5" s="224"/>
    </row>
    <row r="6" spans="1:17" x14ac:dyDescent="0.35">
      <c r="A6" s="107"/>
      <c r="B6" s="108"/>
      <c r="C6" s="108"/>
      <c r="D6" s="108"/>
      <c r="E6" s="108"/>
      <c r="F6" s="109"/>
      <c r="G6" s="109"/>
      <c r="H6" s="108"/>
      <c r="I6" s="108"/>
      <c r="J6" s="108"/>
      <c r="K6" s="108"/>
      <c r="L6" s="108"/>
      <c r="M6" s="110"/>
    </row>
    <row r="7" spans="1:17" ht="51" customHeight="1" x14ac:dyDescent="0.35">
      <c r="A7" s="212" t="s">
        <v>245</v>
      </c>
      <c r="B7" s="212"/>
      <c r="C7" s="212"/>
      <c r="D7" s="212"/>
      <c r="E7" s="212"/>
      <c r="F7" s="213" t="s">
        <v>237</v>
      </c>
      <c r="G7" s="214"/>
      <c r="H7" s="212" t="s">
        <v>238</v>
      </c>
      <c r="I7" s="212"/>
      <c r="J7" s="212" t="s">
        <v>221</v>
      </c>
      <c r="K7" s="212"/>
      <c r="L7" s="215" t="s">
        <v>222</v>
      </c>
      <c r="M7" s="215"/>
    </row>
    <row r="8" spans="1:17" ht="39" x14ac:dyDescent="0.35">
      <c r="A8" s="112" t="s">
        <v>168</v>
      </c>
      <c r="B8" s="112"/>
      <c r="C8" s="112" t="s">
        <v>169</v>
      </c>
      <c r="D8" s="111" t="s">
        <v>223</v>
      </c>
      <c r="E8" s="111" t="s">
        <v>170</v>
      </c>
      <c r="F8" s="111" t="s">
        <v>224</v>
      </c>
      <c r="G8" s="112" t="s">
        <v>225</v>
      </c>
      <c r="H8" s="111" t="s">
        <v>226</v>
      </c>
      <c r="I8" s="112" t="s">
        <v>225</v>
      </c>
      <c r="J8" s="111" t="s">
        <v>226</v>
      </c>
      <c r="K8" s="112" t="s">
        <v>225</v>
      </c>
      <c r="L8" s="111" t="s">
        <v>227</v>
      </c>
      <c r="M8" s="113" t="s">
        <v>172</v>
      </c>
    </row>
    <row r="9" spans="1:17" x14ac:dyDescent="0.35">
      <c r="A9" s="114">
        <v>1</v>
      </c>
      <c r="B9" s="114"/>
      <c r="C9" s="115" t="s">
        <v>173</v>
      </c>
      <c r="D9" s="115"/>
      <c r="E9" s="116"/>
      <c r="F9" s="116"/>
      <c r="G9" s="117"/>
      <c r="H9" s="116"/>
      <c r="I9" s="117"/>
      <c r="J9" s="116"/>
      <c r="K9" s="117"/>
      <c r="L9" s="116"/>
      <c r="M9" s="118"/>
    </row>
    <row r="10" spans="1:17" x14ac:dyDescent="0.35">
      <c r="A10" s="114" t="s">
        <v>174</v>
      </c>
      <c r="B10" s="171"/>
      <c r="C10" s="119" t="s">
        <v>228</v>
      </c>
      <c r="D10" s="115"/>
      <c r="E10" s="116"/>
      <c r="F10" s="116"/>
      <c r="G10" s="117"/>
      <c r="H10" s="116"/>
      <c r="I10" s="117"/>
      <c r="J10" s="116"/>
      <c r="K10" s="117"/>
      <c r="L10" s="116"/>
      <c r="M10" s="118"/>
    </row>
    <row r="11" spans="1:17" x14ac:dyDescent="0.35">
      <c r="A11" s="120" t="s">
        <v>229</v>
      </c>
      <c r="B11" s="209" t="s">
        <v>244</v>
      </c>
      <c r="C11" s="121" t="s">
        <v>205</v>
      </c>
      <c r="D11" s="120">
        <v>1</v>
      </c>
      <c r="E11" s="122">
        <v>1</v>
      </c>
      <c r="F11" s="123">
        <v>5095996</v>
      </c>
      <c r="G11" s="124">
        <f>D11*E11*F11</f>
        <v>5095996</v>
      </c>
      <c r="H11" s="123">
        <v>5146956</v>
      </c>
      <c r="I11" s="124">
        <f>D11*E11*H11</f>
        <v>5146956</v>
      </c>
      <c r="J11" s="123">
        <v>5277848</v>
      </c>
      <c r="K11" s="124">
        <f>E11*J11</f>
        <v>5277848</v>
      </c>
      <c r="L11" s="123">
        <f>(F11+H11+J11)/3</f>
        <v>5173600</v>
      </c>
      <c r="M11" s="125">
        <f t="shared" ref="M11:M16" si="0">E11*L11</f>
        <v>5173600</v>
      </c>
      <c r="Q11"/>
    </row>
    <row r="12" spans="1:17" x14ac:dyDescent="0.35">
      <c r="A12" s="120" t="s">
        <v>230</v>
      </c>
      <c r="B12" s="210"/>
      <c r="C12" s="121" t="s">
        <v>145</v>
      </c>
      <c r="D12" s="120">
        <v>4</v>
      </c>
      <c r="E12" s="122">
        <v>1</v>
      </c>
      <c r="F12" s="126">
        <v>12064443</v>
      </c>
      <c r="G12" s="124">
        <f>E12*F12</f>
        <v>12064443</v>
      </c>
      <c r="H12" s="127">
        <v>12004121</v>
      </c>
      <c r="I12" s="124">
        <f>E12*H12</f>
        <v>12004121</v>
      </c>
      <c r="J12" s="127">
        <v>12306640</v>
      </c>
      <c r="K12" s="124">
        <f t="shared" ref="K12:K20" si="1">E12*J12</f>
        <v>12306640</v>
      </c>
      <c r="L12" s="123">
        <f t="shared" ref="L12" si="2">(F12+H12+J12)/3</f>
        <v>12125068</v>
      </c>
      <c r="M12" s="125">
        <f t="shared" si="0"/>
        <v>12125068</v>
      </c>
      <c r="Q12"/>
    </row>
    <row r="13" spans="1:17" x14ac:dyDescent="0.35">
      <c r="A13" s="120" t="s">
        <v>231</v>
      </c>
      <c r="B13" s="210"/>
      <c r="C13" s="121" t="s">
        <v>175</v>
      </c>
      <c r="D13" s="120">
        <v>2</v>
      </c>
      <c r="E13" s="120">
        <v>1</v>
      </c>
      <c r="F13" s="126">
        <v>9085353</v>
      </c>
      <c r="G13" s="124">
        <f t="shared" ref="G13:G18" si="3">E13*F13</f>
        <v>9085353</v>
      </c>
      <c r="H13" s="127">
        <v>9067182</v>
      </c>
      <c r="I13" s="124">
        <f t="shared" ref="I13:I20" si="4">E13*H13</f>
        <v>9067182</v>
      </c>
      <c r="J13" s="127">
        <v>9158145</v>
      </c>
      <c r="K13" s="124">
        <f t="shared" si="1"/>
        <v>9158145</v>
      </c>
      <c r="L13" s="123">
        <f>(F13+H13+J13)/3</f>
        <v>9103560</v>
      </c>
      <c r="M13" s="125">
        <f t="shared" si="0"/>
        <v>9103560</v>
      </c>
      <c r="Q13"/>
    </row>
    <row r="14" spans="1:17" x14ac:dyDescent="0.35">
      <c r="A14" s="120" t="s">
        <v>232</v>
      </c>
      <c r="B14" s="210"/>
      <c r="C14" s="121" t="s">
        <v>146</v>
      </c>
      <c r="D14" s="120">
        <v>4</v>
      </c>
      <c r="E14" s="120">
        <v>1</v>
      </c>
      <c r="F14" s="126">
        <v>13123726</v>
      </c>
      <c r="G14" s="124">
        <f t="shared" si="3"/>
        <v>13123726</v>
      </c>
      <c r="H14" s="127">
        <v>13254963</v>
      </c>
      <c r="I14" s="124">
        <f t="shared" si="4"/>
        <v>13254963</v>
      </c>
      <c r="J14" s="127">
        <v>12602675</v>
      </c>
      <c r="K14" s="124">
        <f t="shared" si="1"/>
        <v>12602675</v>
      </c>
      <c r="L14" s="123">
        <f t="shared" ref="L14:L16" si="5">(F14+H14+J14)/3</f>
        <v>12993788</v>
      </c>
      <c r="M14" s="125">
        <f t="shared" si="0"/>
        <v>12993788</v>
      </c>
      <c r="Q14"/>
    </row>
    <row r="15" spans="1:17" x14ac:dyDescent="0.35">
      <c r="A15" s="120" t="s">
        <v>233</v>
      </c>
      <c r="B15" s="210"/>
      <c r="C15" s="121" t="s">
        <v>203</v>
      </c>
      <c r="D15" s="120">
        <v>1</v>
      </c>
      <c r="E15" s="122">
        <v>1</v>
      </c>
      <c r="F15" s="123">
        <v>3563286</v>
      </c>
      <c r="G15" s="124">
        <f t="shared" si="3"/>
        <v>3563286</v>
      </c>
      <c r="H15" s="123">
        <v>3616735</v>
      </c>
      <c r="I15" s="124">
        <f t="shared" si="4"/>
        <v>3616735</v>
      </c>
      <c r="J15" s="123">
        <v>3351860</v>
      </c>
      <c r="K15" s="124">
        <f t="shared" si="1"/>
        <v>3351860</v>
      </c>
      <c r="L15" s="123">
        <f t="shared" si="5"/>
        <v>3510627</v>
      </c>
      <c r="M15" s="125">
        <f t="shared" si="0"/>
        <v>3510627</v>
      </c>
      <c r="Q15"/>
    </row>
    <row r="16" spans="1:17" x14ac:dyDescent="0.35">
      <c r="A16" s="120" t="s">
        <v>234</v>
      </c>
      <c r="B16" s="210"/>
      <c r="C16" s="121" t="s">
        <v>204</v>
      </c>
      <c r="D16" s="120">
        <v>1</v>
      </c>
      <c r="E16" s="122">
        <v>1</v>
      </c>
      <c r="F16" s="123">
        <v>3457968</v>
      </c>
      <c r="G16" s="124">
        <f t="shared" si="3"/>
        <v>3457968</v>
      </c>
      <c r="H16" s="123">
        <v>3451052</v>
      </c>
      <c r="I16" s="124">
        <f t="shared" si="4"/>
        <v>3451052</v>
      </c>
      <c r="J16" s="123">
        <v>3622861</v>
      </c>
      <c r="K16" s="124">
        <f t="shared" si="1"/>
        <v>3622861</v>
      </c>
      <c r="L16" s="123">
        <f t="shared" si="5"/>
        <v>3510627</v>
      </c>
      <c r="M16" s="125">
        <f t="shared" si="0"/>
        <v>3510627</v>
      </c>
      <c r="Q16"/>
    </row>
    <row r="17" spans="1:17" x14ac:dyDescent="0.35">
      <c r="A17" s="114">
        <v>1.2</v>
      </c>
      <c r="B17" s="210"/>
      <c r="C17" s="128" t="s">
        <v>148</v>
      </c>
      <c r="D17" s="128"/>
      <c r="E17" s="128"/>
      <c r="F17" s="129"/>
      <c r="G17" s="129"/>
      <c r="H17" s="130"/>
      <c r="I17" s="130"/>
      <c r="J17" s="130"/>
      <c r="K17" s="130"/>
      <c r="L17" s="129"/>
      <c r="M17" s="129"/>
      <c r="Q17"/>
    </row>
    <row r="18" spans="1:17" x14ac:dyDescent="0.35">
      <c r="A18" s="120" t="s">
        <v>250</v>
      </c>
      <c r="B18" s="210"/>
      <c r="C18" s="121" t="s">
        <v>176</v>
      </c>
      <c r="D18" s="120">
        <v>2</v>
      </c>
      <c r="E18" s="122">
        <v>1</v>
      </c>
      <c r="F18" s="191">
        <v>28737876</v>
      </c>
      <c r="G18" s="190">
        <f t="shared" si="3"/>
        <v>28737876</v>
      </c>
      <c r="H18" s="127">
        <v>28680400</v>
      </c>
      <c r="I18" s="124">
        <f t="shared" si="4"/>
        <v>28680400</v>
      </c>
      <c r="J18" s="127">
        <v>27941753</v>
      </c>
      <c r="K18" s="124">
        <f t="shared" si="1"/>
        <v>27941753</v>
      </c>
      <c r="L18" s="123">
        <f>(F18+H18+J18)/3</f>
        <v>28453343</v>
      </c>
      <c r="M18" s="125">
        <f t="shared" ref="M18:M20" si="6">E18*L18</f>
        <v>28453343</v>
      </c>
      <c r="Q18"/>
    </row>
    <row r="19" spans="1:17" x14ac:dyDescent="0.35">
      <c r="A19" s="114">
        <v>1.3</v>
      </c>
      <c r="B19" s="210"/>
      <c r="C19" s="128" t="s">
        <v>149</v>
      </c>
      <c r="D19" s="128"/>
      <c r="E19" s="131"/>
      <c r="F19" s="189"/>
      <c r="G19" s="129"/>
      <c r="H19" s="130"/>
      <c r="I19" s="130"/>
      <c r="J19" s="130"/>
      <c r="K19" s="130"/>
      <c r="L19" s="129"/>
      <c r="M19" s="129"/>
      <c r="Q19"/>
    </row>
    <row r="20" spans="1:17" x14ac:dyDescent="0.35">
      <c r="A20" s="120" t="s">
        <v>235</v>
      </c>
      <c r="B20" s="211"/>
      <c r="C20" s="121" t="s">
        <v>177</v>
      </c>
      <c r="D20" s="120">
        <v>2</v>
      </c>
      <c r="E20" s="122">
        <v>1</v>
      </c>
      <c r="F20" s="132">
        <v>28048441</v>
      </c>
      <c r="G20" s="124">
        <f>E20*F20</f>
        <v>28048441</v>
      </c>
      <c r="H20" s="127">
        <v>27992344</v>
      </c>
      <c r="I20" s="124">
        <f t="shared" si="4"/>
        <v>27992344</v>
      </c>
      <c r="J20" s="127">
        <v>27271417</v>
      </c>
      <c r="K20" s="124">
        <f t="shared" si="1"/>
        <v>27271417</v>
      </c>
      <c r="L20" s="123">
        <f>(F20+H20+J20)/3</f>
        <v>27770734</v>
      </c>
      <c r="M20" s="125">
        <f t="shared" si="6"/>
        <v>27770734</v>
      </c>
      <c r="Q20"/>
    </row>
    <row r="21" spans="1:17" x14ac:dyDescent="0.35">
      <c r="A21" s="117"/>
      <c r="B21" s="172"/>
      <c r="C21" s="133" t="s">
        <v>150</v>
      </c>
      <c r="D21" s="134"/>
      <c r="E21" s="118"/>
      <c r="F21" s="135"/>
      <c r="G21" s="196">
        <f>SUM(G11:G20)</f>
        <v>103177089</v>
      </c>
      <c r="H21" s="196"/>
      <c r="I21" s="196">
        <f>SUM(I11:I20)</f>
        <v>103213753</v>
      </c>
      <c r="J21" s="196"/>
      <c r="K21" s="196">
        <f>SUM(K11:K20)</f>
        <v>101533199</v>
      </c>
      <c r="L21" s="195"/>
      <c r="M21" s="196">
        <f>SUM(M11:M20)</f>
        <v>102641347</v>
      </c>
      <c r="Q21"/>
    </row>
    <row r="22" spans="1:17" x14ac:dyDescent="0.35">
      <c r="A22" s="120"/>
      <c r="B22" s="173"/>
      <c r="C22" s="136" t="s">
        <v>210</v>
      </c>
      <c r="D22" s="137"/>
      <c r="E22" s="122"/>
      <c r="F22" s="164">
        <v>0.22</v>
      </c>
      <c r="G22" s="138">
        <v>22581096</v>
      </c>
      <c r="H22" s="165">
        <v>0.22</v>
      </c>
      <c r="I22" s="138">
        <v>22707026</v>
      </c>
      <c r="J22" s="165">
        <v>0.22</v>
      </c>
      <c r="K22" s="138">
        <v>22337304</v>
      </c>
      <c r="L22" s="165">
        <v>0.22</v>
      </c>
      <c r="M22" s="138">
        <f>ROUND(+M21*$F22,0)</f>
        <v>22581096</v>
      </c>
      <c r="Q22"/>
    </row>
    <row r="23" spans="1:17" x14ac:dyDescent="0.35">
      <c r="A23" s="120"/>
      <c r="B23" s="173"/>
      <c r="C23" s="139" t="s">
        <v>211</v>
      </c>
      <c r="D23" s="140"/>
      <c r="E23" s="122"/>
      <c r="F23" s="164">
        <v>0.05</v>
      </c>
      <c r="G23" s="138">
        <v>5132067</v>
      </c>
      <c r="H23" s="165">
        <v>0.05</v>
      </c>
      <c r="I23" s="138">
        <v>5160688</v>
      </c>
      <c r="J23" s="165">
        <v>0.05</v>
      </c>
      <c r="K23" s="138">
        <v>5076660</v>
      </c>
      <c r="L23" s="165">
        <v>0.05</v>
      </c>
      <c r="M23" s="138">
        <f>ROUND(+M21*$F23,0)</f>
        <v>5132067</v>
      </c>
      <c r="Q23"/>
    </row>
    <row r="24" spans="1:17" x14ac:dyDescent="0.35">
      <c r="A24" s="141"/>
      <c r="B24" s="174"/>
      <c r="C24" s="139" t="s">
        <v>236</v>
      </c>
      <c r="D24" s="140"/>
      <c r="E24" s="141"/>
      <c r="F24" s="164">
        <v>0.19</v>
      </c>
      <c r="G24" s="132">
        <v>5265501</v>
      </c>
      <c r="H24" s="165">
        <v>0.19</v>
      </c>
      <c r="I24" s="132">
        <v>5294866</v>
      </c>
      <c r="J24" s="165">
        <v>0.19</v>
      </c>
      <c r="K24" s="132">
        <v>5208653</v>
      </c>
      <c r="L24" s="165">
        <v>0.19</v>
      </c>
      <c r="M24" s="138">
        <f>ROUND(+SUM(M22:M23)*$F24,0)</f>
        <v>5265501</v>
      </c>
      <c r="Q24"/>
    </row>
    <row r="25" spans="1:17" x14ac:dyDescent="0.35">
      <c r="A25" s="142"/>
      <c r="B25" s="142"/>
      <c r="C25" s="134" t="s">
        <v>143</v>
      </c>
      <c r="D25" s="142"/>
      <c r="E25" s="142"/>
      <c r="F25" s="135"/>
      <c r="G25" s="143">
        <f>ROUND(G21+G22+G23+G24,0)</f>
        <v>136155753</v>
      </c>
      <c r="H25" s="130"/>
      <c r="I25" s="143">
        <f>ROUND(I21+I22+I23+I24,0)</f>
        <v>136376333</v>
      </c>
      <c r="J25" s="130"/>
      <c r="K25" s="143">
        <f>ROUND(K21+K22+K23+K24,0)</f>
        <v>134155816</v>
      </c>
      <c r="L25" s="144"/>
      <c r="M25" s="143">
        <f>ROUND(M21+M22+M23+M24,0)</f>
        <v>135620011</v>
      </c>
      <c r="Q25"/>
    </row>
    <row r="26" spans="1:17" x14ac:dyDescent="0.35">
      <c r="A26" s="96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6"/>
      <c r="Q26"/>
    </row>
    <row r="27" spans="1:17" x14ac:dyDescent="0.35">
      <c r="A27" s="147"/>
      <c r="B27" s="194" t="s">
        <v>249</v>
      </c>
      <c r="I27" s="148"/>
      <c r="L27" s="149"/>
      <c r="M27" s="150"/>
      <c r="Q27"/>
    </row>
    <row r="28" spans="1:17" x14ac:dyDescent="0.35">
      <c r="A28" s="147"/>
      <c r="C28" s="151"/>
      <c r="F28" s="152"/>
      <c r="M28" s="150"/>
    </row>
    <row r="29" spans="1:17" x14ac:dyDescent="0.35">
      <c r="A29" s="147"/>
      <c r="C29" s="151"/>
      <c r="F29" s="152"/>
      <c r="M29" s="150"/>
    </row>
    <row r="30" spans="1:17" x14ac:dyDescent="0.35">
      <c r="A30" s="147"/>
      <c r="C30" s="151"/>
      <c r="F30" s="152"/>
      <c r="M30" s="150"/>
    </row>
    <row r="31" spans="1:17" x14ac:dyDescent="0.35">
      <c r="A31" s="147"/>
      <c r="C31" s="151"/>
      <c r="F31" s="152"/>
      <c r="M31" s="150"/>
    </row>
    <row r="32" spans="1:17" x14ac:dyDescent="0.35">
      <c r="A32" s="147"/>
      <c r="F32" s="153"/>
      <c r="M32" s="154"/>
    </row>
    <row r="33" spans="1:14" x14ac:dyDescent="0.35">
      <c r="A33" s="147"/>
      <c r="F33" s="153"/>
      <c r="M33" s="154"/>
    </row>
    <row r="34" spans="1:14" x14ac:dyDescent="0.35">
      <c r="A34" s="147"/>
      <c r="M34" s="150"/>
    </row>
    <row r="35" spans="1:14" x14ac:dyDescent="0.35">
      <c r="A35" s="147"/>
      <c r="B35" s="167" t="s">
        <v>240</v>
      </c>
      <c r="F35" s="166" t="s">
        <v>246</v>
      </c>
      <c r="M35" s="155"/>
    </row>
    <row r="36" spans="1:14" x14ac:dyDescent="0.35">
      <c r="A36" s="147"/>
      <c r="B36" t="s">
        <v>241</v>
      </c>
      <c r="F36" t="s">
        <v>243</v>
      </c>
      <c r="M36" s="155"/>
    </row>
    <row r="37" spans="1:14" x14ac:dyDescent="0.35">
      <c r="A37" s="147"/>
      <c r="B37" t="s">
        <v>242</v>
      </c>
      <c r="D37" s="1"/>
      <c r="E37" s="1"/>
      <c r="F37" s="1"/>
      <c r="G37" s="1"/>
      <c r="M37" s="155"/>
      <c r="N37" s="156"/>
    </row>
    <row r="38" spans="1:14" x14ac:dyDescent="0.35">
      <c r="A38" s="107"/>
      <c r="B38" s="108"/>
      <c r="C38" s="108"/>
      <c r="D38" s="157"/>
      <c r="E38" s="108"/>
      <c r="F38" s="158"/>
      <c r="G38" s="159"/>
      <c r="H38" s="108"/>
      <c r="I38" s="108"/>
      <c r="J38" s="108"/>
      <c r="K38" s="108"/>
      <c r="L38" s="108"/>
      <c r="M38" s="110"/>
    </row>
    <row r="39" spans="1:14" x14ac:dyDescent="0.35">
      <c r="A39" s="147"/>
      <c r="D39" s="160"/>
      <c r="F39" s="161"/>
      <c r="G39" s="162"/>
    </row>
    <row r="40" spans="1:14" x14ac:dyDescent="0.35">
      <c r="A40" s="147"/>
      <c r="C40" s="163"/>
    </row>
    <row r="41" spans="1:14" x14ac:dyDescent="0.35">
      <c r="A41" s="147"/>
    </row>
    <row r="42" spans="1:14" x14ac:dyDescent="0.35">
      <c r="A42" s="147"/>
    </row>
  </sheetData>
  <mergeCells count="13">
    <mergeCell ref="L7:M7"/>
    <mergeCell ref="A1:M1"/>
    <mergeCell ref="D2:M2"/>
    <mergeCell ref="D3:M3"/>
    <mergeCell ref="D5:F5"/>
    <mergeCell ref="G5:I5"/>
    <mergeCell ref="J5:K5"/>
    <mergeCell ref="L5:M5"/>
    <mergeCell ref="B11:B20"/>
    <mergeCell ref="A7:E7"/>
    <mergeCell ref="F7:G7"/>
    <mergeCell ref="H7:I7"/>
    <mergeCell ref="J7:K7"/>
  </mergeCells>
  <printOptions horizontalCentered="1"/>
  <pageMargins left="0.511811023622047" right="0.118110236220472" top="1.14173228346457" bottom="0.511811023622047" header="0.31496062992126" footer="0.31496062992126"/>
  <pageSetup paperSize="258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DA8AC-AEFF-49C9-845D-A6C76A818B5A}">
  <dimension ref="B1:H34"/>
  <sheetViews>
    <sheetView tabSelected="1" view="pageBreakPreview" zoomScaleNormal="100" zoomScaleSheetLayoutView="100" workbookViewId="0">
      <selection activeCell="C35" sqref="C35"/>
    </sheetView>
  </sheetViews>
  <sheetFormatPr baseColWidth="10" defaultColWidth="11" defaultRowHeight="10.5" x14ac:dyDescent="0.35"/>
  <cols>
    <col min="1" max="1" width="2.5" style="180" customWidth="1"/>
    <col min="2" max="2" width="3.9140625" style="180" bestFit="1" customWidth="1"/>
    <col min="3" max="3" width="26.5" style="180" customWidth="1"/>
    <col min="4" max="4" width="8.08203125" style="180" customWidth="1"/>
    <col min="5" max="6" width="11" style="180"/>
    <col min="7" max="7" width="12.4140625" style="181" bestFit="1" customWidth="1"/>
    <col min="8" max="8" width="0" style="180" hidden="1" customWidth="1"/>
    <col min="9" max="16384" width="11" style="180"/>
  </cols>
  <sheetData>
    <row r="1" spans="2:8" ht="11" thickBot="1" x14ac:dyDescent="0.4"/>
    <row r="2" spans="2:8" ht="11" thickBot="1" x14ac:dyDescent="0.4">
      <c r="B2" s="225" t="s">
        <v>263</v>
      </c>
      <c r="C2" s="226"/>
      <c r="D2" s="226"/>
      <c r="E2" s="226"/>
      <c r="F2" s="226"/>
      <c r="G2" s="227"/>
    </row>
    <row r="3" spans="2:8" ht="11" thickBot="1" x14ac:dyDescent="0.4"/>
    <row r="4" spans="2:8" ht="45" customHeight="1" thickBot="1" x14ac:dyDescent="0.4">
      <c r="B4" s="225" t="s">
        <v>262</v>
      </c>
      <c r="C4" s="226"/>
      <c r="D4" s="226"/>
      <c r="E4" s="226"/>
      <c r="F4" s="226"/>
      <c r="G4" s="227"/>
    </row>
    <row r="5" spans="2:8" ht="21.5" thickBot="1" x14ac:dyDescent="0.4">
      <c r="B5" s="6" t="s">
        <v>168</v>
      </c>
      <c r="C5" s="5" t="s">
        <v>169</v>
      </c>
      <c r="D5" s="7" t="s">
        <v>258</v>
      </c>
      <c r="E5" s="7" t="s">
        <v>260</v>
      </c>
      <c r="F5" s="7" t="s">
        <v>171</v>
      </c>
      <c r="G5" s="36" t="s">
        <v>172</v>
      </c>
    </row>
    <row r="6" spans="2:8" ht="14.25" customHeight="1" thickBot="1" x14ac:dyDescent="0.4">
      <c r="B6" s="18">
        <v>1</v>
      </c>
      <c r="C6" s="89" t="s">
        <v>173</v>
      </c>
      <c r="D6" s="90"/>
      <c r="E6" s="90"/>
      <c r="F6" s="90"/>
      <c r="G6" s="203"/>
    </row>
    <row r="7" spans="2:8" ht="11" thickBot="1" x14ac:dyDescent="0.4">
      <c r="B7" s="10" t="s">
        <v>174</v>
      </c>
      <c r="C7" s="11" t="s">
        <v>205</v>
      </c>
      <c r="D7" s="207" t="s">
        <v>259</v>
      </c>
      <c r="E7" s="207">
        <v>1</v>
      </c>
      <c r="F7" s="50">
        <v>5403811</v>
      </c>
      <c r="G7" s="51">
        <f>+F7*$E7</f>
        <v>5403811</v>
      </c>
      <c r="H7" s="180">
        <v>0.98499999999999999</v>
      </c>
    </row>
    <row r="8" spans="2:8" ht="11" thickBot="1" x14ac:dyDescent="0.4">
      <c r="B8" s="10" t="s">
        <v>174</v>
      </c>
      <c r="C8" s="11" t="s">
        <v>145</v>
      </c>
      <c r="D8" s="207" t="s">
        <v>259</v>
      </c>
      <c r="E8" s="207">
        <v>1</v>
      </c>
      <c r="F8" s="50">
        <v>12939332</v>
      </c>
      <c r="G8" s="51">
        <f t="shared" ref="G8:G12" si="0">+F8*$E8</f>
        <v>12939332</v>
      </c>
      <c r="H8" s="180">
        <v>0.995</v>
      </c>
    </row>
    <row r="9" spans="2:8" ht="11" thickBot="1" x14ac:dyDescent="0.4">
      <c r="B9" s="10" t="s">
        <v>178</v>
      </c>
      <c r="C9" s="11" t="s">
        <v>175</v>
      </c>
      <c r="D9" s="207" t="s">
        <v>259</v>
      </c>
      <c r="E9" s="207">
        <v>1</v>
      </c>
      <c r="F9" s="50">
        <v>10015683</v>
      </c>
      <c r="G9" s="51">
        <f t="shared" si="0"/>
        <v>10015683</v>
      </c>
      <c r="H9" s="180">
        <v>0.998</v>
      </c>
    </row>
    <row r="10" spans="2:8" ht="11" thickBot="1" x14ac:dyDescent="0.4">
      <c r="B10" s="10" t="s">
        <v>147</v>
      </c>
      <c r="C10" s="11" t="s">
        <v>146</v>
      </c>
      <c r="D10" s="207" t="s">
        <v>259</v>
      </c>
      <c r="E10" s="207">
        <v>1</v>
      </c>
      <c r="F10" s="50">
        <v>13854088</v>
      </c>
      <c r="G10" s="51">
        <f t="shared" si="0"/>
        <v>13854088</v>
      </c>
      <c r="H10" s="180">
        <v>1.01</v>
      </c>
    </row>
    <row r="11" spans="2:8" ht="11" thickBot="1" x14ac:dyDescent="0.4">
      <c r="B11" s="10" t="s">
        <v>206</v>
      </c>
      <c r="C11" s="11" t="s">
        <v>203</v>
      </c>
      <c r="D11" s="207" t="s">
        <v>259</v>
      </c>
      <c r="E11" s="207">
        <v>1</v>
      </c>
      <c r="F11" s="50">
        <v>3737212</v>
      </c>
      <c r="G11" s="51">
        <f t="shared" si="0"/>
        <v>3737212</v>
      </c>
      <c r="H11" s="180">
        <v>1.0149999999999999</v>
      </c>
    </row>
    <row r="12" spans="2:8" ht="11" thickBot="1" x14ac:dyDescent="0.4">
      <c r="B12" s="10" t="s">
        <v>207</v>
      </c>
      <c r="C12" s="11" t="s">
        <v>204</v>
      </c>
      <c r="D12" s="207" t="s">
        <v>259</v>
      </c>
      <c r="E12" s="207">
        <v>1</v>
      </c>
      <c r="F12" s="50">
        <v>3737212</v>
      </c>
      <c r="G12" s="51">
        <f t="shared" si="0"/>
        <v>3737212</v>
      </c>
      <c r="H12" s="180">
        <v>0.98499999999999999</v>
      </c>
    </row>
    <row r="13" spans="2:8" ht="11" thickBot="1" x14ac:dyDescent="0.4">
      <c r="B13" s="18">
        <v>2</v>
      </c>
      <c r="C13" s="89" t="s">
        <v>148</v>
      </c>
      <c r="D13" s="90"/>
      <c r="E13" s="90"/>
      <c r="F13" s="90"/>
      <c r="G13" s="203"/>
    </row>
    <row r="14" spans="2:8" ht="11" thickBot="1" x14ac:dyDescent="0.4">
      <c r="B14" s="10" t="s">
        <v>179</v>
      </c>
      <c r="C14" s="11" t="s">
        <v>176</v>
      </c>
      <c r="D14" s="207" t="s">
        <v>259</v>
      </c>
      <c r="E14" s="207">
        <v>1</v>
      </c>
      <c r="F14" s="50">
        <v>26280111</v>
      </c>
      <c r="G14" s="51">
        <f>+F14*$E14</f>
        <v>26280111</v>
      </c>
      <c r="H14" s="180">
        <v>1.01</v>
      </c>
    </row>
    <row r="15" spans="2:8" ht="12" customHeight="1" thickBot="1" x14ac:dyDescent="0.4">
      <c r="B15" s="18">
        <v>3</v>
      </c>
      <c r="C15" s="89" t="s">
        <v>149</v>
      </c>
      <c r="D15" s="90"/>
      <c r="E15" s="90"/>
      <c r="F15" s="90"/>
      <c r="G15" s="203"/>
    </row>
    <row r="16" spans="2:8" ht="25.5" customHeight="1" thickBot="1" x14ac:dyDescent="0.4">
      <c r="B16" s="10" t="s">
        <v>180</v>
      </c>
      <c r="C16" s="11" t="s">
        <v>177</v>
      </c>
      <c r="D16" s="207" t="s">
        <v>259</v>
      </c>
      <c r="E16" s="207">
        <v>1</v>
      </c>
      <c r="F16" s="50">
        <v>26673898</v>
      </c>
      <c r="G16" s="51">
        <f>+F16*$E16</f>
        <v>26673898</v>
      </c>
      <c r="H16" s="180">
        <v>1.01</v>
      </c>
    </row>
    <row r="17" spans="2:7" ht="11" thickBot="1" x14ac:dyDescent="0.4">
      <c r="B17" s="10"/>
      <c r="C17" s="14" t="s">
        <v>150</v>
      </c>
      <c r="D17" s="15"/>
      <c r="E17" s="42"/>
      <c r="F17" s="16"/>
      <c r="G17" s="81">
        <f>SUM(G7:G16)</f>
        <v>102641347</v>
      </c>
    </row>
    <row r="18" spans="2:7" ht="11" thickBot="1" x14ac:dyDescent="0.4">
      <c r="B18" s="10"/>
      <c r="C18" s="14" t="s">
        <v>210</v>
      </c>
      <c r="D18" s="8"/>
      <c r="E18" s="12"/>
      <c r="F18" s="82">
        <v>0.22</v>
      </c>
      <c r="G18" s="37">
        <f>ROUND(+$G$17*$F18,0)</f>
        <v>22581096</v>
      </c>
    </row>
    <row r="19" spans="2:7" ht="11" thickBot="1" x14ac:dyDescent="0.4">
      <c r="B19" s="10"/>
      <c r="C19" s="14" t="s">
        <v>211</v>
      </c>
      <c r="D19" s="15"/>
      <c r="E19" s="12"/>
      <c r="F19" s="35">
        <v>0.05</v>
      </c>
      <c r="G19" s="37">
        <f>ROUND(+$G$17*$F19,0)</f>
        <v>5132067</v>
      </c>
    </row>
    <row r="20" spans="2:7" ht="11" thickBot="1" x14ac:dyDescent="0.4">
      <c r="B20" s="17"/>
      <c r="C20" s="14" t="s">
        <v>181</v>
      </c>
      <c r="D20" s="15"/>
      <c r="E20" s="13"/>
      <c r="F20" s="40">
        <v>0.19</v>
      </c>
      <c r="G20" s="38">
        <f>ROUND(+SUM(G18:G19)*$F20,0)</f>
        <v>5265501</v>
      </c>
    </row>
    <row r="21" spans="2:7" ht="11" thickBot="1" x14ac:dyDescent="0.4">
      <c r="B21" s="20"/>
      <c r="C21" s="21" t="s">
        <v>143</v>
      </c>
      <c r="D21" s="22"/>
      <c r="E21" s="22"/>
      <c r="F21" s="19"/>
      <c r="G21" s="39">
        <f>SUM(G17:G20)</f>
        <v>135620011</v>
      </c>
    </row>
    <row r="23" spans="2:7" x14ac:dyDescent="0.35">
      <c r="D23" s="186" t="s">
        <v>261</v>
      </c>
      <c r="E23" s="208"/>
      <c r="F23" s="185" t="s">
        <v>201</v>
      </c>
      <c r="G23" s="185">
        <v>7</v>
      </c>
    </row>
    <row r="25" spans="2:7" x14ac:dyDescent="0.35">
      <c r="F25" s="186" t="s">
        <v>202</v>
      </c>
      <c r="G25" s="187">
        <f>G21*G23</f>
        <v>949340077</v>
      </c>
    </row>
    <row r="33" spans="6:6" x14ac:dyDescent="0.35">
      <c r="F33" s="188"/>
    </row>
    <row r="34" spans="6:6" x14ac:dyDescent="0.35">
      <c r="F34" s="188"/>
    </row>
  </sheetData>
  <mergeCells count="2">
    <mergeCell ref="B4:G4"/>
    <mergeCell ref="B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20BC2-1EE8-4D72-932E-DA76C431B32E}">
  <dimension ref="B1:Q32"/>
  <sheetViews>
    <sheetView topLeftCell="A7" workbookViewId="0">
      <selection activeCell="C27" sqref="C27"/>
    </sheetView>
  </sheetViews>
  <sheetFormatPr baseColWidth="10" defaultColWidth="11" defaultRowHeight="10.5" x14ac:dyDescent="0.35"/>
  <cols>
    <col min="1" max="1" width="2.5" style="180" customWidth="1"/>
    <col min="2" max="2" width="3.9140625" style="180" bestFit="1" customWidth="1"/>
    <col min="3" max="3" width="26.5" style="180" customWidth="1"/>
    <col min="4" max="4" width="20.6640625" style="180" customWidth="1"/>
    <col min="5" max="6" width="11" style="180"/>
    <col min="7" max="7" width="12.4140625" style="181" bestFit="1" customWidth="1"/>
    <col min="8" max="8" width="0" style="180" hidden="1" customWidth="1"/>
    <col min="9" max="9" width="11.1640625" style="180" bestFit="1" customWidth="1"/>
    <col min="10" max="10" width="12.4140625" style="181" bestFit="1" customWidth="1"/>
    <col min="11" max="11" width="4.1640625" style="180" hidden="1" customWidth="1"/>
    <col min="12" max="12" width="11" style="180"/>
    <col min="13" max="13" width="12.4140625" style="181" bestFit="1" customWidth="1"/>
    <col min="14" max="14" width="11" style="180"/>
    <col min="15" max="15" width="12.4140625" style="181" bestFit="1" customWidth="1"/>
    <col min="16" max="16" width="11" style="180"/>
    <col min="17" max="17" width="12.4140625" style="181" bestFit="1" customWidth="1"/>
    <col min="18" max="16384" width="11" style="180"/>
  </cols>
  <sheetData>
    <row r="1" spans="2:17" ht="11" thickBot="1" x14ac:dyDescent="0.4"/>
    <row r="2" spans="2:17" ht="45" customHeight="1" thickBot="1" x14ac:dyDescent="0.4">
      <c r="B2" s="200" t="s">
        <v>247</v>
      </c>
      <c r="C2" s="201"/>
      <c r="D2" s="201"/>
      <c r="E2" s="201"/>
      <c r="F2" s="201"/>
      <c r="G2" s="202"/>
      <c r="I2" s="204" t="s">
        <v>239</v>
      </c>
      <c r="J2" s="205"/>
      <c r="K2" s="182"/>
      <c r="L2" s="204" t="s">
        <v>213</v>
      </c>
      <c r="M2" s="206"/>
      <c r="N2" s="205" t="s">
        <v>214</v>
      </c>
      <c r="O2" s="206"/>
      <c r="P2" s="198" t="s">
        <v>212</v>
      </c>
      <c r="Q2" s="199"/>
    </row>
    <row r="3" spans="2:17" ht="32" thickBot="1" x14ac:dyDescent="0.4">
      <c r="B3" s="6" t="s">
        <v>168</v>
      </c>
      <c r="C3" s="5" t="s">
        <v>169</v>
      </c>
      <c r="D3" s="7" t="s">
        <v>182</v>
      </c>
      <c r="E3" s="7" t="s">
        <v>170</v>
      </c>
      <c r="F3" s="7" t="s">
        <v>171</v>
      </c>
      <c r="G3" s="36" t="s">
        <v>172</v>
      </c>
      <c r="I3" s="87" t="s">
        <v>171</v>
      </c>
      <c r="J3" s="88" t="s">
        <v>172</v>
      </c>
      <c r="K3" s="182"/>
      <c r="L3" s="7" t="s">
        <v>171</v>
      </c>
      <c r="M3" s="36" t="s">
        <v>172</v>
      </c>
      <c r="N3" s="7" t="s">
        <v>171</v>
      </c>
      <c r="O3" s="36" t="s">
        <v>172</v>
      </c>
      <c r="P3" s="7" t="s">
        <v>171</v>
      </c>
      <c r="Q3" s="36" t="s">
        <v>172</v>
      </c>
    </row>
    <row r="4" spans="2:17" ht="14.25" customHeight="1" thickBot="1" x14ac:dyDescent="0.4">
      <c r="B4" s="18">
        <v>1</v>
      </c>
      <c r="C4" s="89" t="s">
        <v>173</v>
      </c>
      <c r="D4" s="90"/>
      <c r="E4" s="90"/>
      <c r="F4" s="90"/>
      <c r="G4" s="203"/>
      <c r="I4" s="89"/>
      <c r="J4" s="90"/>
      <c r="K4" s="90"/>
      <c r="L4" s="89"/>
      <c r="M4" s="90"/>
      <c r="N4" s="89"/>
      <c r="O4" s="90"/>
      <c r="P4" s="89"/>
      <c r="Q4" s="90"/>
    </row>
    <row r="5" spans="2:17" ht="11" thickBot="1" x14ac:dyDescent="0.4">
      <c r="B5" s="10" t="s">
        <v>174</v>
      </c>
      <c r="C5" s="11" t="s">
        <v>205</v>
      </c>
      <c r="D5" s="94">
        <v>1</v>
      </c>
      <c r="E5" s="41">
        <v>1</v>
      </c>
      <c r="F5" s="50">
        <f>+PERSONAL!B22</f>
        <v>5403811</v>
      </c>
      <c r="G5" s="51">
        <f>+F5*$E5</f>
        <v>5403811</v>
      </c>
      <c r="H5" s="180">
        <v>0.98499999999999999</v>
      </c>
      <c r="I5" s="183">
        <f>ROUND(F5*H5,0)</f>
        <v>5322754</v>
      </c>
      <c r="J5" s="83">
        <f>+I5*$E5</f>
        <v>5322754</v>
      </c>
      <c r="K5" s="180">
        <v>1.01</v>
      </c>
      <c r="L5" s="183">
        <f>ROUND(I5*K5,0)</f>
        <v>5375982</v>
      </c>
      <c r="M5" s="83">
        <f>+L5*$E5</f>
        <v>5375982</v>
      </c>
      <c r="N5" s="183">
        <f>(F5*3)-I5-L5</f>
        <v>5512697</v>
      </c>
      <c r="O5" s="83">
        <f>+N5*$E5</f>
        <v>5512697</v>
      </c>
      <c r="P5" s="183">
        <f>(I5+L5+N5)/3</f>
        <v>5403811</v>
      </c>
      <c r="Q5" s="83">
        <f>+P5*$E5</f>
        <v>5403811</v>
      </c>
    </row>
    <row r="6" spans="2:17" ht="11" thickBot="1" x14ac:dyDescent="0.4">
      <c r="B6" s="10" t="s">
        <v>174</v>
      </c>
      <c r="C6" s="11" t="s">
        <v>145</v>
      </c>
      <c r="D6" s="9">
        <v>4</v>
      </c>
      <c r="E6" s="41">
        <v>1</v>
      </c>
      <c r="F6" s="50">
        <f>+PERSONAL!C22</f>
        <v>12939332</v>
      </c>
      <c r="G6" s="51">
        <f t="shared" ref="G6:G10" si="0">+F6*$E6</f>
        <v>12939332</v>
      </c>
      <c r="H6" s="180">
        <v>0.995</v>
      </c>
      <c r="I6" s="183">
        <f t="shared" ref="I6:I10" si="1">ROUND(F6*H6,0)</f>
        <v>12874635</v>
      </c>
      <c r="J6" s="83">
        <f t="shared" ref="J6:J10" si="2">+I6*$E6</f>
        <v>12874635</v>
      </c>
      <c r="K6" s="180">
        <v>0.995</v>
      </c>
      <c r="L6" s="183">
        <f t="shared" ref="L6:L10" si="3">ROUND(I6*K6,0)</f>
        <v>12810262</v>
      </c>
      <c r="M6" s="83">
        <f t="shared" ref="M6:M14" si="4">+L6*$E6</f>
        <v>12810262</v>
      </c>
      <c r="N6" s="183">
        <f t="shared" ref="N6:N12" si="5">(F6*3)-I6-L6</f>
        <v>13133099</v>
      </c>
      <c r="O6" s="83">
        <f t="shared" ref="O6:Q10" si="6">+N6*$E6</f>
        <v>13133099</v>
      </c>
      <c r="P6" s="183">
        <f t="shared" ref="P6:P14" si="7">(I6+L6+N6)/3</f>
        <v>12939332</v>
      </c>
      <c r="Q6" s="83">
        <f t="shared" si="6"/>
        <v>12939332</v>
      </c>
    </row>
    <row r="7" spans="2:17" ht="11" thickBot="1" x14ac:dyDescent="0.4">
      <c r="B7" s="10" t="s">
        <v>178</v>
      </c>
      <c r="C7" s="11" t="s">
        <v>175</v>
      </c>
      <c r="D7" s="94">
        <v>2</v>
      </c>
      <c r="E7" s="41">
        <v>1</v>
      </c>
      <c r="F7" s="50">
        <f>+PERSONAL!D22</f>
        <v>10015683</v>
      </c>
      <c r="G7" s="51">
        <f t="shared" si="0"/>
        <v>10015683</v>
      </c>
      <c r="H7" s="180">
        <v>0.998</v>
      </c>
      <c r="I7" s="183">
        <f t="shared" si="1"/>
        <v>9995652</v>
      </c>
      <c r="J7" s="83">
        <f t="shared" si="2"/>
        <v>9995652</v>
      </c>
      <c r="K7" s="180">
        <v>0.998</v>
      </c>
      <c r="L7" s="183">
        <f t="shared" si="3"/>
        <v>9975661</v>
      </c>
      <c r="M7" s="83">
        <f t="shared" si="4"/>
        <v>9975661</v>
      </c>
      <c r="N7" s="183">
        <f t="shared" si="5"/>
        <v>10075736</v>
      </c>
      <c r="O7" s="83">
        <f t="shared" si="6"/>
        <v>10075736</v>
      </c>
      <c r="P7" s="183">
        <f t="shared" si="7"/>
        <v>10015683</v>
      </c>
      <c r="Q7" s="83">
        <f t="shared" si="6"/>
        <v>10015683</v>
      </c>
    </row>
    <row r="8" spans="2:17" ht="11" thickBot="1" x14ac:dyDescent="0.4">
      <c r="B8" s="10" t="s">
        <v>147</v>
      </c>
      <c r="C8" s="11" t="s">
        <v>146</v>
      </c>
      <c r="D8" s="9">
        <v>4</v>
      </c>
      <c r="E8" s="41">
        <v>1</v>
      </c>
      <c r="F8" s="50">
        <f>+PERSONAL!E22</f>
        <v>13854088</v>
      </c>
      <c r="G8" s="51">
        <f t="shared" si="0"/>
        <v>13854088</v>
      </c>
      <c r="H8" s="180">
        <v>1.01</v>
      </c>
      <c r="I8" s="183">
        <f>ROUND(F8*H8,0)</f>
        <v>13992629</v>
      </c>
      <c r="J8" s="83">
        <f t="shared" si="2"/>
        <v>13992629</v>
      </c>
      <c r="K8" s="180">
        <v>1.01</v>
      </c>
      <c r="L8" s="183">
        <f>ROUND(I8*K8,0)</f>
        <v>14132555</v>
      </c>
      <c r="M8" s="83">
        <f t="shared" si="4"/>
        <v>14132555</v>
      </c>
      <c r="N8" s="183">
        <f t="shared" si="5"/>
        <v>13437080</v>
      </c>
      <c r="O8" s="83">
        <f t="shared" si="6"/>
        <v>13437080</v>
      </c>
      <c r="P8" s="183">
        <f t="shared" si="7"/>
        <v>13854088</v>
      </c>
      <c r="Q8" s="83">
        <f t="shared" si="6"/>
        <v>13854088</v>
      </c>
    </row>
    <row r="9" spans="2:17" ht="11" thickBot="1" x14ac:dyDescent="0.4">
      <c r="B9" s="10" t="s">
        <v>206</v>
      </c>
      <c r="C9" s="11" t="s">
        <v>203</v>
      </c>
      <c r="D9" s="9">
        <v>1</v>
      </c>
      <c r="E9" s="41">
        <v>1</v>
      </c>
      <c r="F9" s="50">
        <f>+PERSONAL!F22</f>
        <v>3737212</v>
      </c>
      <c r="G9" s="51">
        <f t="shared" si="0"/>
        <v>3737212</v>
      </c>
      <c r="H9" s="180">
        <v>1.0149999999999999</v>
      </c>
      <c r="I9" s="183">
        <f t="shared" si="1"/>
        <v>3793270</v>
      </c>
      <c r="J9" s="83">
        <f t="shared" si="2"/>
        <v>3793270</v>
      </c>
      <c r="K9" s="180">
        <v>1.0149999999999999</v>
      </c>
      <c r="L9" s="183">
        <f t="shared" si="3"/>
        <v>3850169</v>
      </c>
      <c r="M9" s="83">
        <f t="shared" si="4"/>
        <v>3850169</v>
      </c>
      <c r="N9" s="183">
        <f t="shared" si="5"/>
        <v>3568197</v>
      </c>
      <c r="O9" s="83">
        <f t="shared" si="6"/>
        <v>3568197</v>
      </c>
      <c r="P9" s="183">
        <f t="shared" si="7"/>
        <v>3737212</v>
      </c>
      <c r="Q9" s="83">
        <f t="shared" si="6"/>
        <v>3737212</v>
      </c>
    </row>
    <row r="10" spans="2:17" ht="11" thickBot="1" x14ac:dyDescent="0.4">
      <c r="B10" s="10" t="s">
        <v>207</v>
      </c>
      <c r="C10" s="11" t="s">
        <v>204</v>
      </c>
      <c r="D10" s="9">
        <v>1</v>
      </c>
      <c r="E10" s="41">
        <v>1</v>
      </c>
      <c r="F10" s="50">
        <f>+PERSONAL!G22</f>
        <v>3737212</v>
      </c>
      <c r="G10" s="51">
        <f t="shared" si="0"/>
        <v>3737212</v>
      </c>
      <c r="H10" s="180">
        <v>0.98499999999999999</v>
      </c>
      <c r="I10" s="183">
        <f t="shared" si="1"/>
        <v>3681154</v>
      </c>
      <c r="J10" s="83">
        <f t="shared" si="2"/>
        <v>3681154</v>
      </c>
      <c r="K10" s="180">
        <v>0.998</v>
      </c>
      <c r="L10" s="183">
        <f t="shared" si="3"/>
        <v>3673792</v>
      </c>
      <c r="M10" s="83">
        <f t="shared" si="4"/>
        <v>3673792</v>
      </c>
      <c r="N10" s="183">
        <f t="shared" si="5"/>
        <v>3856690</v>
      </c>
      <c r="O10" s="83">
        <f t="shared" si="6"/>
        <v>3856690</v>
      </c>
      <c r="P10" s="183">
        <f t="shared" si="7"/>
        <v>3737212</v>
      </c>
      <c r="Q10" s="83">
        <f t="shared" si="6"/>
        <v>3737212</v>
      </c>
    </row>
    <row r="11" spans="2:17" ht="11" thickBot="1" x14ac:dyDescent="0.4">
      <c r="B11" s="18">
        <v>2</v>
      </c>
      <c r="C11" s="89" t="s">
        <v>148</v>
      </c>
      <c r="D11" s="90"/>
      <c r="E11" s="90"/>
      <c r="F11" s="90"/>
      <c r="G11" s="203"/>
      <c r="I11" s="89"/>
      <c r="J11" s="90"/>
      <c r="K11" s="90"/>
      <c r="L11" s="89"/>
      <c r="M11" s="90"/>
      <c r="N11" s="89"/>
      <c r="O11" s="90"/>
      <c r="P11" s="89"/>
      <c r="Q11" s="90"/>
    </row>
    <row r="12" spans="2:17" ht="11" thickBot="1" x14ac:dyDescent="0.4">
      <c r="B12" s="10" t="s">
        <v>179</v>
      </c>
      <c r="C12" s="11" t="s">
        <v>176</v>
      </c>
      <c r="D12" s="9">
        <v>2</v>
      </c>
      <c r="E12" s="12">
        <v>1</v>
      </c>
      <c r="F12" s="50">
        <f>+PERSONAL!H22</f>
        <v>26280111</v>
      </c>
      <c r="G12" s="51">
        <f>+F12*$E12</f>
        <v>26280111</v>
      </c>
      <c r="H12" s="180">
        <v>1.01</v>
      </c>
      <c r="I12" s="183">
        <f t="shared" ref="I12" si="8">ROUND(F12*H12,0)</f>
        <v>26542912</v>
      </c>
      <c r="J12" s="83">
        <f>+I12*$E12</f>
        <v>26542912</v>
      </c>
      <c r="K12" s="180">
        <v>0.998</v>
      </c>
      <c r="L12" s="183">
        <f t="shared" ref="L12" si="9">ROUND(I12*K12,0)</f>
        <v>26489826</v>
      </c>
      <c r="M12" s="83">
        <f t="shared" si="4"/>
        <v>26489826</v>
      </c>
      <c r="N12" s="183">
        <f t="shared" si="5"/>
        <v>25807595</v>
      </c>
      <c r="O12" s="83">
        <f>+N12*$E12</f>
        <v>25807595</v>
      </c>
      <c r="P12" s="183">
        <f t="shared" si="7"/>
        <v>26280111</v>
      </c>
      <c r="Q12" s="83">
        <f>+P12*$E12</f>
        <v>26280111</v>
      </c>
    </row>
    <row r="13" spans="2:17" ht="12" customHeight="1" thickBot="1" x14ac:dyDescent="0.4">
      <c r="B13" s="18">
        <v>3</v>
      </c>
      <c r="C13" s="89" t="s">
        <v>149</v>
      </c>
      <c r="D13" s="90"/>
      <c r="E13" s="90"/>
      <c r="F13" s="90"/>
      <c r="G13" s="203"/>
      <c r="I13" s="89"/>
      <c r="J13" s="90"/>
      <c r="K13" s="90"/>
      <c r="L13" s="89"/>
      <c r="M13" s="90"/>
      <c r="N13" s="89"/>
      <c r="O13" s="90"/>
      <c r="P13" s="89"/>
      <c r="Q13" s="90"/>
    </row>
    <row r="14" spans="2:17" ht="25.5" customHeight="1" thickBot="1" x14ac:dyDescent="0.4">
      <c r="B14" s="10" t="s">
        <v>180</v>
      </c>
      <c r="C14" s="11" t="s">
        <v>177</v>
      </c>
      <c r="D14" s="9">
        <v>2</v>
      </c>
      <c r="E14" s="41">
        <v>1</v>
      </c>
      <c r="F14" s="50">
        <f>+PERSONAL!I22</f>
        <v>26673898</v>
      </c>
      <c r="G14" s="51">
        <f>+F14*$E14</f>
        <v>26673898</v>
      </c>
      <c r="H14" s="180">
        <v>1.01</v>
      </c>
      <c r="I14" s="183">
        <f t="shared" ref="I14" si="10">ROUND(F14*H14,0)</f>
        <v>26940637</v>
      </c>
      <c r="J14" s="83">
        <f>+I14*$E14</f>
        <v>26940637</v>
      </c>
      <c r="K14" s="180">
        <v>0.998</v>
      </c>
      <c r="L14" s="183">
        <f t="shared" ref="L14" si="11">ROUND(I14*K14,0)</f>
        <v>26886756</v>
      </c>
      <c r="M14" s="83">
        <f t="shared" si="4"/>
        <v>26886756</v>
      </c>
      <c r="N14" s="183">
        <f>(F14*3)-I14-L14</f>
        <v>26194301</v>
      </c>
      <c r="O14" s="83">
        <f>+N14*$E14</f>
        <v>26194301</v>
      </c>
      <c r="P14" s="183">
        <f t="shared" si="7"/>
        <v>26673898</v>
      </c>
      <c r="Q14" s="83">
        <f>+P14*$E14</f>
        <v>26673898</v>
      </c>
    </row>
    <row r="15" spans="2:17" ht="11" thickBot="1" x14ac:dyDescent="0.4">
      <c r="B15" s="10"/>
      <c r="C15" s="14" t="s">
        <v>150</v>
      </c>
      <c r="D15" s="15"/>
      <c r="E15" s="42"/>
      <c r="F15" s="16"/>
      <c r="G15" s="81">
        <f>SUM(G5:G14)</f>
        <v>102641347</v>
      </c>
      <c r="I15" s="183"/>
      <c r="J15" s="84">
        <f>SUM(J5:J14)</f>
        <v>103143643</v>
      </c>
      <c r="L15" s="183"/>
      <c r="M15" s="84">
        <f>SUM(M5:M14)</f>
        <v>103195003</v>
      </c>
      <c r="N15" s="183"/>
      <c r="O15" s="91">
        <f>SUM(O5:O14)</f>
        <v>101585395</v>
      </c>
      <c r="P15" s="183"/>
      <c r="Q15" s="91">
        <f>SUM(Q5:Q14)</f>
        <v>102641347</v>
      </c>
    </row>
    <row r="16" spans="2:17" ht="11" thickBot="1" x14ac:dyDescent="0.4">
      <c r="B16" s="10"/>
      <c r="C16" s="14" t="s">
        <v>210</v>
      </c>
      <c r="D16" s="8"/>
      <c r="E16" s="12"/>
      <c r="F16" s="82">
        <v>0.22</v>
      </c>
      <c r="G16" s="37">
        <f>ROUND(+$G$15*$F16,0)</f>
        <v>22581096</v>
      </c>
      <c r="I16" s="183"/>
      <c r="J16" s="85">
        <f>ROUND(+J15*$F16,0)</f>
        <v>22691601</v>
      </c>
      <c r="L16" s="183"/>
      <c r="M16" s="85">
        <f>ROUND(+M15*$F16,0)</f>
        <v>22702901</v>
      </c>
      <c r="N16" s="183"/>
      <c r="O16" s="85">
        <f>ROUND(+O15*$F16,0)</f>
        <v>22348787</v>
      </c>
      <c r="P16" s="183"/>
      <c r="Q16" s="85">
        <f>ROUND(+Q15*$F16,0)</f>
        <v>22581096</v>
      </c>
    </row>
    <row r="17" spans="2:17" ht="11" thickBot="1" x14ac:dyDescent="0.4">
      <c r="B17" s="10"/>
      <c r="C17" s="14" t="s">
        <v>211</v>
      </c>
      <c r="D17" s="15"/>
      <c r="E17" s="12"/>
      <c r="F17" s="35">
        <v>0.05</v>
      </c>
      <c r="G17" s="37">
        <f>ROUND(+$G$15*$F17,0)</f>
        <v>5132067</v>
      </c>
      <c r="I17" s="183"/>
      <c r="J17" s="85">
        <f>ROUND(+J15*$F17,0)</f>
        <v>5157182</v>
      </c>
      <c r="L17" s="183"/>
      <c r="M17" s="85">
        <f>ROUND(+M15*$F17,0)</f>
        <v>5159750</v>
      </c>
      <c r="N17" s="183"/>
      <c r="O17" s="85">
        <f>ROUND(+O15*$F17,0)</f>
        <v>5079270</v>
      </c>
      <c r="P17" s="183"/>
      <c r="Q17" s="85">
        <f>ROUND(+Q15*$F17,0)</f>
        <v>5132067</v>
      </c>
    </row>
    <row r="18" spans="2:17" ht="11" thickBot="1" x14ac:dyDescent="0.4">
      <c r="B18" s="17"/>
      <c r="C18" s="14" t="s">
        <v>181</v>
      </c>
      <c r="D18" s="15"/>
      <c r="E18" s="13"/>
      <c r="F18" s="40">
        <v>0.19</v>
      </c>
      <c r="G18" s="38">
        <f>ROUND(+SUM(G16:G17)*$F18,0)</f>
        <v>5265501</v>
      </c>
      <c r="I18" s="183"/>
      <c r="J18" s="86">
        <f>ROUND(+SUM(J16:J17)*$F18,0)</f>
        <v>5291269</v>
      </c>
      <c r="L18" s="183"/>
      <c r="M18" s="86">
        <f>ROUND(+SUM(M16:M17)*$F18,0)</f>
        <v>5293904</v>
      </c>
      <c r="N18" s="183"/>
      <c r="O18" s="86">
        <f>ROUND(+SUM(O16:O17)*$F18,0)</f>
        <v>5211331</v>
      </c>
      <c r="P18" s="183"/>
      <c r="Q18" s="86">
        <f>ROUND(+SUM(Q16:Q17)*$F18,0)</f>
        <v>5265501</v>
      </c>
    </row>
    <row r="19" spans="2:17" ht="11" thickBot="1" x14ac:dyDescent="0.4">
      <c r="B19" s="20"/>
      <c r="C19" s="21" t="s">
        <v>143</v>
      </c>
      <c r="D19" s="22"/>
      <c r="E19" s="22"/>
      <c r="F19" s="19"/>
      <c r="G19" s="39">
        <f>SUM(G15:G18)</f>
        <v>135620011</v>
      </c>
      <c r="I19" s="184"/>
      <c r="J19" s="93">
        <f>SUM(J15:J18)</f>
        <v>136283695</v>
      </c>
      <c r="L19" s="184"/>
      <c r="M19" s="93">
        <f>SUM(M15:M18)</f>
        <v>136351558</v>
      </c>
      <c r="N19" s="184"/>
      <c r="O19" s="93">
        <f>SUM(O15:O18)</f>
        <v>134224783</v>
      </c>
      <c r="P19" s="184"/>
      <c r="Q19" s="92">
        <f>SUM(Q15:Q18)</f>
        <v>135620011</v>
      </c>
    </row>
    <row r="20" spans="2:17" ht="11" thickBot="1" x14ac:dyDescent="0.4">
      <c r="N20" s="89"/>
      <c r="O20" s="90"/>
      <c r="P20" s="89"/>
      <c r="Q20" s="90"/>
    </row>
    <row r="21" spans="2:17" x14ac:dyDescent="0.35">
      <c r="F21" s="185" t="s">
        <v>201</v>
      </c>
      <c r="G21" s="185">
        <v>7</v>
      </c>
      <c r="J21" s="185">
        <v>7</v>
      </c>
      <c r="M21" s="185">
        <v>7</v>
      </c>
      <c r="O21" s="185">
        <v>7</v>
      </c>
      <c r="Q21" s="185">
        <v>7</v>
      </c>
    </row>
    <row r="23" spans="2:17" x14ac:dyDescent="0.35">
      <c r="F23" s="186" t="s">
        <v>202</v>
      </c>
      <c r="G23" s="187">
        <f>G19*G21</f>
        <v>949340077</v>
      </c>
      <c r="J23" s="187">
        <f>J19*J21</f>
        <v>953985865</v>
      </c>
      <c r="M23" s="187">
        <f>M19*M21</f>
        <v>954460906</v>
      </c>
      <c r="O23" s="187">
        <f>O19*O21</f>
        <v>939573481</v>
      </c>
      <c r="Q23" s="187">
        <f>Q19*Q21</f>
        <v>949340077</v>
      </c>
    </row>
    <row r="31" spans="2:17" x14ac:dyDescent="0.35">
      <c r="F31" s="188"/>
    </row>
    <row r="32" spans="2:17" x14ac:dyDescent="0.35">
      <c r="F32" s="188"/>
    </row>
  </sheetData>
  <phoneticPr fontId="6" type="noConversion"/>
  <pageMargins left="0.7" right="0.7" top="0.75" bottom="0.75" header="0.3" footer="0.3"/>
  <ignoredErrors>
    <ignoredError sqref="B5:B14" numberStoredAsText="1"/>
    <ignoredError sqref="N5:P1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8A8CD-B1B0-41FF-86AF-CBD5953E621C}">
  <dimension ref="A1:L24"/>
  <sheetViews>
    <sheetView topLeftCell="A4" zoomScale="85" zoomScaleNormal="85" workbookViewId="0">
      <selection activeCell="B3" sqref="B3:G19"/>
    </sheetView>
  </sheetViews>
  <sheetFormatPr baseColWidth="10" defaultColWidth="11" defaultRowHeight="14.5" x14ac:dyDescent="0.35"/>
  <cols>
    <col min="1" max="1" width="39.1640625" style="3" customWidth="1"/>
    <col min="2" max="2" width="15.9140625" style="3" customWidth="1"/>
    <col min="3" max="4" width="15.58203125" style="3" customWidth="1"/>
    <col min="5" max="5" width="14.08203125" style="3" customWidth="1"/>
    <col min="6" max="7" width="15.1640625" style="3" customWidth="1"/>
    <col min="8" max="9" width="15.58203125" style="3" customWidth="1"/>
    <col min="10" max="10" width="16.9140625" style="3" customWidth="1"/>
    <col min="11" max="11" width="11" style="3"/>
    <col min="12" max="12" width="17.6640625" style="3" customWidth="1"/>
    <col min="13" max="16384" width="11" style="3"/>
  </cols>
  <sheetData>
    <row r="1" spans="1:9" ht="42.75" customHeight="1" x14ac:dyDescent="0.35">
      <c r="A1" s="28" t="s">
        <v>151</v>
      </c>
      <c r="B1" s="24" t="s">
        <v>205</v>
      </c>
      <c r="C1" s="23" t="str">
        <f>+PRESUPUESTO!C6</f>
        <v>LIMPIEZA GENERAL</v>
      </c>
      <c r="D1" s="24" t="str">
        <f>+PRESUPUESTO!C7</f>
        <v>SERVICIOS GENERALES DE ASEO</v>
      </c>
      <c r="E1" s="24" t="str">
        <f>+PRESUPUESTO!C8</f>
        <v>TODEROS</v>
      </c>
      <c r="F1" s="24" t="s">
        <v>203</v>
      </c>
      <c r="G1" s="24" t="s">
        <v>204</v>
      </c>
      <c r="H1" s="24" t="s">
        <v>152</v>
      </c>
      <c r="I1" s="24" t="s">
        <v>144</v>
      </c>
    </row>
    <row r="2" spans="1:9" x14ac:dyDescent="0.35">
      <c r="A2" s="29" t="s">
        <v>153</v>
      </c>
      <c r="B2" s="175">
        <v>3159000</v>
      </c>
      <c r="C2" s="176">
        <v>2000700</v>
      </c>
      <c r="D2" s="177">
        <v>1750905</v>
      </c>
      <c r="E2" s="176">
        <v>2158650</v>
      </c>
      <c r="F2" s="176">
        <v>2316600</v>
      </c>
      <c r="G2" s="176">
        <v>2316600</v>
      </c>
      <c r="H2" s="176">
        <v>1750905</v>
      </c>
      <c r="I2" s="176">
        <v>1950905</v>
      </c>
    </row>
    <row r="3" spans="1:9" ht="41.4" customHeight="1" x14ac:dyDescent="0.35">
      <c r="A3" s="29" t="s">
        <v>154</v>
      </c>
      <c r="B3" s="64"/>
      <c r="C3" s="65"/>
      <c r="D3" s="65"/>
      <c r="E3" s="65"/>
      <c r="F3" s="66"/>
      <c r="G3" s="66"/>
      <c r="H3" s="65">
        <f>ROUND(H2/30*1.75*6+H2/30*5,0)</f>
        <v>904634</v>
      </c>
      <c r="I3" s="66"/>
    </row>
    <row r="4" spans="1:9" x14ac:dyDescent="0.35">
      <c r="A4" s="29" t="s">
        <v>155</v>
      </c>
      <c r="B4" s="67"/>
      <c r="C4" s="178">
        <v>249095</v>
      </c>
      <c r="D4" s="178">
        <v>249095</v>
      </c>
      <c r="E4" s="178">
        <v>249095</v>
      </c>
      <c r="F4" s="178">
        <v>249095</v>
      </c>
      <c r="G4" s="178">
        <v>249095</v>
      </c>
      <c r="H4" s="178">
        <v>249095</v>
      </c>
      <c r="I4" s="178">
        <v>249095</v>
      </c>
    </row>
    <row r="5" spans="1:9" x14ac:dyDescent="0.35">
      <c r="A5" s="29" t="s">
        <v>156</v>
      </c>
      <c r="B5" s="67">
        <f>ROUND(SUM(B2:B4)*(8.33%),0)</f>
        <v>263145</v>
      </c>
      <c r="C5" s="65">
        <f t="shared" ref="C5:E5" si="0">ROUND(SUM(C2:C4)*(8.33%),0)</f>
        <v>187408</v>
      </c>
      <c r="D5" s="65">
        <f>ROUND(SUM(D2:D4)*(8.33%),0)</f>
        <v>166600</v>
      </c>
      <c r="E5" s="65">
        <f t="shared" si="0"/>
        <v>200565</v>
      </c>
      <c r="F5" s="65">
        <f>ROUND(SUM(F2:F4)*(8.33%),0)</f>
        <v>213722</v>
      </c>
      <c r="G5" s="65">
        <f>ROUND(SUM(G2:G4)*(8.33%),0)</f>
        <v>213722</v>
      </c>
      <c r="H5" s="65">
        <f>ROUND(SUM(H2:H4)*(8.33%),0)</f>
        <v>241956</v>
      </c>
      <c r="I5" s="65">
        <f>ROUND(SUM(I2:I4)*(8.33%),0)</f>
        <v>183260</v>
      </c>
    </row>
    <row r="6" spans="1:9" x14ac:dyDescent="0.35">
      <c r="A6" s="29" t="s">
        <v>157</v>
      </c>
      <c r="B6" s="67">
        <f>ROUND(SUM(B2:B4)*1%,0)</f>
        <v>31590</v>
      </c>
      <c r="C6" s="65">
        <f t="shared" ref="C6:E6" si="1">ROUND(SUM(C2:C4)*1%,0)</f>
        <v>22498</v>
      </c>
      <c r="D6" s="65">
        <f>ROUND(SUM(D2:D4)*1%,0)</f>
        <v>20000</v>
      </c>
      <c r="E6" s="65">
        <f t="shared" si="1"/>
        <v>24077</v>
      </c>
      <c r="F6" s="65">
        <f>ROUND(SUM(F2:F4)*1%,0)</f>
        <v>25657</v>
      </c>
      <c r="G6" s="65">
        <f>ROUND(SUM(G2:G4)*1%,0)</f>
        <v>25657</v>
      </c>
      <c r="H6" s="65">
        <f>ROUND(SUM(H2:H4)*1%,0)</f>
        <v>29046</v>
      </c>
      <c r="I6" s="65">
        <f>ROUND(SUM(I2:I4)*1%,0)</f>
        <v>22000</v>
      </c>
    </row>
    <row r="7" spans="1:9" x14ac:dyDescent="0.35">
      <c r="A7" s="29" t="s">
        <v>158</v>
      </c>
      <c r="B7" s="67">
        <f>ROUND(SUM(B2:B3)*(4.166667%),0)</f>
        <v>131625</v>
      </c>
      <c r="C7" s="65">
        <f t="shared" ref="C7:E7" si="2">ROUND(SUM(C2:C3)*(4.166667%),0)</f>
        <v>83363</v>
      </c>
      <c r="D7" s="65">
        <f>ROUND(SUM(D2:D3)*(4.166667%),0)</f>
        <v>72954</v>
      </c>
      <c r="E7" s="65">
        <f t="shared" si="2"/>
        <v>89944</v>
      </c>
      <c r="F7" s="65">
        <f>ROUND(SUM(F2:F3)*(4.166667%),0)</f>
        <v>96525</v>
      </c>
      <c r="G7" s="65">
        <f>ROUND(SUM(G2:G3)*(4.166667%),0)</f>
        <v>96525</v>
      </c>
      <c r="H7" s="65">
        <f>ROUND(SUM(H2:H3)*(4.166667%),0)</f>
        <v>110647</v>
      </c>
      <c r="I7" s="65">
        <f>ROUND(SUM(I2:I3)*(4.166667%),0)</f>
        <v>81288</v>
      </c>
    </row>
    <row r="8" spans="1:9" x14ac:dyDescent="0.35">
      <c r="A8" s="29" t="s">
        <v>159</v>
      </c>
      <c r="B8" s="67">
        <f>+B5</f>
        <v>263145</v>
      </c>
      <c r="C8" s="65">
        <f t="shared" ref="C8:E8" si="3">+C5</f>
        <v>187408</v>
      </c>
      <c r="D8" s="65">
        <f>+D5</f>
        <v>166600</v>
      </c>
      <c r="E8" s="65">
        <f t="shared" si="3"/>
        <v>200565</v>
      </c>
      <c r="F8" s="65">
        <f>+F5</f>
        <v>213722</v>
      </c>
      <c r="G8" s="65">
        <f>+G5</f>
        <v>213722</v>
      </c>
      <c r="H8" s="65">
        <f>+H5</f>
        <v>241956</v>
      </c>
      <c r="I8" s="65">
        <f>+I5</f>
        <v>183260</v>
      </c>
    </row>
    <row r="9" spans="1:9" x14ac:dyDescent="0.35">
      <c r="A9" s="29" t="s">
        <v>160</v>
      </c>
      <c r="B9" s="67">
        <f t="shared" ref="B9:G9" si="4">ROUND(SUM(B2:B3)*4%,0)</f>
        <v>126360</v>
      </c>
      <c r="C9" s="65">
        <f t="shared" si="4"/>
        <v>80028</v>
      </c>
      <c r="D9" s="65">
        <f t="shared" si="4"/>
        <v>70036</v>
      </c>
      <c r="E9" s="65">
        <f t="shared" si="4"/>
        <v>86346</v>
      </c>
      <c r="F9" s="65">
        <f t="shared" si="4"/>
        <v>92664</v>
      </c>
      <c r="G9" s="65">
        <f t="shared" si="4"/>
        <v>92664</v>
      </c>
      <c r="H9" s="65">
        <f>C9</f>
        <v>80028</v>
      </c>
      <c r="I9" s="65">
        <f>ROUND(SUM(I2:I3)*4%,0)</f>
        <v>78036</v>
      </c>
    </row>
    <row r="10" spans="1:9" x14ac:dyDescent="0.35">
      <c r="A10" s="29" t="s">
        <v>161</v>
      </c>
      <c r="B10" s="67">
        <f t="shared" ref="B10:G10" si="5">ROUND(SUM(B2:B3)*12%,0)</f>
        <v>379080</v>
      </c>
      <c r="C10" s="65">
        <f t="shared" si="5"/>
        <v>240084</v>
      </c>
      <c r="D10" s="65">
        <f t="shared" si="5"/>
        <v>210109</v>
      </c>
      <c r="E10" s="65">
        <f t="shared" si="5"/>
        <v>259038</v>
      </c>
      <c r="F10" s="65">
        <f t="shared" si="5"/>
        <v>277992</v>
      </c>
      <c r="G10" s="65">
        <f t="shared" si="5"/>
        <v>277992</v>
      </c>
      <c r="H10" s="65">
        <f>ROUND(SUM(C2)*12%,0)</f>
        <v>240084</v>
      </c>
      <c r="I10" s="65">
        <f>ROUND(SUM(I2:I3)*12%,0)</f>
        <v>234109</v>
      </c>
    </row>
    <row r="11" spans="1:9" x14ac:dyDescent="0.35">
      <c r="A11" s="29" t="s">
        <v>162</v>
      </c>
      <c r="B11" s="67">
        <f t="shared" ref="B11" si="6">ROUND(SUM(B2:B3)*6.96%,0)</f>
        <v>219866</v>
      </c>
      <c r="C11" s="65">
        <f t="shared" ref="C11:E11" si="7">ROUND(SUM(C2:C3)*6.96%,0)</f>
        <v>139249</v>
      </c>
      <c r="D11" s="65">
        <f>ROUND(SUM(D2:D3)*1.044%,0)</f>
        <v>18279</v>
      </c>
      <c r="E11" s="65">
        <f t="shared" si="7"/>
        <v>150242</v>
      </c>
      <c r="F11" s="65">
        <f t="shared" ref="F11:G11" si="8">ROUND(SUM(F2:F3)*6.96%,0)</f>
        <v>161235</v>
      </c>
      <c r="G11" s="65">
        <f t="shared" si="8"/>
        <v>161235</v>
      </c>
      <c r="H11" s="65">
        <f>ROUND(SUM(H2:H3)*6.96%,0)</f>
        <v>184826</v>
      </c>
      <c r="I11" s="65">
        <f>ROUND(SUM(I2:I3)*6.96%,0)</f>
        <v>135783</v>
      </c>
    </row>
    <row r="12" spans="1:9" ht="15" thickBot="1" x14ac:dyDescent="0.4">
      <c r="A12" s="43" t="s">
        <v>163</v>
      </c>
      <c r="B12" s="67">
        <v>30000</v>
      </c>
      <c r="C12" s="68">
        <v>30000</v>
      </c>
      <c r="D12" s="68">
        <v>30000</v>
      </c>
      <c r="E12" s="68">
        <v>30000</v>
      </c>
      <c r="F12" s="68">
        <v>30000</v>
      </c>
      <c r="G12" s="68">
        <v>30000</v>
      </c>
      <c r="H12" s="68">
        <v>30000</v>
      </c>
      <c r="I12" s="68">
        <v>30000</v>
      </c>
    </row>
    <row r="13" spans="1:9" ht="15" thickBot="1" x14ac:dyDescent="0.4">
      <c r="A13" s="45" t="s">
        <v>150</v>
      </c>
      <c r="B13" s="69">
        <f>SUM(B2:B12)</f>
        <v>4603811</v>
      </c>
      <c r="C13" s="69">
        <f>SUM(C2:C12)</f>
        <v>3219833</v>
      </c>
      <c r="D13" s="69">
        <f t="shared" ref="D13:E13" si="9">SUM(D2:D12)</f>
        <v>2754578</v>
      </c>
      <c r="E13" s="69">
        <f t="shared" si="9"/>
        <v>3448522</v>
      </c>
      <c r="F13" s="70">
        <f t="shared" ref="F13:G13" si="10">SUM(F2:F12)</f>
        <v>3677212</v>
      </c>
      <c r="G13" s="70">
        <f t="shared" si="10"/>
        <v>3677212</v>
      </c>
      <c r="H13" s="69">
        <f>SUM(H2:H12)</f>
        <v>4063177</v>
      </c>
      <c r="I13" s="70">
        <f>SUM(I2:I12)</f>
        <v>3147736</v>
      </c>
    </row>
    <row r="14" spans="1:9" ht="15" thickBot="1" x14ac:dyDescent="0.4">
      <c r="A14" s="47" t="s">
        <v>200</v>
      </c>
      <c r="B14" s="48">
        <f>PRESUPUESTO!$D$5</f>
        <v>1</v>
      </c>
      <c r="C14" s="48">
        <f>PRESUPUESTO!D6</f>
        <v>4</v>
      </c>
      <c r="D14" s="48">
        <f>PRESUPUESTO!D7</f>
        <v>2</v>
      </c>
      <c r="E14" s="48">
        <f>PRESUPUESTO!D8</f>
        <v>4</v>
      </c>
      <c r="F14" s="48">
        <f>PRESUPUESTO!E14</f>
        <v>1</v>
      </c>
      <c r="G14" s="48">
        <v>1</v>
      </c>
      <c r="H14" s="48">
        <f>PRESUPUESTO!D12</f>
        <v>2</v>
      </c>
      <c r="I14" s="48">
        <f>PRESUPUESTO!D14</f>
        <v>2</v>
      </c>
    </row>
    <row r="15" spans="1:9" ht="15" thickBot="1" x14ac:dyDescent="0.4">
      <c r="A15" s="46" t="s">
        <v>202</v>
      </c>
      <c r="B15" s="71">
        <f>B13*B14</f>
        <v>4603811</v>
      </c>
      <c r="C15" s="71">
        <f>C13*C14</f>
        <v>12879332</v>
      </c>
      <c r="D15" s="71">
        <f t="shared" ref="D15:E15" si="11">D13*D14</f>
        <v>5509156</v>
      </c>
      <c r="E15" s="71">
        <f t="shared" si="11"/>
        <v>13794088</v>
      </c>
      <c r="F15" s="72">
        <f t="shared" ref="F15:G15" si="12">F13*F14</f>
        <v>3677212</v>
      </c>
      <c r="G15" s="72">
        <f t="shared" si="12"/>
        <v>3677212</v>
      </c>
      <c r="H15" s="71">
        <f>H13*H14</f>
        <v>8126354</v>
      </c>
      <c r="I15" s="72">
        <f>I13*I14</f>
        <v>6295472</v>
      </c>
    </row>
    <row r="16" spans="1:9" x14ac:dyDescent="0.35">
      <c r="A16" s="44"/>
      <c r="B16" s="73"/>
      <c r="C16" s="74"/>
      <c r="D16" s="74"/>
      <c r="E16" s="74"/>
      <c r="F16" s="74"/>
      <c r="G16" s="74"/>
      <c r="H16" s="74"/>
      <c r="I16" s="74"/>
    </row>
    <row r="17" spans="1:12" s="31" customFormat="1" x14ac:dyDescent="0.35">
      <c r="A17" s="30" t="s">
        <v>164</v>
      </c>
      <c r="B17" s="75"/>
      <c r="C17" s="76"/>
      <c r="D17" s="76"/>
      <c r="E17" s="76"/>
      <c r="F17" s="77"/>
      <c r="G17" s="77"/>
      <c r="H17" s="76">
        <f>+'INSUMOS PISCINA'!I13</f>
        <v>18093757</v>
      </c>
      <c r="I17" s="77"/>
    </row>
    <row r="18" spans="1:12" s="31" customFormat="1" x14ac:dyDescent="0.35">
      <c r="A18" s="32" t="s">
        <v>165</v>
      </c>
      <c r="B18" s="75"/>
      <c r="C18" s="76"/>
      <c r="D18" s="76">
        <f>+'INSUMOS DE ASEO Y CAFETERIA'!H45</f>
        <v>4446527</v>
      </c>
      <c r="E18" s="76"/>
      <c r="F18" s="77"/>
      <c r="G18" s="77"/>
      <c r="H18" s="76"/>
      <c r="I18" s="77"/>
    </row>
    <row r="19" spans="1:12" s="31" customFormat="1" x14ac:dyDescent="0.35">
      <c r="A19" s="32" t="s">
        <v>166</v>
      </c>
      <c r="B19" s="75"/>
      <c r="C19" s="76"/>
      <c r="D19" s="76"/>
      <c r="E19" s="76"/>
      <c r="F19" s="77"/>
      <c r="G19" s="77"/>
      <c r="H19" s="76"/>
      <c r="I19" s="77">
        <f>+'MTO GRAMA'!E9</f>
        <v>20318426</v>
      </c>
    </row>
    <row r="20" spans="1:12" x14ac:dyDescent="0.35">
      <c r="A20" s="27" t="s">
        <v>183</v>
      </c>
      <c r="B20" s="78">
        <v>800000</v>
      </c>
      <c r="C20" s="65"/>
      <c r="D20" s="65"/>
      <c r="E20" s="65"/>
      <c r="F20" s="66"/>
      <c r="G20" s="66"/>
      <c r="H20" s="65"/>
      <c r="I20" s="66"/>
    </row>
    <row r="21" spans="1:12" ht="15.5" x14ac:dyDescent="0.35">
      <c r="A21" s="27" t="s">
        <v>198</v>
      </c>
      <c r="B21" s="73"/>
      <c r="C21" s="79">
        <v>60000</v>
      </c>
      <c r="D21" s="79">
        <v>60000</v>
      </c>
      <c r="E21" s="79">
        <v>60000</v>
      </c>
      <c r="F21" s="79">
        <v>60000</v>
      </c>
      <c r="G21" s="79">
        <v>60000</v>
      </c>
      <c r="H21" s="79">
        <v>60000</v>
      </c>
      <c r="I21" s="79">
        <v>60000</v>
      </c>
    </row>
    <row r="22" spans="1:12" x14ac:dyDescent="0.35">
      <c r="A22" s="28" t="s">
        <v>167</v>
      </c>
      <c r="B22" s="80">
        <f>SUM(B15:B21)</f>
        <v>5403811</v>
      </c>
      <c r="C22" s="80">
        <f>SUM(C15:C21)</f>
        <v>12939332</v>
      </c>
      <c r="D22" s="80">
        <f>SUM(D15:D21)</f>
        <v>10015683</v>
      </c>
      <c r="E22" s="80">
        <f t="shared" ref="E22" si="13">SUM(E15:E21)</f>
        <v>13854088</v>
      </c>
      <c r="F22" s="80">
        <f t="shared" ref="F22:G22" si="14">SUM(F15:F21)</f>
        <v>3737212</v>
      </c>
      <c r="G22" s="80">
        <f t="shared" si="14"/>
        <v>3737212</v>
      </c>
      <c r="H22" s="80">
        <f>SUM(H15:H21)</f>
        <v>26280111</v>
      </c>
      <c r="I22" s="80">
        <f>SUM(I15:I21)</f>
        <v>26673898</v>
      </c>
      <c r="J22" s="65">
        <f>SUM(C22:G22)</f>
        <v>44283527</v>
      </c>
      <c r="K22" s="3">
        <v>11</v>
      </c>
      <c r="L22" s="49">
        <f>J22*K22</f>
        <v>487118797</v>
      </c>
    </row>
    <row r="23" spans="1:12" x14ac:dyDescent="0.35">
      <c r="C23" s="4"/>
    </row>
    <row r="24" spans="1:12" x14ac:dyDescent="0.35">
      <c r="L24" s="179">
        <f>J22*K22</f>
        <v>487118797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C3C1-DE5C-4158-990F-1C9C955BDDEA}">
  <dimension ref="A1:H47"/>
  <sheetViews>
    <sheetView view="pageBreakPreview" topLeftCell="A39" zoomScaleNormal="100" zoomScaleSheetLayoutView="100" workbookViewId="0">
      <selection activeCell="B3" sqref="B3:G19"/>
    </sheetView>
  </sheetViews>
  <sheetFormatPr baseColWidth="10" defaultColWidth="11" defaultRowHeight="15.5" x14ac:dyDescent="0.35"/>
  <cols>
    <col min="1" max="1" width="5.1640625" style="1" customWidth="1"/>
    <col min="2" max="2" width="19.5" style="1" customWidth="1"/>
    <col min="3" max="3" width="32.4140625" style="1" customWidth="1"/>
    <col min="4" max="4" width="13.9140625" style="1" customWidth="1"/>
    <col min="5" max="5" width="11" style="2"/>
    <col min="6" max="6" width="13.5" style="2" customWidth="1"/>
    <col min="7" max="7" width="11" style="1"/>
    <col min="8" max="8" width="12.9140625" style="1" bestFit="1" customWidth="1"/>
    <col min="9" max="16384" width="11" style="1"/>
  </cols>
  <sheetData>
    <row r="1" spans="1:8" x14ac:dyDescent="0.35">
      <c r="A1" s="228" t="s">
        <v>127</v>
      </c>
      <c r="B1" s="228"/>
      <c r="C1" s="228"/>
      <c r="D1" s="228"/>
      <c r="E1" s="228"/>
      <c r="F1" s="228"/>
      <c r="G1" s="228"/>
      <c r="H1" s="228"/>
    </row>
    <row r="2" spans="1:8" ht="30" x14ac:dyDescent="0.35">
      <c r="A2" s="52" t="s">
        <v>2</v>
      </c>
      <c r="B2" s="52" t="s">
        <v>4</v>
      </c>
      <c r="C2" s="52" t="s">
        <v>3</v>
      </c>
      <c r="D2" s="52" t="s">
        <v>7</v>
      </c>
      <c r="E2" s="52" t="s">
        <v>137</v>
      </c>
      <c r="F2" s="52" t="s">
        <v>110</v>
      </c>
      <c r="G2" s="52" t="s">
        <v>86</v>
      </c>
      <c r="H2" s="52" t="s">
        <v>87</v>
      </c>
    </row>
    <row r="3" spans="1:8" ht="68.25" customHeight="1" x14ac:dyDescent="0.35">
      <c r="A3" s="53">
        <v>1</v>
      </c>
      <c r="B3" s="53" t="s">
        <v>5</v>
      </c>
      <c r="C3" s="54" t="s">
        <v>8</v>
      </c>
      <c r="D3" s="53" t="s">
        <v>6</v>
      </c>
      <c r="E3" s="53">
        <v>35</v>
      </c>
      <c r="F3" s="53" t="s">
        <v>111</v>
      </c>
      <c r="G3" s="57">
        <v>11975</v>
      </c>
      <c r="H3" s="57">
        <f t="shared" ref="H3:H44" si="0">+G3*E3</f>
        <v>419125</v>
      </c>
    </row>
    <row r="4" spans="1:8" ht="60" x14ac:dyDescent="0.35">
      <c r="A4" s="53">
        <v>2</v>
      </c>
      <c r="B4" s="53" t="s">
        <v>5</v>
      </c>
      <c r="C4" s="54" t="s">
        <v>9</v>
      </c>
      <c r="D4" s="53" t="s">
        <v>6</v>
      </c>
      <c r="E4" s="53">
        <v>25</v>
      </c>
      <c r="F4" s="53" t="s">
        <v>111</v>
      </c>
      <c r="G4" s="57">
        <v>2603</v>
      </c>
      <c r="H4" s="57">
        <f t="shared" si="0"/>
        <v>65075</v>
      </c>
    </row>
    <row r="5" spans="1:8" ht="50" x14ac:dyDescent="0.35">
      <c r="A5" s="53">
        <v>3</v>
      </c>
      <c r="B5" s="53" t="s">
        <v>90</v>
      </c>
      <c r="C5" s="54" t="s">
        <v>91</v>
      </c>
      <c r="D5" s="53" t="s">
        <v>1</v>
      </c>
      <c r="E5" s="53">
        <v>4</v>
      </c>
      <c r="F5" s="53" t="s">
        <v>111</v>
      </c>
      <c r="G5" s="57">
        <v>10041</v>
      </c>
      <c r="H5" s="57">
        <f t="shared" si="0"/>
        <v>40164</v>
      </c>
    </row>
    <row r="6" spans="1:8" ht="84" customHeight="1" x14ac:dyDescent="0.35">
      <c r="A6" s="53">
        <v>4</v>
      </c>
      <c r="B6" s="53" t="s">
        <v>10</v>
      </c>
      <c r="C6" s="54" t="s">
        <v>12</v>
      </c>
      <c r="D6" s="53" t="s">
        <v>11</v>
      </c>
      <c r="E6" s="53">
        <v>30</v>
      </c>
      <c r="F6" s="53" t="s">
        <v>111</v>
      </c>
      <c r="G6" s="57">
        <v>7100</v>
      </c>
      <c r="H6" s="57">
        <f t="shared" si="0"/>
        <v>213000</v>
      </c>
    </row>
    <row r="7" spans="1:8" ht="60" x14ac:dyDescent="0.35">
      <c r="A7" s="53">
        <v>5</v>
      </c>
      <c r="B7" s="53" t="s">
        <v>13</v>
      </c>
      <c r="C7" s="54" t="s">
        <v>15</v>
      </c>
      <c r="D7" s="53" t="s">
        <v>14</v>
      </c>
      <c r="E7" s="53">
        <v>6</v>
      </c>
      <c r="F7" s="53" t="s">
        <v>111</v>
      </c>
      <c r="G7" s="57">
        <v>16185</v>
      </c>
      <c r="H7" s="57">
        <f t="shared" si="0"/>
        <v>97110</v>
      </c>
    </row>
    <row r="8" spans="1:8" ht="40" x14ac:dyDescent="0.35">
      <c r="A8" s="53">
        <v>6</v>
      </c>
      <c r="B8" s="53" t="s">
        <v>22</v>
      </c>
      <c r="C8" s="54" t="s">
        <v>16</v>
      </c>
      <c r="D8" s="53" t="s">
        <v>17</v>
      </c>
      <c r="E8" s="53">
        <v>25</v>
      </c>
      <c r="F8" s="53" t="s">
        <v>111</v>
      </c>
      <c r="G8" s="57">
        <v>11874</v>
      </c>
      <c r="H8" s="57">
        <f t="shared" si="0"/>
        <v>296850</v>
      </c>
    </row>
    <row r="9" spans="1:8" ht="108.75" customHeight="1" x14ac:dyDescent="0.35">
      <c r="A9" s="53">
        <v>7</v>
      </c>
      <c r="B9" s="53" t="s">
        <v>18</v>
      </c>
      <c r="C9" s="54" t="s">
        <v>20</v>
      </c>
      <c r="D9" s="53" t="s">
        <v>19</v>
      </c>
      <c r="E9" s="53">
        <v>28</v>
      </c>
      <c r="F9" s="53" t="s">
        <v>111</v>
      </c>
      <c r="G9" s="57">
        <v>7555</v>
      </c>
      <c r="H9" s="57">
        <f t="shared" si="0"/>
        <v>211540</v>
      </c>
    </row>
    <row r="10" spans="1:8" ht="30" x14ac:dyDescent="0.35">
      <c r="A10" s="53">
        <v>8</v>
      </c>
      <c r="B10" s="53" t="s">
        <v>98</v>
      </c>
      <c r="C10" s="54" t="s">
        <v>99</v>
      </c>
      <c r="D10" s="53" t="s">
        <v>100</v>
      </c>
      <c r="E10" s="53">
        <v>6</v>
      </c>
      <c r="F10" s="53" t="s">
        <v>111</v>
      </c>
      <c r="G10" s="57">
        <v>12994</v>
      </c>
      <c r="H10" s="57">
        <f t="shared" si="0"/>
        <v>77964</v>
      </c>
    </row>
    <row r="11" spans="1:8" ht="116.25" customHeight="1" x14ac:dyDescent="0.35">
      <c r="A11" s="53">
        <v>9</v>
      </c>
      <c r="B11" s="53" t="s">
        <v>95</v>
      </c>
      <c r="C11" s="54" t="s">
        <v>96</v>
      </c>
      <c r="D11" s="53" t="s">
        <v>97</v>
      </c>
      <c r="E11" s="53">
        <v>4</v>
      </c>
      <c r="F11" s="53" t="s">
        <v>111</v>
      </c>
      <c r="G11" s="57">
        <v>10906</v>
      </c>
      <c r="H11" s="57">
        <f t="shared" si="0"/>
        <v>43624</v>
      </c>
    </row>
    <row r="12" spans="1:8" ht="40" x14ac:dyDescent="0.35">
      <c r="A12" s="53">
        <v>10</v>
      </c>
      <c r="B12" s="53" t="s">
        <v>21</v>
      </c>
      <c r="C12" s="54" t="s">
        <v>24</v>
      </c>
      <c r="D12" s="53" t="s">
        <v>23</v>
      </c>
      <c r="E12" s="53">
        <v>15</v>
      </c>
      <c r="F12" s="53" t="s">
        <v>111</v>
      </c>
      <c r="G12" s="57">
        <v>13987</v>
      </c>
      <c r="H12" s="57">
        <f t="shared" si="0"/>
        <v>209805</v>
      </c>
    </row>
    <row r="13" spans="1:8" ht="50" x14ac:dyDescent="0.35">
      <c r="A13" s="53">
        <v>11</v>
      </c>
      <c r="B13" s="53" t="s">
        <v>25</v>
      </c>
      <c r="C13" s="54" t="s">
        <v>26</v>
      </c>
      <c r="D13" s="53" t="s">
        <v>27</v>
      </c>
      <c r="E13" s="53">
        <v>4</v>
      </c>
      <c r="F13" s="53" t="s">
        <v>111</v>
      </c>
      <c r="G13" s="57">
        <v>13987</v>
      </c>
      <c r="H13" s="57">
        <f t="shared" si="0"/>
        <v>55948</v>
      </c>
    </row>
    <row r="14" spans="1:8" ht="60" x14ac:dyDescent="0.35">
      <c r="A14" s="53">
        <v>12</v>
      </c>
      <c r="B14" s="53" t="s">
        <v>28</v>
      </c>
      <c r="C14" s="54" t="s">
        <v>29</v>
      </c>
      <c r="D14" s="53" t="s">
        <v>1</v>
      </c>
      <c r="E14" s="53">
        <v>2</v>
      </c>
      <c r="F14" s="53" t="s">
        <v>111</v>
      </c>
      <c r="G14" s="57">
        <v>8297</v>
      </c>
      <c r="H14" s="57">
        <f t="shared" si="0"/>
        <v>16594</v>
      </c>
    </row>
    <row r="15" spans="1:8" ht="60" x14ac:dyDescent="0.35">
      <c r="A15" s="53">
        <v>13</v>
      </c>
      <c r="B15" s="53" t="s">
        <v>30</v>
      </c>
      <c r="C15" s="54" t="s">
        <v>31</v>
      </c>
      <c r="D15" s="53" t="s">
        <v>1</v>
      </c>
      <c r="E15" s="53">
        <v>6</v>
      </c>
      <c r="F15" s="53" t="s">
        <v>111</v>
      </c>
      <c r="G15" s="57">
        <v>8970</v>
      </c>
      <c r="H15" s="57">
        <f t="shared" si="0"/>
        <v>53820</v>
      </c>
    </row>
    <row r="16" spans="1:8" ht="40" x14ac:dyDescent="0.35">
      <c r="A16" s="53">
        <v>14</v>
      </c>
      <c r="B16" s="53" t="s">
        <v>104</v>
      </c>
      <c r="C16" s="54" t="s">
        <v>105</v>
      </c>
      <c r="D16" s="53" t="s">
        <v>1</v>
      </c>
      <c r="E16" s="53">
        <v>2</v>
      </c>
      <c r="F16" s="53" t="s">
        <v>111</v>
      </c>
      <c r="G16" s="57">
        <v>5660</v>
      </c>
      <c r="H16" s="57">
        <f t="shared" si="0"/>
        <v>11320</v>
      </c>
    </row>
    <row r="17" spans="1:8" ht="40" x14ac:dyDescent="0.35">
      <c r="A17" s="53">
        <v>15</v>
      </c>
      <c r="B17" s="53" t="s">
        <v>116</v>
      </c>
      <c r="C17" s="54" t="s">
        <v>32</v>
      </c>
      <c r="D17" s="53" t="s">
        <v>1</v>
      </c>
      <c r="E17" s="53">
        <v>4</v>
      </c>
      <c r="F17" s="53" t="s">
        <v>111</v>
      </c>
      <c r="G17" s="57">
        <v>12784</v>
      </c>
      <c r="H17" s="57">
        <f t="shared" si="0"/>
        <v>51136</v>
      </c>
    </row>
    <row r="18" spans="1:8" ht="70" x14ac:dyDescent="0.35">
      <c r="A18" s="53">
        <v>16</v>
      </c>
      <c r="B18" s="53" t="s">
        <v>33</v>
      </c>
      <c r="C18" s="54" t="s">
        <v>34</v>
      </c>
      <c r="D18" s="53" t="s">
        <v>1</v>
      </c>
      <c r="E18" s="53">
        <v>8</v>
      </c>
      <c r="F18" s="53" t="s">
        <v>111</v>
      </c>
      <c r="G18" s="57">
        <v>1150</v>
      </c>
      <c r="H18" s="57">
        <f t="shared" si="0"/>
        <v>9200</v>
      </c>
    </row>
    <row r="19" spans="1:8" ht="50" x14ac:dyDescent="0.35">
      <c r="A19" s="53">
        <v>17</v>
      </c>
      <c r="B19" s="53" t="s">
        <v>35</v>
      </c>
      <c r="C19" s="54" t="s">
        <v>37</v>
      </c>
      <c r="D19" s="53" t="s">
        <v>36</v>
      </c>
      <c r="E19" s="53">
        <v>5</v>
      </c>
      <c r="F19" s="53" t="s">
        <v>111</v>
      </c>
      <c r="G19" s="57">
        <v>5403</v>
      </c>
      <c r="H19" s="57">
        <f t="shared" si="0"/>
        <v>27015</v>
      </c>
    </row>
    <row r="20" spans="1:8" ht="160" x14ac:dyDescent="0.35">
      <c r="A20" s="53">
        <v>18</v>
      </c>
      <c r="B20" s="53" t="s">
        <v>38</v>
      </c>
      <c r="C20" s="54" t="s">
        <v>39</v>
      </c>
      <c r="D20" s="53" t="s">
        <v>89</v>
      </c>
      <c r="E20" s="53">
        <v>30</v>
      </c>
      <c r="F20" s="53" t="s">
        <v>111</v>
      </c>
      <c r="G20" s="57">
        <v>4100</v>
      </c>
      <c r="H20" s="57">
        <f t="shared" si="0"/>
        <v>123000</v>
      </c>
    </row>
    <row r="21" spans="1:8" ht="50" x14ac:dyDescent="0.35">
      <c r="A21" s="53">
        <v>19</v>
      </c>
      <c r="B21" s="53" t="s">
        <v>40</v>
      </c>
      <c r="C21" s="54" t="s">
        <v>41</v>
      </c>
      <c r="D21" s="53" t="s">
        <v>1</v>
      </c>
      <c r="E21" s="53">
        <v>4</v>
      </c>
      <c r="F21" s="53" t="s">
        <v>111</v>
      </c>
      <c r="G21" s="57">
        <v>17258</v>
      </c>
      <c r="H21" s="57">
        <f t="shared" si="0"/>
        <v>69032</v>
      </c>
    </row>
    <row r="22" spans="1:8" ht="27.75" customHeight="1" x14ac:dyDescent="0.35">
      <c r="A22" s="53">
        <v>20</v>
      </c>
      <c r="B22" s="53" t="s">
        <v>114</v>
      </c>
      <c r="C22" s="54" t="s">
        <v>115</v>
      </c>
      <c r="D22" s="53" t="s">
        <v>1</v>
      </c>
      <c r="E22" s="53">
        <v>2</v>
      </c>
      <c r="F22" s="53" t="s">
        <v>111</v>
      </c>
      <c r="G22" s="57">
        <v>18468</v>
      </c>
      <c r="H22" s="57">
        <f t="shared" si="0"/>
        <v>36936</v>
      </c>
    </row>
    <row r="23" spans="1:8" ht="20" x14ac:dyDescent="0.35">
      <c r="A23" s="53">
        <v>21</v>
      </c>
      <c r="B23" s="53" t="s">
        <v>42</v>
      </c>
      <c r="C23" s="54" t="s">
        <v>43</v>
      </c>
      <c r="D23" s="53" t="s">
        <v>1</v>
      </c>
      <c r="E23" s="53">
        <v>3</v>
      </c>
      <c r="F23" s="53" t="s">
        <v>136</v>
      </c>
      <c r="G23" s="57">
        <v>36973</v>
      </c>
      <c r="H23" s="57">
        <f>ROUND(+G23*E23/$D$47,0)</f>
        <v>15846</v>
      </c>
    </row>
    <row r="24" spans="1:8" ht="45.75" customHeight="1" x14ac:dyDescent="0.35">
      <c r="A24" s="53">
        <v>22</v>
      </c>
      <c r="B24" s="53" t="s">
        <v>44</v>
      </c>
      <c r="C24" s="54" t="s">
        <v>45</v>
      </c>
      <c r="D24" s="53" t="s">
        <v>1</v>
      </c>
      <c r="E24" s="53">
        <v>1</v>
      </c>
      <c r="F24" s="53" t="s">
        <v>111</v>
      </c>
      <c r="G24" s="57">
        <v>8793</v>
      </c>
      <c r="H24" s="57">
        <f t="shared" si="0"/>
        <v>8793</v>
      </c>
    </row>
    <row r="25" spans="1:8" ht="40" x14ac:dyDescent="0.35">
      <c r="A25" s="53">
        <v>23</v>
      </c>
      <c r="B25" s="53" t="s">
        <v>84</v>
      </c>
      <c r="C25" s="54" t="s">
        <v>85</v>
      </c>
      <c r="D25" s="53" t="s">
        <v>1</v>
      </c>
      <c r="E25" s="53">
        <v>6</v>
      </c>
      <c r="F25" s="53" t="s">
        <v>111</v>
      </c>
      <c r="G25" s="57">
        <v>39298</v>
      </c>
      <c r="H25" s="57">
        <f t="shared" si="0"/>
        <v>235788</v>
      </c>
    </row>
    <row r="26" spans="1:8" ht="110" x14ac:dyDescent="0.35">
      <c r="A26" s="53">
        <v>24</v>
      </c>
      <c r="B26" s="53" t="s">
        <v>83</v>
      </c>
      <c r="C26" s="54" t="s">
        <v>82</v>
      </c>
      <c r="D26" s="53" t="s">
        <v>11</v>
      </c>
      <c r="E26" s="53">
        <v>8</v>
      </c>
      <c r="F26" s="53" t="s">
        <v>111</v>
      </c>
      <c r="G26" s="57">
        <v>10442</v>
      </c>
      <c r="H26" s="57">
        <f t="shared" si="0"/>
        <v>83536</v>
      </c>
    </row>
    <row r="27" spans="1:8" ht="110" x14ac:dyDescent="0.35">
      <c r="A27" s="53">
        <v>25</v>
      </c>
      <c r="B27" s="53" t="s">
        <v>92</v>
      </c>
      <c r="C27" s="54" t="s">
        <v>94</v>
      </c>
      <c r="D27" s="53" t="s">
        <v>93</v>
      </c>
      <c r="E27" s="53">
        <v>8</v>
      </c>
      <c r="F27" s="53" t="s">
        <v>111</v>
      </c>
      <c r="G27" s="57">
        <v>24570</v>
      </c>
      <c r="H27" s="57">
        <f t="shared" si="0"/>
        <v>196560</v>
      </c>
    </row>
    <row r="28" spans="1:8" ht="50" x14ac:dyDescent="0.35">
      <c r="A28" s="53">
        <v>26</v>
      </c>
      <c r="B28" s="53" t="s">
        <v>80</v>
      </c>
      <c r="C28" s="54" t="s">
        <v>81</v>
      </c>
      <c r="D28" s="53" t="s">
        <v>1</v>
      </c>
      <c r="E28" s="53">
        <v>1</v>
      </c>
      <c r="F28" s="53" t="s">
        <v>111</v>
      </c>
      <c r="G28" s="57">
        <v>11570</v>
      </c>
      <c r="H28" s="57">
        <f t="shared" si="0"/>
        <v>11570</v>
      </c>
    </row>
    <row r="29" spans="1:8" ht="50" x14ac:dyDescent="0.35">
      <c r="A29" s="53">
        <v>27</v>
      </c>
      <c r="B29" s="53" t="s">
        <v>77</v>
      </c>
      <c r="C29" s="54" t="s">
        <v>78</v>
      </c>
      <c r="D29" s="53" t="s">
        <v>79</v>
      </c>
      <c r="E29" s="53">
        <v>12</v>
      </c>
      <c r="F29" s="53" t="s">
        <v>111</v>
      </c>
      <c r="G29" s="57">
        <v>9594</v>
      </c>
      <c r="H29" s="57">
        <f t="shared" si="0"/>
        <v>115128</v>
      </c>
    </row>
    <row r="30" spans="1:8" ht="30" x14ac:dyDescent="0.35">
      <c r="A30" s="53">
        <v>28</v>
      </c>
      <c r="B30" s="53" t="s">
        <v>75</v>
      </c>
      <c r="C30" s="54" t="s">
        <v>76</v>
      </c>
      <c r="D30" s="53" t="s">
        <v>74</v>
      </c>
      <c r="E30" s="53">
        <v>40</v>
      </c>
      <c r="F30" s="53" t="s">
        <v>111</v>
      </c>
      <c r="G30" s="57">
        <v>4550</v>
      </c>
      <c r="H30" s="57">
        <f t="shared" si="0"/>
        <v>182000</v>
      </c>
    </row>
    <row r="31" spans="1:8" ht="120" x14ac:dyDescent="0.35">
      <c r="A31" s="53">
        <v>29</v>
      </c>
      <c r="B31" s="53" t="s">
        <v>71</v>
      </c>
      <c r="C31" s="54" t="s">
        <v>72</v>
      </c>
      <c r="D31" s="53" t="s">
        <v>73</v>
      </c>
      <c r="E31" s="53">
        <v>20</v>
      </c>
      <c r="F31" s="53" t="s">
        <v>111</v>
      </c>
      <c r="G31" s="57">
        <v>8190</v>
      </c>
      <c r="H31" s="57">
        <f t="shared" si="0"/>
        <v>163800</v>
      </c>
    </row>
    <row r="32" spans="1:8" ht="130" x14ac:dyDescent="0.35">
      <c r="A32" s="53">
        <v>30</v>
      </c>
      <c r="B32" s="53" t="s">
        <v>69</v>
      </c>
      <c r="C32" s="54" t="s">
        <v>70</v>
      </c>
      <c r="D32" s="53" t="s">
        <v>88</v>
      </c>
      <c r="E32" s="53">
        <v>25</v>
      </c>
      <c r="F32" s="53" t="s">
        <v>111</v>
      </c>
      <c r="G32" s="57">
        <v>8691</v>
      </c>
      <c r="H32" s="57">
        <f t="shared" si="0"/>
        <v>217275</v>
      </c>
    </row>
    <row r="33" spans="1:8" ht="90" x14ac:dyDescent="0.35">
      <c r="A33" s="53">
        <v>31</v>
      </c>
      <c r="B33" s="53" t="s">
        <v>67</v>
      </c>
      <c r="C33" s="54" t="s">
        <v>68</v>
      </c>
      <c r="D33" s="53" t="s">
        <v>113</v>
      </c>
      <c r="E33" s="53">
        <v>5</v>
      </c>
      <c r="F33" s="53" t="s">
        <v>111</v>
      </c>
      <c r="G33" s="57">
        <v>16500</v>
      </c>
      <c r="H33" s="57">
        <f t="shared" si="0"/>
        <v>82500</v>
      </c>
    </row>
    <row r="34" spans="1:8" ht="90" x14ac:dyDescent="0.35">
      <c r="A34" s="53">
        <v>32</v>
      </c>
      <c r="B34" s="53" t="s">
        <v>65</v>
      </c>
      <c r="C34" s="54" t="s">
        <v>66</v>
      </c>
      <c r="D34" s="53" t="s">
        <v>113</v>
      </c>
      <c r="E34" s="53">
        <v>5</v>
      </c>
      <c r="F34" s="53" t="s">
        <v>111</v>
      </c>
      <c r="G34" s="57">
        <v>13500</v>
      </c>
      <c r="H34" s="57">
        <f t="shared" si="0"/>
        <v>67500</v>
      </c>
    </row>
    <row r="35" spans="1:8" ht="30" x14ac:dyDescent="0.35">
      <c r="A35" s="53">
        <v>33</v>
      </c>
      <c r="B35" s="53" t="s">
        <v>101</v>
      </c>
      <c r="C35" s="54" t="s">
        <v>102</v>
      </c>
      <c r="D35" s="53" t="s">
        <v>103</v>
      </c>
      <c r="E35" s="53">
        <v>50</v>
      </c>
      <c r="F35" s="53" t="s">
        <v>111</v>
      </c>
      <c r="G35" s="57">
        <v>3712</v>
      </c>
      <c r="H35" s="57">
        <f t="shared" si="0"/>
        <v>185600</v>
      </c>
    </row>
    <row r="36" spans="1:8" ht="110" x14ac:dyDescent="0.35">
      <c r="A36" s="53">
        <v>34</v>
      </c>
      <c r="B36" s="53" t="s">
        <v>62</v>
      </c>
      <c r="C36" s="54" t="s">
        <v>63</v>
      </c>
      <c r="D36" s="53" t="s">
        <v>64</v>
      </c>
      <c r="E36" s="53">
        <v>10</v>
      </c>
      <c r="F36" s="53" t="s">
        <v>111</v>
      </c>
      <c r="G36" s="57">
        <v>3441</v>
      </c>
      <c r="H36" s="57">
        <f t="shared" si="0"/>
        <v>34410</v>
      </c>
    </row>
    <row r="37" spans="1:8" ht="30" x14ac:dyDescent="0.35">
      <c r="A37" s="53">
        <v>35</v>
      </c>
      <c r="B37" s="53" t="s">
        <v>59</v>
      </c>
      <c r="C37" s="54" t="s">
        <v>60</v>
      </c>
      <c r="D37" s="53" t="s">
        <v>61</v>
      </c>
      <c r="E37" s="53">
        <v>10</v>
      </c>
      <c r="F37" s="53" t="s">
        <v>111</v>
      </c>
      <c r="G37" s="57">
        <v>8431</v>
      </c>
      <c r="H37" s="57">
        <f t="shared" si="0"/>
        <v>84310</v>
      </c>
    </row>
    <row r="38" spans="1:8" ht="30" x14ac:dyDescent="0.35">
      <c r="A38" s="53">
        <v>36</v>
      </c>
      <c r="B38" s="53" t="s">
        <v>56</v>
      </c>
      <c r="C38" s="54" t="s">
        <v>57</v>
      </c>
      <c r="D38" s="53" t="s">
        <v>58</v>
      </c>
      <c r="E38" s="53">
        <v>12</v>
      </c>
      <c r="F38" s="53" t="s">
        <v>111</v>
      </c>
      <c r="G38" s="57">
        <v>7812</v>
      </c>
      <c r="H38" s="57">
        <f t="shared" si="0"/>
        <v>93744</v>
      </c>
    </row>
    <row r="39" spans="1:8" ht="30" x14ac:dyDescent="0.35">
      <c r="A39" s="53">
        <v>37</v>
      </c>
      <c r="B39" s="53" t="s">
        <v>54</v>
      </c>
      <c r="C39" s="54" t="s">
        <v>55</v>
      </c>
      <c r="D39" s="53" t="s">
        <v>1</v>
      </c>
      <c r="E39" s="53">
        <v>20</v>
      </c>
      <c r="F39" s="53" t="s">
        <v>136</v>
      </c>
      <c r="G39" s="57">
        <v>4500</v>
      </c>
      <c r="H39" s="57">
        <f>ROUND(+G39*E39/$D$47,0)</f>
        <v>12857</v>
      </c>
    </row>
    <row r="40" spans="1:8" ht="40" x14ac:dyDescent="0.35">
      <c r="A40" s="53">
        <v>38</v>
      </c>
      <c r="B40" s="53" t="s">
        <v>51</v>
      </c>
      <c r="C40" s="54" t="s">
        <v>52</v>
      </c>
      <c r="D40" s="53" t="s">
        <v>53</v>
      </c>
      <c r="E40" s="53">
        <v>12</v>
      </c>
      <c r="F40" s="53" t="s">
        <v>111</v>
      </c>
      <c r="G40" s="57">
        <v>8621</v>
      </c>
      <c r="H40" s="57">
        <f t="shared" si="0"/>
        <v>103452</v>
      </c>
    </row>
    <row r="41" spans="1:8" ht="180.75" customHeight="1" x14ac:dyDescent="0.35">
      <c r="A41" s="53">
        <v>39</v>
      </c>
      <c r="B41" s="53" t="s">
        <v>48</v>
      </c>
      <c r="C41" s="54" t="s">
        <v>49</v>
      </c>
      <c r="D41" s="53" t="s">
        <v>50</v>
      </c>
      <c r="E41" s="53">
        <v>6</v>
      </c>
      <c r="F41" s="53" t="s">
        <v>111</v>
      </c>
      <c r="G41" s="57">
        <v>6940</v>
      </c>
      <c r="H41" s="57">
        <f t="shared" si="0"/>
        <v>41640</v>
      </c>
    </row>
    <row r="42" spans="1:8" ht="50" x14ac:dyDescent="0.35">
      <c r="A42" s="53">
        <v>40</v>
      </c>
      <c r="B42" s="53" t="s">
        <v>46</v>
      </c>
      <c r="C42" s="54" t="s">
        <v>47</v>
      </c>
      <c r="D42" s="53" t="s">
        <v>0</v>
      </c>
      <c r="E42" s="53">
        <v>30</v>
      </c>
      <c r="F42" s="53" t="s">
        <v>111</v>
      </c>
      <c r="G42" s="57">
        <v>10520</v>
      </c>
      <c r="H42" s="57">
        <f t="shared" si="0"/>
        <v>315600</v>
      </c>
    </row>
    <row r="43" spans="1:8" ht="70" x14ac:dyDescent="0.35">
      <c r="A43" s="53">
        <v>41</v>
      </c>
      <c r="B43" s="53" t="s">
        <v>106</v>
      </c>
      <c r="C43" s="54" t="s">
        <v>107</v>
      </c>
      <c r="D43" s="53" t="s">
        <v>1</v>
      </c>
      <c r="E43" s="53">
        <v>2</v>
      </c>
      <c r="F43" s="53" t="s">
        <v>111</v>
      </c>
      <c r="G43" s="57">
        <v>19900</v>
      </c>
      <c r="H43" s="57">
        <f t="shared" si="0"/>
        <v>39800</v>
      </c>
    </row>
    <row r="44" spans="1:8" ht="30" x14ac:dyDescent="0.35">
      <c r="A44" s="53">
        <v>42</v>
      </c>
      <c r="B44" s="53" t="s">
        <v>108</v>
      </c>
      <c r="C44" s="54" t="s">
        <v>109</v>
      </c>
      <c r="D44" s="53" t="s">
        <v>1</v>
      </c>
      <c r="E44" s="53">
        <v>1</v>
      </c>
      <c r="F44" s="53" t="s">
        <v>111</v>
      </c>
      <c r="G44" s="57">
        <v>26560</v>
      </c>
      <c r="H44" s="57">
        <f t="shared" si="0"/>
        <v>26560</v>
      </c>
    </row>
    <row r="45" spans="1:8" x14ac:dyDescent="0.35">
      <c r="G45" s="52" t="s">
        <v>202</v>
      </c>
      <c r="H45" s="63">
        <f>SUM(H3:H44)</f>
        <v>4446527</v>
      </c>
    </row>
    <row r="46" spans="1:8" ht="16" thickBot="1" x14ac:dyDescent="0.4"/>
    <row r="47" spans="1:8" ht="16" thickBot="1" x14ac:dyDescent="0.4">
      <c r="C47" s="192" t="s">
        <v>248</v>
      </c>
      <c r="D47" s="193">
        <f>PRESUPUESTO!$G$21</f>
        <v>7</v>
      </c>
    </row>
  </sheetData>
  <mergeCells count="1">
    <mergeCell ref="A1:H1"/>
  </mergeCells>
  <phoneticPr fontId="6" type="noConversion"/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7152E-7708-4249-9F2F-3F2C6B8C0B89}">
  <dimension ref="A1:I14"/>
  <sheetViews>
    <sheetView view="pageBreakPreview" zoomScale="115" zoomScaleNormal="100" zoomScaleSheetLayoutView="115" workbookViewId="0">
      <selection activeCell="H7" sqref="H7"/>
    </sheetView>
  </sheetViews>
  <sheetFormatPr baseColWidth="10" defaultRowHeight="15.5" x14ac:dyDescent="0.35"/>
  <cols>
    <col min="1" max="1" width="4.9140625" bestFit="1" customWidth="1"/>
    <col min="2" max="2" width="11.4140625" customWidth="1"/>
    <col min="3" max="3" width="23.58203125" customWidth="1"/>
    <col min="4" max="4" width="13.08203125" bestFit="1" customWidth="1"/>
    <col min="5" max="5" width="5.1640625" bestFit="1" customWidth="1"/>
    <col min="6" max="6" width="13.6640625" customWidth="1"/>
    <col min="7" max="7" width="11.1640625" bestFit="1" customWidth="1"/>
    <col min="8" max="8" width="16.5" bestFit="1" customWidth="1"/>
    <col min="9" max="9" width="13.5" customWidth="1"/>
  </cols>
  <sheetData>
    <row r="1" spans="1:9" s="1" customFormat="1" ht="15.75" customHeight="1" x14ac:dyDescent="0.35">
      <c r="A1" s="228" t="s">
        <v>117</v>
      </c>
      <c r="B1" s="228"/>
      <c r="C1" s="228"/>
      <c r="D1" s="228"/>
      <c r="E1" s="228"/>
      <c r="F1" s="228"/>
      <c r="G1" s="228"/>
      <c r="H1" s="228"/>
      <c r="I1" s="228"/>
    </row>
    <row r="2" spans="1:9" s="1" customFormat="1" ht="30" x14ac:dyDescent="0.35">
      <c r="A2" s="52" t="s">
        <v>2</v>
      </c>
      <c r="B2" s="52" t="s">
        <v>4</v>
      </c>
      <c r="C2" s="52" t="s">
        <v>3</v>
      </c>
      <c r="D2" s="52" t="s">
        <v>7</v>
      </c>
      <c r="E2" s="52" t="s">
        <v>209</v>
      </c>
      <c r="F2" s="52" t="s">
        <v>110</v>
      </c>
      <c r="G2" s="52" t="s">
        <v>86</v>
      </c>
      <c r="H2" s="52" t="s">
        <v>208</v>
      </c>
      <c r="I2" s="52" t="s">
        <v>87</v>
      </c>
    </row>
    <row r="3" spans="1:9" ht="20" x14ac:dyDescent="0.35">
      <c r="A3" s="53">
        <v>1</v>
      </c>
      <c r="B3" s="53" t="s">
        <v>135</v>
      </c>
      <c r="C3" s="54" t="s">
        <v>118</v>
      </c>
      <c r="D3" s="53" t="s">
        <v>1</v>
      </c>
      <c r="E3" s="53">
        <v>4</v>
      </c>
      <c r="F3" s="53" t="s">
        <v>136</v>
      </c>
      <c r="G3" s="57">
        <v>403708</v>
      </c>
      <c r="H3" s="57">
        <f>+G3*E3</f>
        <v>1614832</v>
      </c>
      <c r="I3" s="57">
        <f>ROUND(+H3/$D$14,0)</f>
        <v>230690</v>
      </c>
    </row>
    <row r="4" spans="1:9" ht="20" x14ac:dyDescent="0.35">
      <c r="A4" s="53">
        <v>2</v>
      </c>
      <c r="B4" s="53" t="s">
        <v>138</v>
      </c>
      <c r="C4" s="54" t="s">
        <v>119</v>
      </c>
      <c r="D4" s="53" t="s">
        <v>1</v>
      </c>
      <c r="E4" s="53">
        <v>4</v>
      </c>
      <c r="F4" s="53" t="s">
        <v>136</v>
      </c>
      <c r="G4" s="57">
        <v>402339</v>
      </c>
      <c r="H4" s="57">
        <f>+G4*E4</f>
        <v>1609356</v>
      </c>
      <c r="I4" s="57">
        <f>ROUND(+H4/$D$14,0)</f>
        <v>229908</v>
      </c>
    </row>
    <row r="5" spans="1:9" ht="30" x14ac:dyDescent="0.35">
      <c r="A5" s="53">
        <v>3</v>
      </c>
      <c r="B5" s="53" t="s">
        <v>131</v>
      </c>
      <c r="C5" s="54" t="s">
        <v>120</v>
      </c>
      <c r="D5" s="53" t="s">
        <v>128</v>
      </c>
      <c r="E5" s="53">
        <v>12</v>
      </c>
      <c r="F5" s="53" t="s">
        <v>111</v>
      </c>
      <c r="G5" s="57">
        <v>1000075</v>
      </c>
      <c r="H5" s="57">
        <f>+G5*E5</f>
        <v>12000900</v>
      </c>
      <c r="I5" s="57">
        <f>+H5</f>
        <v>12000900</v>
      </c>
    </row>
    <row r="6" spans="1:9" ht="20" x14ac:dyDescent="0.35">
      <c r="A6" s="53">
        <v>4</v>
      </c>
      <c r="B6" s="53" t="s">
        <v>129</v>
      </c>
      <c r="C6" s="54" t="s">
        <v>121</v>
      </c>
      <c r="D6" s="53" t="s">
        <v>1</v>
      </c>
      <c r="E6" s="53">
        <v>2</v>
      </c>
      <c r="F6" s="53" t="s">
        <v>136</v>
      </c>
      <c r="G6" s="57">
        <v>280543</v>
      </c>
      <c r="H6" s="57">
        <f t="shared" ref="H6:H12" si="0">+G6*E6</f>
        <v>561086</v>
      </c>
      <c r="I6" s="57">
        <f>ROUND(+H6/$D$14,0)</f>
        <v>80155</v>
      </c>
    </row>
    <row r="7" spans="1:9" ht="20" x14ac:dyDescent="0.35">
      <c r="A7" s="53">
        <v>5</v>
      </c>
      <c r="B7" s="53" t="s">
        <v>129</v>
      </c>
      <c r="C7" s="54" t="s">
        <v>139</v>
      </c>
      <c r="D7" s="53" t="s">
        <v>1</v>
      </c>
      <c r="E7" s="53">
        <v>2</v>
      </c>
      <c r="F7" s="53" t="s">
        <v>136</v>
      </c>
      <c r="G7" s="57">
        <v>221219</v>
      </c>
      <c r="H7" s="57">
        <f t="shared" si="0"/>
        <v>442438</v>
      </c>
      <c r="I7" s="57">
        <f>ROUND(+H7/$D$14,0)</f>
        <v>63205</v>
      </c>
    </row>
    <row r="8" spans="1:9" ht="20" x14ac:dyDescent="0.35">
      <c r="A8" s="53">
        <v>6</v>
      </c>
      <c r="B8" s="53" t="s">
        <v>130</v>
      </c>
      <c r="C8" s="54" t="s">
        <v>122</v>
      </c>
      <c r="D8" s="53" t="s">
        <v>133</v>
      </c>
      <c r="E8" s="53">
        <v>3</v>
      </c>
      <c r="F8" s="53" t="s">
        <v>111</v>
      </c>
      <c r="G8" s="57">
        <v>150535</v>
      </c>
      <c r="H8" s="57">
        <f t="shared" si="0"/>
        <v>451605</v>
      </c>
      <c r="I8" s="57">
        <f>+H8</f>
        <v>451605</v>
      </c>
    </row>
    <row r="9" spans="1:9" ht="20" x14ac:dyDescent="0.35">
      <c r="A9" s="53">
        <v>7</v>
      </c>
      <c r="B9" s="53" t="s">
        <v>140</v>
      </c>
      <c r="C9" s="54" t="s">
        <v>123</v>
      </c>
      <c r="D9" s="53" t="s">
        <v>1</v>
      </c>
      <c r="E9" s="53">
        <v>4</v>
      </c>
      <c r="F9" s="53" t="s">
        <v>112</v>
      </c>
      <c r="G9" s="57">
        <v>68425</v>
      </c>
      <c r="H9" s="57">
        <f t="shared" si="0"/>
        <v>273700</v>
      </c>
      <c r="I9" s="57">
        <f>+H9*2/7</f>
        <v>78200</v>
      </c>
    </row>
    <row r="10" spans="1:9" ht="20" x14ac:dyDescent="0.35">
      <c r="A10" s="53">
        <v>8</v>
      </c>
      <c r="B10" s="53" t="s">
        <v>141</v>
      </c>
      <c r="C10" s="54" t="s">
        <v>124</v>
      </c>
      <c r="D10" s="53" t="s">
        <v>1</v>
      </c>
      <c r="E10" s="53">
        <v>4</v>
      </c>
      <c r="F10" s="53" t="s">
        <v>136</v>
      </c>
      <c r="G10" s="57">
        <v>64046</v>
      </c>
      <c r="H10" s="57">
        <f t="shared" si="0"/>
        <v>256184</v>
      </c>
      <c r="I10" s="57">
        <f>ROUND(+H10/$D$14,0)</f>
        <v>36598</v>
      </c>
    </row>
    <row r="11" spans="1:9" x14ac:dyDescent="0.35">
      <c r="A11" s="53">
        <v>9</v>
      </c>
      <c r="B11" s="53" t="s">
        <v>134</v>
      </c>
      <c r="C11" s="54" t="s">
        <v>125</v>
      </c>
      <c r="D11" s="53" t="s">
        <v>133</v>
      </c>
      <c r="E11" s="53">
        <v>3</v>
      </c>
      <c r="F11" s="53" t="s">
        <v>111</v>
      </c>
      <c r="G11" s="57">
        <v>409182</v>
      </c>
      <c r="H11" s="57">
        <f t="shared" si="0"/>
        <v>1227546</v>
      </c>
      <c r="I11" s="57">
        <f>+H11</f>
        <v>1227546</v>
      </c>
    </row>
    <row r="12" spans="1:9" ht="30" x14ac:dyDescent="0.35">
      <c r="A12" s="53">
        <v>10</v>
      </c>
      <c r="B12" s="53" t="s">
        <v>142</v>
      </c>
      <c r="C12" s="54" t="s">
        <v>126</v>
      </c>
      <c r="D12" s="53" t="s">
        <v>132</v>
      </c>
      <c r="E12" s="53">
        <v>3</v>
      </c>
      <c r="F12" s="53" t="s">
        <v>111</v>
      </c>
      <c r="G12" s="57">
        <v>1231650</v>
      </c>
      <c r="H12" s="57">
        <f t="shared" si="0"/>
        <v>3694950</v>
      </c>
      <c r="I12" s="57">
        <f>+H12</f>
        <v>3694950</v>
      </c>
    </row>
    <row r="13" spans="1:9" ht="16" thickBot="1" x14ac:dyDescent="0.4">
      <c r="G13" s="52" t="s">
        <v>202</v>
      </c>
      <c r="H13" s="58">
        <f>SUM(H3:H12)</f>
        <v>22132597</v>
      </c>
      <c r="I13" s="58">
        <f>SUM(I3:I12)</f>
        <v>18093757</v>
      </c>
    </row>
    <row r="14" spans="1:9" ht="16" thickBot="1" x14ac:dyDescent="0.4">
      <c r="C14" s="55" t="s">
        <v>248</v>
      </c>
      <c r="D14" s="56">
        <f>PRESUPUESTO!$G$21</f>
        <v>7</v>
      </c>
    </row>
  </sheetData>
  <mergeCells count="1">
    <mergeCell ref="A1:I1"/>
  </mergeCells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0E481-7179-494F-8DC5-8C9746BA49B8}">
  <dimension ref="A1:H9"/>
  <sheetViews>
    <sheetView view="pageBreakPreview" topLeftCell="D7" zoomScale="115" zoomScaleNormal="100" zoomScaleSheetLayoutView="115" workbookViewId="0">
      <selection activeCell="H5" sqref="H5"/>
    </sheetView>
  </sheetViews>
  <sheetFormatPr baseColWidth="10" defaultRowHeight="15.5" x14ac:dyDescent="0.35"/>
  <cols>
    <col min="1" max="1" width="4.9140625" bestFit="1" customWidth="1"/>
    <col min="2" max="2" width="16" customWidth="1"/>
    <col min="3" max="3" width="86.9140625" customWidth="1"/>
    <col min="4" max="4" width="21.58203125" customWidth="1"/>
    <col min="5" max="5" width="17.9140625" style="62" customWidth="1"/>
    <col min="6" max="6" width="20" style="33" customWidth="1"/>
    <col min="8" max="8" width="15.08203125" bestFit="1" customWidth="1"/>
  </cols>
  <sheetData>
    <row r="1" spans="1:8" x14ac:dyDescent="0.35">
      <c r="A1" s="228" t="s">
        <v>197</v>
      </c>
      <c r="B1" s="228"/>
      <c r="C1" s="228"/>
      <c r="D1" s="228"/>
      <c r="E1" s="228"/>
    </row>
    <row r="2" spans="1:8" ht="20" x14ac:dyDescent="0.35">
      <c r="A2" s="52" t="s">
        <v>2</v>
      </c>
      <c r="B2" s="52" t="s">
        <v>184</v>
      </c>
      <c r="C2" s="52" t="s">
        <v>3</v>
      </c>
      <c r="D2" s="52" t="s">
        <v>251</v>
      </c>
      <c r="E2" s="58" t="s">
        <v>86</v>
      </c>
      <c r="H2" s="26"/>
    </row>
    <row r="3" spans="1:8" ht="20" x14ac:dyDescent="0.35">
      <c r="A3" s="53">
        <v>1</v>
      </c>
      <c r="B3" s="53" t="s">
        <v>185</v>
      </c>
      <c r="C3" s="59" t="s">
        <v>186</v>
      </c>
      <c r="D3" s="59" t="s">
        <v>252</v>
      </c>
      <c r="E3" s="60">
        <v>5500000</v>
      </c>
      <c r="F3" s="34"/>
    </row>
    <row r="4" spans="1:8" ht="20" x14ac:dyDescent="0.35">
      <c r="A4" s="53">
        <v>2</v>
      </c>
      <c r="B4" s="53" t="s">
        <v>187</v>
      </c>
      <c r="C4" s="59" t="s">
        <v>188</v>
      </c>
      <c r="D4" s="59" t="s">
        <v>253</v>
      </c>
      <c r="E4" s="60">
        <v>3650000</v>
      </c>
      <c r="F4" s="34"/>
      <c r="H4" s="25"/>
    </row>
    <row r="5" spans="1:8" ht="20" x14ac:dyDescent="0.35">
      <c r="A5" s="53">
        <v>4</v>
      </c>
      <c r="B5" s="53" t="s">
        <v>189</v>
      </c>
      <c r="C5" s="54" t="s">
        <v>190</v>
      </c>
      <c r="D5" s="54" t="s">
        <v>254</v>
      </c>
      <c r="E5" s="60">
        <v>2451000</v>
      </c>
      <c r="F5" s="34"/>
      <c r="H5" s="26"/>
    </row>
    <row r="6" spans="1:8" ht="60" x14ac:dyDescent="0.35">
      <c r="A6" s="53">
        <v>5</v>
      </c>
      <c r="B6" s="53" t="s">
        <v>191</v>
      </c>
      <c r="C6" s="54" t="s">
        <v>192</v>
      </c>
      <c r="D6" s="54" t="s">
        <v>255</v>
      </c>
      <c r="E6" s="60">
        <v>950000</v>
      </c>
      <c r="F6" s="34"/>
    </row>
    <row r="7" spans="1:8" ht="108" customHeight="1" x14ac:dyDescent="0.35">
      <c r="A7" s="53">
        <v>6</v>
      </c>
      <c r="B7" s="53" t="s">
        <v>193</v>
      </c>
      <c r="C7" s="54" t="s">
        <v>199</v>
      </c>
      <c r="D7" s="54" t="s">
        <v>256</v>
      </c>
      <c r="E7" s="60">
        <v>4777000</v>
      </c>
      <c r="F7" s="34"/>
    </row>
    <row r="8" spans="1:8" x14ac:dyDescent="0.35">
      <c r="A8" s="53">
        <v>7</v>
      </c>
      <c r="B8" s="53" t="s">
        <v>194</v>
      </c>
      <c r="C8" s="54" t="s">
        <v>195</v>
      </c>
      <c r="D8" s="54" t="s">
        <v>257</v>
      </c>
      <c r="E8" s="60">
        <v>2990426</v>
      </c>
      <c r="F8" s="34"/>
    </row>
    <row r="9" spans="1:8" x14ac:dyDescent="0.35">
      <c r="A9" s="229" t="s">
        <v>196</v>
      </c>
      <c r="B9" s="229"/>
      <c r="C9" s="229"/>
      <c r="D9" s="197"/>
      <c r="E9" s="61">
        <f>SUM(E3:E8)</f>
        <v>20318426</v>
      </c>
    </row>
  </sheetData>
  <mergeCells count="2">
    <mergeCell ref="A9:C9"/>
    <mergeCell ref="A1:E1"/>
  </mergeCells>
  <pageMargins left="0.7" right="0.7" top="0.75" bottom="0.75" header="0.3" footer="0.3"/>
  <pageSetup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Media-2026</vt:lpstr>
      <vt:lpstr>OFICIAL</vt:lpstr>
      <vt:lpstr>PRESUPUESTO</vt:lpstr>
      <vt:lpstr>PERSONAL</vt:lpstr>
      <vt:lpstr>INSUMOS DE ASEO Y CAFETERIA</vt:lpstr>
      <vt:lpstr>INSUMOS PISCINA</vt:lpstr>
      <vt:lpstr>MTO GRAMA</vt:lpstr>
      <vt:lpstr>'INSUMOS DE ASEO Y CAFETERIA'!Área_de_impresión</vt:lpstr>
      <vt:lpstr>'INSUMOS PISCINA'!Área_de_impresión</vt:lpstr>
      <vt:lpstr>'MTO GRAMA'!Área_de_impresión</vt:lpstr>
      <vt:lpstr>OFICIAL!Área_de_impresión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CAROLINA VEGA SEPULVEDA</dc:creator>
  <cp:lastModifiedBy>Danilo</cp:lastModifiedBy>
  <cp:lastPrinted>2026-02-20T18:21:16Z</cp:lastPrinted>
  <dcterms:created xsi:type="dcterms:W3CDTF">2023-03-13T08:40:01Z</dcterms:created>
  <dcterms:modified xsi:type="dcterms:W3CDTF">2026-02-20T19:07:55Z</dcterms:modified>
</cp:coreProperties>
</file>