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autoCompressPictures="0"/>
  <mc:AlternateContent xmlns:mc="http://schemas.openxmlformats.org/markup-compatibility/2006">
    <mc:Choice Requires="x15">
      <x15ac:absPath xmlns:x15ac="http://schemas.microsoft.com/office/spreadsheetml/2010/11/ac" url="https://mineducaciongovco-my.sharepoint.com/personal/csua_mineducacion_gov_co/Documents/Documentos/MEN 2026/ENTREGA FINDETER/5090635 de 2023/"/>
    </mc:Choice>
  </mc:AlternateContent>
  <xr:revisionPtr revIDLastSave="0" documentId="8_{4E5225CB-AA48-49C6-AE0A-67FA896D3546}" xr6:coauthVersionLast="47" xr6:coauthVersionMax="47" xr10:uidLastSave="{00000000-0000-0000-0000-000000000000}"/>
  <workbookProtection workbookAlgorithmName="SHA-512" workbookHashValue="lVn5a/kXyXf0CpziQLWW1HVk5nxU9USDw/1MwEWtmDqVM4KVXgE0GLz1pbPFxP8/sGPTSGA5QcEoPwR2n+xmVA==" workbookSaltValue="M8sGAiZqzHZ8ZSSyApJtgA==" workbookSpinCount="100000" lockStructure="1"/>
  <bookViews>
    <workbookView xWindow="-120" yWindow="-120" windowWidth="29040" windowHeight="15720" tabRatio="827" firstSheet="1" activeTab="1" xr2:uid="{00000000-000D-0000-FFFF-FFFF00000000}"/>
  </bookViews>
  <sheets>
    <sheet name="Indice Informe Financiero" sheetId="58" r:id="rId1"/>
    <sheet name="0.Ficha Técnica" sheetId="60" r:id="rId2"/>
    <sheet name="1.Resumen Financiero Contrato" sheetId="42" r:id="rId3"/>
    <sheet name="2.Resumen Presupuestal" sheetId="56" r:id="rId4"/>
    <sheet name="3.Ingresos del Contrato" sheetId="54" r:id="rId5"/>
    <sheet name="4.E.F. Contratación Derivada" sheetId="59" r:id="rId6"/>
    <sheet name="5.Pagos Asistencia Ténica" sheetId="57" r:id="rId7"/>
    <sheet name="6.Reportes de Pagos" sheetId="44" r:id="rId8"/>
    <sheet name="7.Rendimientos Financieros" sheetId="55" r:id="rId9"/>
  </sheets>
  <externalReferences>
    <externalReference r:id="rId10"/>
    <externalReference r:id="rId11"/>
    <externalReference r:id="rId12"/>
    <externalReference r:id="rId13"/>
  </externalReferences>
  <definedNames>
    <definedName name="_670_1200_40" localSheetId="5">'[1]CONTROL DE PAGOS - OCT 20'!#REF!</definedName>
    <definedName name="_670_1200_40">'[1]CONTROL DE PAGOS - OCT 20'!#REF!</definedName>
    <definedName name="_xlnm._FilterDatabase" localSheetId="3" hidden="1">'2.Resumen Presupuestal'!$A$7:$Q$12</definedName>
    <definedName name="_xlnm._FilterDatabase" localSheetId="4" hidden="1">'3.Ingresos del Contrato'!#REF!</definedName>
    <definedName name="_xlnm._FilterDatabase" localSheetId="5" hidden="1">'4.E.F. Contratación Derivada'!$A$7:$AN$112</definedName>
    <definedName name="_xlnm._FilterDatabase" localSheetId="7" hidden="1">'6.Reportes de Pagos'!$A$7:$O$923</definedName>
    <definedName name="_xlnm.Print_Area" localSheetId="3">'2.Resumen Presupuestal'!$A$1:$R$12</definedName>
    <definedName name="_xlnm.Print_Area" localSheetId="4">'3.Ingresos del Contrato'!$A$1:$K$12</definedName>
    <definedName name="_xlnm.Print_Area" localSheetId="5">'4.E.F. Contratación Derivada'!$A$1:$AM$115</definedName>
    <definedName name="_xlnm.Print_Area" localSheetId="6">'5.Pagos Asistencia Ténica'!$A$1:$H$19</definedName>
    <definedName name="_xlnm.Print_Area" localSheetId="7">'6.Reportes de Pagos'!$A$1:$N$932</definedName>
    <definedName name="CONTRATO">'Indice Informe Financiero'!$D$10</definedName>
    <definedName name="FECHA">'Indice Informe Financiero'!$M$14</definedName>
    <definedName name="MATRIZBASE" localSheetId="1">[2]CONSOLIDADO!$A$3:$AG$98</definedName>
    <definedName name="MATRIZBASE" localSheetId="3">#REF!</definedName>
    <definedName name="MATRIZBASE" localSheetId="8">#REF!</definedName>
    <definedName name="MATRIZBASE">[3]CONSOLIDADO!$A$3:$AI$124</definedName>
    <definedName name="OBRA" localSheetId="1">'[2]PAGOS OBRA'!$A$3:$B$93</definedName>
    <definedName name="OBRA" localSheetId="3">'[2]PAGOS OBRA'!$A$3:$B$93</definedName>
    <definedName name="OBRA" localSheetId="8">'[2]PAGOS OBRA'!$A$3:$B$93</definedName>
    <definedName name="OBRA">'[3]PAGOS OBRA'!$A$3:$B$94</definedName>
    <definedName name="periodo" localSheetId="1">[4]INFORME!$D$14</definedName>
    <definedName name="periodo">'Indice Informe Financiero'!$D$14</definedName>
    <definedName name="RENDIMIENTOS" localSheetId="5">'6.Reportes de Pagos'!#REF!</definedName>
    <definedName name="RENDIMIENTOS">'6.Reportes de Pagos'!#REF!</definedName>
    <definedName name="_xlnm.Print_Titles" localSheetId="5">'4.E.F. Contratación Derivada'!$P:$P,'4.E.F. Contratación Derivada'!$1:$7</definedName>
    <definedName name="VRASITENCIA">'[4]REMUNERACIÓN FINDETER'!$F$17</definedName>
    <definedName name="VRCOMPROMISOS">'4.E.F. Contratación Derivada'!$H$112</definedName>
    <definedName name="VRCONTRATOS" localSheetId="1">'[4]CONTROL CONTRATOS'!$T$30</definedName>
    <definedName name="VRCONTRATOS">'4.E.F. Contratación Derivada'!$Z$112</definedName>
    <definedName name="VRCXCCTO" localSheetId="1">'[4]CONTROL CONTRATOS'!$AC$30</definedName>
    <definedName name="VRCXCCTO">'4.E.F. Contratación Derivada'!#REF!</definedName>
    <definedName name="VRFACT">'5.Pagos Asistencia Ténica'!$F$19</definedName>
    <definedName name="VRFINDETER" localSheetId="1">'[4]REMUNERACIÓN FINDETER'!$C$17</definedName>
    <definedName name="VRFINDETER">'5.Pagos Asistencia Ténica'!$C$19</definedName>
    <definedName name="VRLIBERACIONES">'4.E.F. Contratación Derivada'!$AI$112</definedName>
    <definedName name="VRPAGOSCTOS" localSheetId="1">'[4]CONTROL CONTRATOS'!$AA$30</definedName>
    <definedName name="VRPAGOSCTOS">'4.E.F. Contratación Derivada'!$AG$112</definedName>
    <definedName name="VRRTEGTIACTO" localSheetId="1">'[4]CONTROL CONTRATOS'!$AB$30</definedName>
    <definedName name="VRRTEGTIACTO">'4.E.F. Contratación Derivada'!$AH$112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8" i="56" l="1"/>
  <c r="R12" i="56" s="1"/>
  <c r="Y47" i="59"/>
  <c r="X48" i="59"/>
  <c r="X28" i="59"/>
  <c r="AJ7" i="59"/>
  <c r="Y9" i="59"/>
  <c r="X10" i="59"/>
  <c r="F42" i="42" l="1"/>
  <c r="F45" i="42"/>
  <c r="J922" i="44"/>
  <c r="F46" i="42"/>
  <c r="N34" i="42" l="1"/>
  <c r="F33" i="55"/>
  <c r="C33" i="55"/>
  <c r="B33" i="55"/>
  <c r="D32" i="55"/>
  <c r="N914" i="44"/>
  <c r="N913" i="44"/>
  <c r="N912" i="44"/>
  <c r="N911" i="44"/>
  <c r="N910" i="44"/>
  <c r="N909" i="44"/>
  <c r="N908" i="44"/>
  <c r="N907" i="44"/>
  <c r="N906" i="44"/>
  <c r="N905" i="44"/>
  <c r="N904" i="44"/>
  <c r="N903" i="44"/>
  <c r="N902" i="44"/>
  <c r="N901" i="44"/>
  <c r="N900" i="44"/>
  <c r="N899" i="44"/>
  <c r="N898" i="44"/>
  <c r="N897" i="44"/>
  <c r="N896" i="44"/>
  <c r="N895" i="44"/>
  <c r="N894" i="44"/>
  <c r="N893" i="44"/>
  <c r="N892" i="44"/>
  <c r="N891" i="44"/>
  <c r="N890" i="44"/>
  <c r="N889" i="44"/>
  <c r="N888" i="44"/>
  <c r="N887" i="44"/>
  <c r="N886" i="44"/>
  <c r="N885" i="44"/>
  <c r="N884" i="44"/>
  <c r="N883" i="44"/>
  <c r="N882" i="44"/>
  <c r="N881" i="44"/>
  <c r="N880" i="44"/>
  <c r="N879" i="44"/>
  <c r="N878" i="44"/>
  <c r="N877" i="44"/>
  <c r="N876" i="44"/>
  <c r="N875" i="44"/>
  <c r="M922" i="44"/>
  <c r="L922" i="44"/>
  <c r="I922" i="44"/>
  <c r="F922" i="44"/>
  <c r="N921" i="44"/>
  <c r="N920" i="44"/>
  <c r="N919" i="44"/>
  <c r="N918" i="44"/>
  <c r="N917" i="44"/>
  <c r="N916" i="44"/>
  <c r="N915" i="44"/>
  <c r="N874" i="44"/>
  <c r="N873" i="44"/>
  <c r="N872" i="44"/>
  <c r="N871" i="44"/>
  <c r="N870" i="44"/>
  <c r="N869" i="44"/>
  <c r="N868" i="44"/>
  <c r="N867" i="44"/>
  <c r="N866" i="44"/>
  <c r="N865" i="44"/>
  <c r="N864" i="44"/>
  <c r="N863" i="44"/>
  <c r="N862" i="44"/>
  <c r="N861" i="44"/>
  <c r="N860" i="44"/>
  <c r="N859" i="44"/>
  <c r="N858" i="44"/>
  <c r="N857" i="44"/>
  <c r="N856" i="44"/>
  <c r="N855" i="44"/>
  <c r="N854" i="44"/>
  <c r="N853" i="44"/>
  <c r="N852" i="44"/>
  <c r="N851" i="44"/>
  <c r="K922" i="44"/>
  <c r="N849" i="44"/>
  <c r="N848" i="44"/>
  <c r="N847" i="44"/>
  <c r="N846" i="44"/>
  <c r="N845" i="44"/>
  <c r="N844" i="44"/>
  <c r="N843" i="44"/>
  <c r="N842" i="44"/>
  <c r="N841" i="44"/>
  <c r="N840" i="44"/>
  <c r="N839" i="44"/>
  <c r="N838" i="44"/>
  <c r="N837" i="44"/>
  <c r="N836" i="44"/>
  <c r="N835" i="44"/>
  <c r="H28" i="59"/>
  <c r="W28" i="59" s="1"/>
  <c r="X56" i="59"/>
  <c r="H56" i="59"/>
  <c r="W56" i="59" s="1"/>
  <c r="N33" i="42"/>
  <c r="Y19" i="59"/>
  <c r="X20" i="59"/>
  <c r="V112" i="59"/>
  <c r="D33" i="55" l="1"/>
  <c r="N850" i="44"/>
  <c r="N922" i="44" s="1"/>
  <c r="C33" i="42"/>
  <c r="D33" i="42"/>
  <c r="F41" i="42"/>
  <c r="E33" i="42" l="1"/>
  <c r="D31" i="55" l="1"/>
  <c r="K800" i="44"/>
  <c r="N800" i="44" s="1"/>
  <c r="J834" i="44"/>
  <c r="M834" i="44"/>
  <c r="L834" i="44"/>
  <c r="K834" i="44"/>
  <c r="I834" i="44"/>
  <c r="N833" i="44"/>
  <c r="N832" i="44"/>
  <c r="N831" i="44"/>
  <c r="N830" i="44"/>
  <c r="N829" i="44"/>
  <c r="N828" i="44"/>
  <c r="N827" i="44"/>
  <c r="N826" i="44"/>
  <c r="N825" i="44"/>
  <c r="N824" i="44"/>
  <c r="N823" i="44"/>
  <c r="N822" i="44"/>
  <c r="N821" i="44"/>
  <c r="N820" i="44"/>
  <c r="N819" i="44"/>
  <c r="N818" i="44"/>
  <c r="N817" i="44"/>
  <c r="N816" i="44"/>
  <c r="N815" i="44"/>
  <c r="N814" i="44"/>
  <c r="N813" i="44"/>
  <c r="N812" i="44"/>
  <c r="N811" i="44"/>
  <c r="N810" i="44"/>
  <c r="N809" i="44"/>
  <c r="N808" i="44"/>
  <c r="N807" i="44"/>
  <c r="N806" i="44"/>
  <c r="N805" i="44"/>
  <c r="N804" i="44"/>
  <c r="N803" i="44"/>
  <c r="N802" i="44"/>
  <c r="N801" i="44"/>
  <c r="N799" i="44"/>
  <c r="N798" i="44"/>
  <c r="N797" i="44"/>
  <c r="N796" i="44"/>
  <c r="N795" i="44"/>
  <c r="N794" i="44"/>
  <c r="N793" i="44"/>
  <c r="N792" i="44"/>
  <c r="N791" i="44"/>
  <c r="N790" i="44"/>
  <c r="N789" i="44"/>
  <c r="N788" i="44"/>
  <c r="N787" i="44"/>
  <c r="N786" i="44"/>
  <c r="N785" i="44"/>
  <c r="G33" i="42" l="1"/>
  <c r="N834" i="44"/>
  <c r="X63" i="59"/>
  <c r="H63" i="59"/>
  <c r="X61" i="59"/>
  <c r="H61" i="59"/>
  <c r="A34" i="42"/>
  <c r="M12" i="56"/>
  <c r="AI8" i="59"/>
  <c r="W61" i="59"/>
  <c r="W8" i="59"/>
  <c r="W79" i="59"/>
  <c r="W89" i="59"/>
  <c r="AF112" i="59"/>
  <c r="W63" i="59" l="1"/>
  <c r="C34" i="42"/>
  <c r="D34" i="42"/>
  <c r="G34" i="42"/>
  <c r="I784" i="44"/>
  <c r="M784" i="44"/>
  <c r="K784" i="44"/>
  <c r="J784" i="44"/>
  <c r="N783" i="44"/>
  <c r="E34" i="42" l="1"/>
  <c r="L697" i="44"/>
  <c r="L784" i="44" s="1"/>
  <c r="N685" i="44"/>
  <c r="N686" i="44"/>
  <c r="N687" i="44"/>
  <c r="N688" i="44"/>
  <c r="N689" i="44"/>
  <c r="N690" i="44"/>
  <c r="N691" i="44"/>
  <c r="N692" i="44"/>
  <c r="N693" i="44"/>
  <c r="N694" i="44"/>
  <c r="N695" i="44"/>
  <c r="N696" i="44"/>
  <c r="N698" i="44"/>
  <c r="N699" i="44"/>
  <c r="N700" i="44"/>
  <c r="N701" i="44"/>
  <c r="N702" i="44"/>
  <c r="N703" i="44"/>
  <c r="N704" i="44"/>
  <c r="N705" i="44"/>
  <c r="N706" i="44"/>
  <c r="N707" i="44"/>
  <c r="N708" i="44"/>
  <c r="N709" i="44"/>
  <c r="N710" i="44"/>
  <c r="N711" i="44"/>
  <c r="N712" i="44"/>
  <c r="N713" i="44"/>
  <c r="N714" i="44"/>
  <c r="N715" i="44"/>
  <c r="N716" i="44"/>
  <c r="N717" i="44"/>
  <c r="N718" i="44"/>
  <c r="N719" i="44"/>
  <c r="N720" i="44"/>
  <c r="N721" i="44"/>
  <c r="N722" i="44"/>
  <c r="N723" i="44"/>
  <c r="N724" i="44"/>
  <c r="N725" i="44"/>
  <c r="N726" i="44"/>
  <c r="N727" i="44"/>
  <c r="N728" i="44"/>
  <c r="N729" i="44"/>
  <c r="N730" i="44"/>
  <c r="N731" i="44"/>
  <c r="N732" i="44"/>
  <c r="N733" i="44"/>
  <c r="N734" i="44"/>
  <c r="N735" i="44"/>
  <c r="N736" i="44"/>
  <c r="N32" i="42"/>
  <c r="N772" i="44"/>
  <c r="N771" i="44"/>
  <c r="N770" i="44"/>
  <c r="N769" i="44"/>
  <c r="N768" i="44"/>
  <c r="N767" i="44"/>
  <c r="N766" i="44"/>
  <c r="N765" i="44"/>
  <c r="N764" i="44"/>
  <c r="N763" i="44"/>
  <c r="N762" i="44"/>
  <c r="N761" i="44"/>
  <c r="N760" i="44"/>
  <c r="N759" i="44"/>
  <c r="N758" i="44"/>
  <c r="N757" i="44"/>
  <c r="N756" i="44"/>
  <c r="N755" i="44"/>
  <c r="N754" i="44"/>
  <c r="N753" i="44"/>
  <c r="N752" i="44"/>
  <c r="N751" i="44"/>
  <c r="N750" i="44"/>
  <c r="N749" i="44"/>
  <c r="N748" i="44"/>
  <c r="N747" i="44"/>
  <c r="N746" i="44"/>
  <c r="N745" i="44"/>
  <c r="N744" i="44"/>
  <c r="N743" i="44"/>
  <c r="N742" i="44"/>
  <c r="D30" i="55"/>
  <c r="N782" i="44"/>
  <c r="N781" i="44"/>
  <c r="N780" i="44"/>
  <c r="N779" i="44"/>
  <c r="N778" i="44"/>
  <c r="N777" i="44"/>
  <c r="N776" i="44"/>
  <c r="N775" i="44"/>
  <c r="N774" i="44"/>
  <c r="N773" i="44"/>
  <c r="N741" i="44"/>
  <c r="N740" i="44"/>
  <c r="N739" i="44"/>
  <c r="N738" i="44"/>
  <c r="N737" i="44"/>
  <c r="N684" i="44"/>
  <c r="N683" i="44"/>
  <c r="N682" i="44"/>
  <c r="N681" i="44"/>
  <c r="N680" i="44"/>
  <c r="Z90" i="59"/>
  <c r="X50" i="59"/>
  <c r="H50" i="59"/>
  <c r="W50" i="59" s="1"/>
  <c r="X49" i="59"/>
  <c r="H49" i="59"/>
  <c r="W49" i="59" s="1"/>
  <c r="N697" i="44" l="1"/>
  <c r="N784" i="44"/>
  <c r="G32" i="42"/>
  <c r="C32" i="42"/>
  <c r="D32" i="42"/>
  <c r="X54" i="59"/>
  <c r="Y53" i="59"/>
  <c r="Y86" i="59"/>
  <c r="X85" i="59"/>
  <c r="AH64" i="59"/>
  <c r="AG64" i="59"/>
  <c r="AE64" i="59"/>
  <c r="AD64" i="59"/>
  <c r="AB64" i="59"/>
  <c r="AA64" i="59"/>
  <c r="Z64" i="59"/>
  <c r="AH62" i="59"/>
  <c r="AG62" i="59"/>
  <c r="AE62" i="59"/>
  <c r="AD62" i="59"/>
  <c r="AB62" i="59"/>
  <c r="AA62" i="59"/>
  <c r="Z62" i="59"/>
  <c r="Z63" i="59"/>
  <c r="AA63" i="59"/>
  <c r="AB63" i="59"/>
  <c r="AD63" i="59"/>
  <c r="AE63" i="59"/>
  <c r="AG63" i="59"/>
  <c r="AH63" i="59"/>
  <c r="AI63" i="59"/>
  <c r="X60" i="59"/>
  <c r="H60" i="59"/>
  <c r="W60" i="59" s="1"/>
  <c r="H9" i="59"/>
  <c r="W9" i="59" s="1"/>
  <c r="H10" i="59"/>
  <c r="W10" i="59" s="1"/>
  <c r="N31" i="42"/>
  <c r="D29" i="55"/>
  <c r="I679" i="44"/>
  <c r="M679" i="44"/>
  <c r="L679" i="44"/>
  <c r="K679" i="44"/>
  <c r="J679" i="44"/>
  <c r="N678" i="44"/>
  <c r="N677" i="44"/>
  <c r="N676" i="44"/>
  <c r="N675" i="44"/>
  <c r="N674" i="44"/>
  <c r="N673" i="44"/>
  <c r="N672" i="44"/>
  <c r="N671" i="44"/>
  <c r="N670" i="44"/>
  <c r="N669" i="44"/>
  <c r="N668" i="44"/>
  <c r="N667" i="44"/>
  <c r="N666" i="44"/>
  <c r="N665" i="44"/>
  <c r="N664" i="44"/>
  <c r="N663" i="44"/>
  <c r="N662" i="44"/>
  <c r="N661" i="44"/>
  <c r="N660" i="44"/>
  <c r="N659" i="44"/>
  <c r="N658" i="44"/>
  <c r="N657" i="44"/>
  <c r="N656" i="44"/>
  <c r="N655" i="44"/>
  <c r="N654" i="44"/>
  <c r="N653" i="44"/>
  <c r="N652" i="44"/>
  <c r="N651" i="44"/>
  <c r="N650" i="44"/>
  <c r="N649" i="44"/>
  <c r="N648" i="44"/>
  <c r="N647" i="44"/>
  <c r="N646" i="44"/>
  <c r="N645" i="44"/>
  <c r="N644" i="44"/>
  <c r="N643" i="44"/>
  <c r="N642" i="44"/>
  <c r="N641" i="44"/>
  <c r="N640" i="44"/>
  <c r="N639" i="44"/>
  <c r="N638" i="44"/>
  <c r="N637" i="44"/>
  <c r="N636" i="44"/>
  <c r="N635" i="44"/>
  <c r="N634" i="44"/>
  <c r="N633" i="44"/>
  <c r="N632" i="44"/>
  <c r="N631" i="44"/>
  <c r="N630" i="44"/>
  <c r="N30" i="42"/>
  <c r="H85" i="59"/>
  <c r="W85" i="59" s="1"/>
  <c r="H92" i="59"/>
  <c r="H91" i="59"/>
  <c r="H52" i="59"/>
  <c r="H51" i="59"/>
  <c r="G31" i="42" l="1"/>
  <c r="E32" i="42"/>
  <c r="AK63" i="59"/>
  <c r="AL63" i="59"/>
  <c r="N679" i="44"/>
  <c r="C31" i="42"/>
  <c r="D31" i="42"/>
  <c r="H30" i="59"/>
  <c r="H22" i="59"/>
  <c r="H21" i="59"/>
  <c r="H13" i="59"/>
  <c r="Z10" i="59"/>
  <c r="H12" i="59"/>
  <c r="E31" i="42" l="1"/>
  <c r="Q11" i="56"/>
  <c r="Q10" i="56"/>
  <c r="AC112" i="59" l="1"/>
  <c r="B28" i="55"/>
  <c r="D28" i="55" s="1"/>
  <c r="I629" i="44"/>
  <c r="N537" i="44"/>
  <c r="N538" i="44"/>
  <c r="N539" i="44"/>
  <c r="N540" i="44"/>
  <c r="N541" i="44"/>
  <c r="N542" i="44"/>
  <c r="N543" i="44"/>
  <c r="N544" i="44"/>
  <c r="N545" i="44"/>
  <c r="N546" i="44"/>
  <c r="N547" i="44"/>
  <c r="N548" i="44"/>
  <c r="N549" i="44"/>
  <c r="N550" i="44"/>
  <c r="N551" i="44"/>
  <c r="N552" i="44"/>
  <c r="N553" i="44"/>
  <c r="N554" i="44"/>
  <c r="N555" i="44"/>
  <c r="N556" i="44"/>
  <c r="N557" i="44"/>
  <c r="N558" i="44"/>
  <c r="N559" i="44"/>
  <c r="N560" i="44"/>
  <c r="N561" i="44"/>
  <c r="N562" i="44"/>
  <c r="N563" i="44"/>
  <c r="N564" i="44"/>
  <c r="N565" i="44"/>
  <c r="N566" i="44"/>
  <c r="N567" i="44"/>
  <c r="N568" i="44"/>
  <c r="N569" i="44"/>
  <c r="N570" i="44"/>
  <c r="N571" i="44"/>
  <c r="N572" i="44"/>
  <c r="N573" i="44"/>
  <c r="N574" i="44"/>
  <c r="N575" i="44"/>
  <c r="N576" i="44"/>
  <c r="N577" i="44"/>
  <c r="N578" i="44"/>
  <c r="N579" i="44"/>
  <c r="N580" i="44"/>
  <c r="N581" i="44"/>
  <c r="N582" i="44"/>
  <c r="N583" i="44"/>
  <c r="N584" i="44"/>
  <c r="N585" i="44"/>
  <c r="N586" i="44"/>
  <c r="N587" i="44"/>
  <c r="N588" i="44"/>
  <c r="N589" i="44"/>
  <c r="N590" i="44"/>
  <c r="N591" i="44"/>
  <c r="N592" i="44"/>
  <c r="N593" i="44"/>
  <c r="N594" i="44"/>
  <c r="N595" i="44"/>
  <c r="N596" i="44"/>
  <c r="N597" i="44"/>
  <c r="N598" i="44"/>
  <c r="N599" i="44"/>
  <c r="N600" i="44"/>
  <c r="N601" i="44"/>
  <c r="N602" i="44"/>
  <c r="N603" i="44"/>
  <c r="N604" i="44"/>
  <c r="N605" i="44"/>
  <c r="N606" i="44"/>
  <c r="N607" i="44"/>
  <c r="N608" i="44"/>
  <c r="N609" i="44"/>
  <c r="N610" i="44"/>
  <c r="N611" i="44"/>
  <c r="N612" i="44"/>
  <c r="N613" i="44"/>
  <c r="N614" i="44"/>
  <c r="N615" i="44"/>
  <c r="N616" i="44"/>
  <c r="N617" i="44"/>
  <c r="N618" i="44"/>
  <c r="N619" i="44"/>
  <c r="N620" i="44"/>
  <c r="N621" i="44"/>
  <c r="N622" i="44"/>
  <c r="N623" i="44"/>
  <c r="N624" i="44"/>
  <c r="N625" i="44"/>
  <c r="N626" i="44"/>
  <c r="N627" i="44"/>
  <c r="N628" i="44"/>
  <c r="N534" i="44"/>
  <c r="Z8" i="59"/>
  <c r="M629" i="44"/>
  <c r="L629" i="44"/>
  <c r="K629" i="44"/>
  <c r="J629" i="44"/>
  <c r="N536" i="44"/>
  <c r="N535" i="44"/>
  <c r="I533" i="44"/>
  <c r="K11" i="56"/>
  <c r="K10" i="56"/>
  <c r="K9" i="56"/>
  <c r="N629" i="44" l="1"/>
  <c r="X34" i="59" l="1"/>
  <c r="H16" i="59"/>
  <c r="W16" i="59" s="1"/>
  <c r="N532" i="44"/>
  <c r="N531" i="44"/>
  <c r="N530" i="44"/>
  <c r="N529" i="44"/>
  <c r="N528" i="44"/>
  <c r="N527" i="44"/>
  <c r="N526" i="44"/>
  <c r="N525" i="44"/>
  <c r="N524" i="44"/>
  <c r="N523" i="44"/>
  <c r="N522" i="44"/>
  <c r="N521" i="44"/>
  <c r="N520" i="44"/>
  <c r="N519" i="44"/>
  <c r="N518" i="44"/>
  <c r="N517" i="44"/>
  <c r="N516" i="44"/>
  <c r="N515" i="44"/>
  <c r="N514" i="44"/>
  <c r="N513" i="44"/>
  <c r="N512" i="44"/>
  <c r="N511" i="44"/>
  <c r="N510" i="44"/>
  <c r="N509" i="44"/>
  <c r="N508" i="44"/>
  <c r="N507" i="44"/>
  <c r="N506" i="44"/>
  <c r="N505" i="44"/>
  <c r="N504" i="44"/>
  <c r="N503" i="44"/>
  <c r="N502" i="44"/>
  <c r="N501" i="44"/>
  <c r="N500" i="44"/>
  <c r="N499" i="44"/>
  <c r="N498" i="44"/>
  <c r="N497" i="44"/>
  <c r="N496" i="44"/>
  <c r="N495" i="44"/>
  <c r="N494" i="44"/>
  <c r="N493" i="44"/>
  <c r="N492" i="44"/>
  <c r="N491" i="44"/>
  <c r="N490" i="44"/>
  <c r="N489" i="44"/>
  <c r="N488" i="44"/>
  <c r="N487" i="44"/>
  <c r="N486" i="44"/>
  <c r="N485" i="44"/>
  <c r="N484" i="44"/>
  <c r="N483" i="44"/>
  <c r="N482" i="44"/>
  <c r="Y83" i="59"/>
  <c r="Y112" i="59" s="1"/>
  <c r="X84" i="59"/>
  <c r="D27" i="55"/>
  <c r="F28" i="55" s="1"/>
  <c r="M533" i="44"/>
  <c r="L533" i="44"/>
  <c r="K533" i="44"/>
  <c r="J533" i="44"/>
  <c r="M481" i="44"/>
  <c r="L481" i="44"/>
  <c r="K481" i="44"/>
  <c r="J481" i="44"/>
  <c r="I481" i="44"/>
  <c r="W92" i="59"/>
  <c r="C30" i="42" l="1"/>
  <c r="G30" i="42"/>
  <c r="D30" i="42"/>
  <c r="N533" i="44"/>
  <c r="W91" i="59"/>
  <c r="D28" i="42"/>
  <c r="C28" i="42"/>
  <c r="E28" i="42" l="1"/>
  <c r="E30" i="42"/>
  <c r="C26" i="55"/>
  <c r="N480" i="44"/>
  <c r="N479" i="44"/>
  <c r="N478" i="44"/>
  <c r="N477" i="44"/>
  <c r="N476" i="44"/>
  <c r="N475" i="44"/>
  <c r="N474" i="44"/>
  <c r="N473" i="44"/>
  <c r="N472" i="44"/>
  <c r="N471" i="44"/>
  <c r="N470" i="44"/>
  <c r="N469" i="44"/>
  <c r="N468" i="44"/>
  <c r="N467" i="44"/>
  <c r="N466" i="44"/>
  <c r="N465" i="44"/>
  <c r="N464" i="44"/>
  <c r="N463" i="44"/>
  <c r="N462" i="44"/>
  <c r="N461" i="44"/>
  <c r="N460" i="44"/>
  <c r="N459" i="44"/>
  <c r="N458" i="44"/>
  <c r="N457" i="44"/>
  <c r="N456" i="44"/>
  <c r="N455" i="44"/>
  <c r="N454" i="44"/>
  <c r="N453" i="44"/>
  <c r="N452" i="44"/>
  <c r="N451" i="44"/>
  <c r="N450" i="44"/>
  <c r="N449" i="44"/>
  <c r="N448" i="44"/>
  <c r="N447" i="44"/>
  <c r="N446" i="44"/>
  <c r="N445" i="44"/>
  <c r="N444" i="44"/>
  <c r="N443" i="44"/>
  <c r="N442" i="44"/>
  <c r="N441" i="44"/>
  <c r="N440" i="44"/>
  <c r="N439" i="44"/>
  <c r="N438" i="44"/>
  <c r="N437" i="44"/>
  <c r="N436" i="44"/>
  <c r="N435" i="44"/>
  <c r="N434" i="44"/>
  <c r="N433" i="44"/>
  <c r="N432" i="44"/>
  <c r="N431" i="44"/>
  <c r="N430" i="44"/>
  <c r="N429" i="44"/>
  <c r="N428" i="44"/>
  <c r="N427" i="44"/>
  <c r="N426" i="44"/>
  <c r="N425" i="44"/>
  <c r="N424" i="44"/>
  <c r="N423" i="44"/>
  <c r="N422" i="44"/>
  <c r="N421" i="44"/>
  <c r="N420" i="44"/>
  <c r="N419" i="44"/>
  <c r="N418" i="44"/>
  <c r="N417" i="44"/>
  <c r="N393" i="44"/>
  <c r="N394" i="44"/>
  <c r="N395" i="44"/>
  <c r="N396" i="44"/>
  <c r="N397" i="44"/>
  <c r="N398" i="44"/>
  <c r="N399" i="44"/>
  <c r="N400" i="44"/>
  <c r="N401" i="44"/>
  <c r="N402" i="44"/>
  <c r="N403" i="44"/>
  <c r="N404" i="44"/>
  <c r="N405" i="44"/>
  <c r="N406" i="44"/>
  <c r="N407" i="44"/>
  <c r="N408" i="44"/>
  <c r="N409" i="44"/>
  <c r="N410" i="44"/>
  <c r="N411" i="44"/>
  <c r="N412" i="44"/>
  <c r="N413" i="44"/>
  <c r="N414" i="44"/>
  <c r="N415" i="44"/>
  <c r="N416" i="44"/>
  <c r="D25" i="55" l="1"/>
  <c r="L390" i="44"/>
  <c r="K390" i="44"/>
  <c r="J390" i="44"/>
  <c r="I390" i="44"/>
  <c r="N392" i="44"/>
  <c r="N391" i="44"/>
  <c r="J9" i="54"/>
  <c r="J10" i="54"/>
  <c r="G12" i="54"/>
  <c r="J11" i="54"/>
  <c r="D27" i="42"/>
  <c r="C27" i="42"/>
  <c r="N280" i="44"/>
  <c r="N386" i="44"/>
  <c r="N389" i="44"/>
  <c r="N388" i="44"/>
  <c r="N387" i="44"/>
  <c r="N385" i="44"/>
  <c r="N384" i="44"/>
  <c r="N383" i="44"/>
  <c r="N382" i="44"/>
  <c r="N381" i="44"/>
  <c r="N380" i="44"/>
  <c r="N379" i="44"/>
  <c r="N378" i="44"/>
  <c r="N377" i="44"/>
  <c r="N376" i="44"/>
  <c r="N375" i="44"/>
  <c r="N374" i="44"/>
  <c r="N373" i="44"/>
  <c r="N372" i="44"/>
  <c r="N371" i="44"/>
  <c r="N370" i="44"/>
  <c r="N369" i="44"/>
  <c r="N368" i="44"/>
  <c r="N367" i="44"/>
  <c r="D19" i="57"/>
  <c r="D11" i="57"/>
  <c r="D18" i="57"/>
  <c r="D17" i="57"/>
  <c r="D16" i="57"/>
  <c r="D15" i="57"/>
  <c r="D14" i="57"/>
  <c r="D13" i="57"/>
  <c r="D12" i="57"/>
  <c r="C12" i="57"/>
  <c r="D8" i="57"/>
  <c r="N481" i="44" l="1"/>
  <c r="G28" i="42"/>
  <c r="E27" i="42"/>
  <c r="M390" i="44"/>
  <c r="A9" i="59"/>
  <c r="A10" i="59" s="1"/>
  <c r="A11" i="59" s="1"/>
  <c r="A12" i="59" s="1"/>
  <c r="A13" i="59" s="1"/>
  <c r="A14" i="59" s="1"/>
  <c r="A15" i="59" s="1"/>
  <c r="A16" i="59" s="1"/>
  <c r="A17" i="59" s="1"/>
  <c r="A18" i="59" s="1"/>
  <c r="A19" i="59" s="1"/>
  <c r="A20" i="59" s="1"/>
  <c r="A21" i="59" s="1"/>
  <c r="A22" i="59" s="1"/>
  <c r="A23" i="59" s="1"/>
  <c r="A24" i="59" s="1"/>
  <c r="A25" i="59" s="1"/>
  <c r="A26" i="59" s="1"/>
  <c r="A27" i="59" s="1"/>
  <c r="A28" i="59" s="1"/>
  <c r="A29" i="59" s="1"/>
  <c r="A30" i="59" s="1"/>
  <c r="A31" i="59" s="1"/>
  <c r="A32" i="59" s="1"/>
  <c r="A33" i="59" s="1"/>
  <c r="A34" i="59" s="1"/>
  <c r="A35" i="59" s="1"/>
  <c r="A36" i="59" s="1"/>
  <c r="A37" i="59" s="1"/>
  <c r="A38" i="59" s="1"/>
  <c r="A39" i="59" s="1"/>
  <c r="A40" i="59" s="1"/>
  <c r="A41" i="59" s="1"/>
  <c r="A42" i="59" s="1"/>
  <c r="A43" i="59" s="1"/>
  <c r="A44" i="59" s="1"/>
  <c r="A45" i="59" s="1"/>
  <c r="A46" i="59" s="1"/>
  <c r="A47" i="59" s="1"/>
  <c r="A48" i="59" s="1"/>
  <c r="A49" i="59" s="1"/>
  <c r="A50" i="59" s="1"/>
  <c r="A51" i="59" s="1"/>
  <c r="A52" i="59" s="1"/>
  <c r="A53" i="59" s="1"/>
  <c r="A54" i="59" s="1"/>
  <c r="A55" i="59" s="1"/>
  <c r="A56" i="59" s="1"/>
  <c r="A57" i="59" s="1"/>
  <c r="A58" i="59" s="1"/>
  <c r="A60" i="59" s="1"/>
  <c r="A61" i="59" s="1"/>
  <c r="H84" i="59"/>
  <c r="W84" i="59" s="1"/>
  <c r="AI83" i="59"/>
  <c r="AH83" i="59"/>
  <c r="AG83" i="59"/>
  <c r="AE83" i="59"/>
  <c r="AD83" i="59"/>
  <c r="AB83" i="59"/>
  <c r="AA83" i="59"/>
  <c r="Z83" i="59"/>
  <c r="H83" i="59"/>
  <c r="W83" i="59" s="1"/>
  <c r="H55" i="59"/>
  <c r="W55" i="59" s="1"/>
  <c r="X22" i="59"/>
  <c r="W22" i="59"/>
  <c r="X30" i="59"/>
  <c r="W30" i="59"/>
  <c r="AI111" i="59"/>
  <c r="AH111" i="59"/>
  <c r="AG111" i="59"/>
  <c r="AE111" i="59"/>
  <c r="AD111" i="59"/>
  <c r="AB111" i="59"/>
  <c r="AA111" i="59"/>
  <c r="Z111" i="59"/>
  <c r="W111" i="59"/>
  <c r="AI110" i="59"/>
  <c r="AH110" i="59"/>
  <c r="AG110" i="59"/>
  <c r="AE110" i="59"/>
  <c r="AD110" i="59"/>
  <c r="AB110" i="59"/>
  <c r="AA110" i="59"/>
  <c r="Z110" i="59"/>
  <c r="W110" i="59"/>
  <c r="A63" i="59" l="1"/>
  <c r="A65" i="59" s="1"/>
  <c r="A66" i="59" s="1"/>
  <c r="A67" i="59" s="1"/>
  <c r="A68" i="59" s="1"/>
  <c r="A69" i="59" s="1"/>
  <c r="A70" i="59" s="1"/>
  <c r="A71" i="59" s="1"/>
  <c r="A72" i="59" s="1"/>
  <c r="A73" i="59" s="1"/>
  <c r="A74" i="59" s="1"/>
  <c r="A75" i="59" s="1"/>
  <c r="A76" i="59" s="1"/>
  <c r="A77" i="59" s="1"/>
  <c r="A78" i="59" s="1"/>
  <c r="A79" i="59" s="1"/>
  <c r="A80" i="59" s="1"/>
  <c r="A81" i="59" s="1"/>
  <c r="A82" i="59" s="1"/>
  <c r="A83" i="59" s="1"/>
  <c r="A84" i="59" s="1"/>
  <c r="A85" i="59" s="1"/>
  <c r="A86" i="59" s="1"/>
  <c r="A87" i="59" s="1"/>
  <c r="A88" i="59" s="1"/>
  <c r="A89" i="59" s="1"/>
  <c r="A90" i="59" s="1"/>
  <c r="A91" i="59" s="1"/>
  <c r="A92" i="59" s="1"/>
  <c r="A93" i="59" s="1"/>
  <c r="A94" i="59" s="1"/>
  <c r="A59" i="59" s="1"/>
  <c r="A95" i="59" s="1"/>
  <c r="A96" i="59" s="1"/>
  <c r="A97" i="59" s="1"/>
  <c r="A98" i="59" s="1"/>
  <c r="A99" i="59" s="1"/>
  <c r="A100" i="59" s="1"/>
  <c r="A101" i="59" s="1"/>
  <c r="A102" i="59" s="1"/>
  <c r="A103" i="59" s="1"/>
  <c r="A104" i="59" s="1"/>
  <c r="A105" i="59" s="1"/>
  <c r="A106" i="59" s="1"/>
  <c r="A107" i="59" s="1"/>
  <c r="A108" i="59" s="1"/>
  <c r="A109" i="59" s="1"/>
  <c r="A110" i="59" s="1"/>
  <c r="A111" i="59" s="1"/>
  <c r="AL83" i="59"/>
  <c r="AK83" i="59"/>
  <c r="AL111" i="59"/>
  <c r="AL110" i="59"/>
  <c r="AK111" i="59"/>
  <c r="AK110" i="59"/>
  <c r="D26" i="55" l="1"/>
  <c r="D24" i="55"/>
  <c r="F25" i="55" s="1"/>
  <c r="M330" i="44"/>
  <c r="L330" i="44"/>
  <c r="K330" i="44"/>
  <c r="J330" i="44"/>
  <c r="I330" i="44"/>
  <c r="N366" i="44"/>
  <c r="N365" i="44"/>
  <c r="N364" i="44"/>
  <c r="N363" i="44"/>
  <c r="N362" i="44"/>
  <c r="N361" i="44"/>
  <c r="N360" i="44"/>
  <c r="N359" i="44"/>
  <c r="N358" i="44"/>
  <c r="N357" i="44"/>
  <c r="N356" i="44"/>
  <c r="N355" i="44"/>
  <c r="N354" i="44"/>
  <c r="N353" i="44"/>
  <c r="N352" i="44"/>
  <c r="N351" i="44"/>
  <c r="N350" i="44"/>
  <c r="N349" i="44"/>
  <c r="N348" i="44"/>
  <c r="N347" i="44"/>
  <c r="N346" i="44"/>
  <c r="N345" i="44"/>
  <c r="N344" i="44"/>
  <c r="N343" i="44"/>
  <c r="N342" i="44"/>
  <c r="N341" i="44"/>
  <c r="N340" i="44"/>
  <c r="N339" i="44"/>
  <c r="N338" i="44"/>
  <c r="N337" i="44"/>
  <c r="N336" i="44"/>
  <c r="N335" i="44"/>
  <c r="N334" i="44"/>
  <c r="N333" i="44"/>
  <c r="N332" i="44"/>
  <c r="N331" i="44"/>
  <c r="N26" i="42"/>
  <c r="J12" i="54"/>
  <c r="E11" i="54"/>
  <c r="K11" i="54" s="1"/>
  <c r="E10" i="54"/>
  <c r="K10" i="54" s="1"/>
  <c r="E9" i="54"/>
  <c r="D12" i="56"/>
  <c r="C12" i="56"/>
  <c r="H12" i="56"/>
  <c r="Q9" i="56"/>
  <c r="E11" i="56"/>
  <c r="E10" i="56"/>
  <c r="O10" i="56" s="1"/>
  <c r="E9" i="56"/>
  <c r="BK9" i="60"/>
  <c r="X42" i="59"/>
  <c r="H42" i="59"/>
  <c r="W42" i="59" s="1"/>
  <c r="N277" i="44"/>
  <c r="N278" i="44"/>
  <c r="N279" i="44"/>
  <c r="N281" i="44"/>
  <c r="N282" i="44"/>
  <c r="N276" i="44"/>
  <c r="N283" i="44"/>
  <c r="N284" i="44"/>
  <c r="N285" i="44"/>
  <c r="N286" i="44"/>
  <c r="N287" i="44"/>
  <c r="N288" i="44"/>
  <c r="N289" i="44"/>
  <c r="N290" i="44"/>
  <c r="N291" i="44"/>
  <c r="N294" i="44"/>
  <c r="N295" i="44"/>
  <c r="N296" i="44"/>
  <c r="N297" i="44"/>
  <c r="N298" i="44"/>
  <c r="N299" i="44"/>
  <c r="N300" i="44"/>
  <c r="N301" i="44"/>
  <c r="N302" i="44"/>
  <c r="N303" i="44"/>
  <c r="N304" i="44"/>
  <c r="N305" i="44"/>
  <c r="N306" i="44"/>
  <c r="N307" i="44"/>
  <c r="N308" i="44"/>
  <c r="N309" i="44"/>
  <c r="N310" i="44"/>
  <c r="N311" i="44"/>
  <c r="N312" i="44"/>
  <c r="N313" i="44"/>
  <c r="N314" i="44"/>
  <c r="N315" i="44"/>
  <c r="N316" i="44"/>
  <c r="N317" i="44"/>
  <c r="N318" i="44"/>
  <c r="N319" i="44"/>
  <c r="N320" i="44"/>
  <c r="N321" i="44"/>
  <c r="N322" i="44"/>
  <c r="N323" i="44"/>
  <c r="N324" i="44"/>
  <c r="N325" i="44"/>
  <c r="N326" i="44"/>
  <c r="N327" i="44"/>
  <c r="N328" i="44"/>
  <c r="N329" i="44"/>
  <c r="I9" i="56" l="1"/>
  <c r="I12" i="56" s="1"/>
  <c r="O9" i="56"/>
  <c r="I11" i="56"/>
  <c r="O11" i="56"/>
  <c r="I10" i="56"/>
  <c r="N390" i="44"/>
  <c r="G27" i="42"/>
  <c r="K9" i="54"/>
  <c r="E12" i="54"/>
  <c r="C26" i="42"/>
  <c r="D26" i="42"/>
  <c r="E26" i="42" l="1"/>
  <c r="D23" i="55"/>
  <c r="I233" i="44"/>
  <c r="N236" i="44"/>
  <c r="M233" i="44"/>
  <c r="L233" i="44"/>
  <c r="K233" i="44"/>
  <c r="J233" i="44"/>
  <c r="N271" i="44"/>
  <c r="N270" i="44"/>
  <c r="N269" i="44"/>
  <c r="N268" i="44"/>
  <c r="N267" i="44"/>
  <c r="N266" i="44"/>
  <c r="N265" i="44"/>
  <c r="N264" i="44"/>
  <c r="N263" i="44"/>
  <c r="N262" i="44"/>
  <c r="N261" i="44"/>
  <c r="N260" i="44"/>
  <c r="N259" i="44"/>
  <c r="N258" i="44"/>
  <c r="N257" i="44"/>
  <c r="N256" i="44"/>
  <c r="N255" i="44"/>
  <c r="N254" i="44"/>
  <c r="N253" i="44"/>
  <c r="N252" i="44"/>
  <c r="N251" i="44"/>
  <c r="N250" i="44"/>
  <c r="N249" i="44"/>
  <c r="N293" i="44"/>
  <c r="N292" i="44"/>
  <c r="N275" i="44"/>
  <c r="N274" i="44"/>
  <c r="N273" i="44"/>
  <c r="N272" i="44"/>
  <c r="N248" i="44"/>
  <c r="N247" i="44"/>
  <c r="N246" i="44"/>
  <c r="N245" i="44"/>
  <c r="N244" i="44"/>
  <c r="N243" i="44"/>
  <c r="N242" i="44"/>
  <c r="N241" i="44"/>
  <c r="N240" i="44"/>
  <c r="N239" i="44"/>
  <c r="N238" i="44"/>
  <c r="N237" i="44"/>
  <c r="N235" i="44"/>
  <c r="N234" i="44"/>
  <c r="N25" i="42"/>
  <c r="F24" i="55" l="1"/>
  <c r="N330" i="44"/>
  <c r="G26" i="42"/>
  <c r="C25" i="42"/>
  <c r="D25" i="42"/>
  <c r="AH8" i="59"/>
  <c r="AG8" i="59"/>
  <c r="AE8" i="59"/>
  <c r="AD8" i="59"/>
  <c r="AB8" i="59"/>
  <c r="AA8" i="59"/>
  <c r="N117" i="44"/>
  <c r="L117" i="44"/>
  <c r="K117" i="44"/>
  <c r="J117" i="44"/>
  <c r="I117" i="44"/>
  <c r="I928" i="44"/>
  <c r="M32" i="44"/>
  <c r="M52" i="44"/>
  <c r="L928" i="44"/>
  <c r="K928" i="44"/>
  <c r="J928" i="44"/>
  <c r="L927" i="44"/>
  <c r="N231" i="44"/>
  <c r="N230" i="44"/>
  <c r="N229" i="44"/>
  <c r="N228" i="44"/>
  <c r="N227" i="44"/>
  <c r="N226" i="44"/>
  <c r="N225" i="44"/>
  <c r="N224" i="44"/>
  <c r="N223" i="44"/>
  <c r="N222" i="44"/>
  <c r="N221" i="44"/>
  <c r="N220" i="44"/>
  <c r="N219" i="44"/>
  <c r="N218" i="44"/>
  <c r="N217" i="44"/>
  <c r="N216" i="44"/>
  <c r="N215" i="44"/>
  <c r="N214" i="44"/>
  <c r="N213" i="44"/>
  <c r="N212" i="44"/>
  <c r="N211" i="44"/>
  <c r="N210" i="44"/>
  <c r="N209" i="44"/>
  <c r="N208" i="44"/>
  <c r="N207" i="44"/>
  <c r="N206" i="44"/>
  <c r="N205" i="44"/>
  <c r="N232" i="44"/>
  <c r="N203" i="44"/>
  <c r="N204" i="44"/>
  <c r="N185" i="44"/>
  <c r="N186" i="44"/>
  <c r="N187" i="44"/>
  <c r="N188" i="44"/>
  <c r="N189" i="44"/>
  <c r="N190" i="44"/>
  <c r="N191" i="44"/>
  <c r="N192" i="44"/>
  <c r="N193" i="44"/>
  <c r="N194" i="44"/>
  <c r="N195" i="44"/>
  <c r="N196" i="44"/>
  <c r="N197" i="44"/>
  <c r="N198" i="44"/>
  <c r="N199" i="44"/>
  <c r="N200" i="44"/>
  <c r="N201" i="44"/>
  <c r="N202" i="44"/>
  <c r="N183" i="44"/>
  <c r="N184" i="44"/>
  <c r="N182" i="44"/>
  <c r="H93" i="59"/>
  <c r="W93" i="59" s="1"/>
  <c r="H94" i="59"/>
  <c r="W94" i="59" s="1"/>
  <c r="N233" i="44" l="1"/>
  <c r="G25" i="42"/>
  <c r="E25" i="42"/>
  <c r="AL8" i="59"/>
  <c r="AK8" i="59"/>
  <c r="N24" i="42"/>
  <c r="D24" i="42"/>
  <c r="C24" i="42"/>
  <c r="K16" i="42"/>
  <c r="D16" i="42"/>
  <c r="C16" i="42"/>
  <c r="K17" i="42"/>
  <c r="G17" i="42"/>
  <c r="D17" i="42"/>
  <c r="C17" i="42"/>
  <c r="G18" i="42"/>
  <c r="D18" i="42"/>
  <c r="C18" i="42"/>
  <c r="G19" i="42"/>
  <c r="D19" i="42"/>
  <c r="C19" i="42"/>
  <c r="D20" i="42"/>
  <c r="C20" i="42"/>
  <c r="D21" i="42"/>
  <c r="C21" i="42"/>
  <c r="D22" i="42"/>
  <c r="C22" i="42"/>
  <c r="C23" i="42"/>
  <c r="E16" i="42" l="1"/>
  <c r="E24" i="42"/>
  <c r="E17" i="42"/>
  <c r="E18" i="42"/>
  <c r="E19" i="42"/>
  <c r="E21" i="42"/>
  <c r="E20" i="42"/>
  <c r="E22" i="42"/>
  <c r="D23" i="42"/>
  <c r="E23" i="42" s="1"/>
  <c r="G23" i="42"/>
  <c r="M180" i="44"/>
  <c r="M179" i="44"/>
  <c r="M178" i="44"/>
  <c r="M177" i="44"/>
  <c r="M175" i="44"/>
  <c r="M173" i="44"/>
  <c r="M171" i="44"/>
  <c r="M170" i="44"/>
  <c r="M169" i="44"/>
  <c r="M168" i="44"/>
  <c r="M167" i="44"/>
  <c r="M166" i="44"/>
  <c r="M165" i="44"/>
  <c r="M164" i="44"/>
  <c r="M163" i="44"/>
  <c r="M162" i="44"/>
  <c r="M160" i="44"/>
  <c r="M159" i="44"/>
  <c r="M158" i="44"/>
  <c r="M156" i="44"/>
  <c r="M155" i="44"/>
  <c r="M154" i="44"/>
  <c r="M153" i="44"/>
  <c r="M152" i="44"/>
  <c r="M151" i="44"/>
  <c r="M150" i="44"/>
  <c r="M149" i="44"/>
  <c r="M116" i="44"/>
  <c r="M115" i="44"/>
  <c r="M114" i="44"/>
  <c r="M113" i="44"/>
  <c r="M112" i="44"/>
  <c r="M111" i="44"/>
  <c r="M110" i="44"/>
  <c r="M85" i="44"/>
  <c r="M84" i="44"/>
  <c r="M83" i="44"/>
  <c r="M82" i="44"/>
  <c r="M80" i="44"/>
  <c r="M79" i="44"/>
  <c r="M78" i="44"/>
  <c r="M77" i="44"/>
  <c r="M76" i="44"/>
  <c r="M75" i="44"/>
  <c r="M74" i="44"/>
  <c r="M73" i="44"/>
  <c r="M72" i="44"/>
  <c r="M71" i="44"/>
  <c r="M70" i="44"/>
  <c r="M117" i="44" l="1"/>
  <c r="Z9" i="59"/>
  <c r="G33" i="55"/>
  <c r="I181" i="44" l="1"/>
  <c r="N176" i="44"/>
  <c r="M176" i="44" s="1"/>
  <c r="N174" i="44"/>
  <c r="M174" i="44" s="1"/>
  <c r="N172" i="44"/>
  <c r="M172" i="44" s="1"/>
  <c r="N161" i="44"/>
  <c r="M161" i="44" s="1"/>
  <c r="N157" i="44"/>
  <c r="M157" i="44" s="1"/>
  <c r="D22" i="55"/>
  <c r="N148" i="44"/>
  <c r="N147" i="44"/>
  <c r="N146" i="44"/>
  <c r="N145" i="44"/>
  <c r="N144" i="44"/>
  <c r="N143" i="44"/>
  <c r="N142" i="44"/>
  <c r="N141" i="44"/>
  <c r="N140" i="44"/>
  <c r="N139" i="44"/>
  <c r="N138" i="44"/>
  <c r="N137" i="44"/>
  <c r="N136" i="44"/>
  <c r="N135" i="44"/>
  <c r="N134" i="44"/>
  <c r="N133" i="44"/>
  <c r="N132" i="44"/>
  <c r="N131" i="44"/>
  <c r="N130" i="44"/>
  <c r="N129" i="44"/>
  <c r="N128" i="44"/>
  <c r="N127" i="44"/>
  <c r="N126" i="44"/>
  <c r="N125" i="44"/>
  <c r="N124" i="44"/>
  <c r="N123" i="44"/>
  <c r="N122" i="44"/>
  <c r="N121" i="44"/>
  <c r="N120" i="44"/>
  <c r="N119" i="44"/>
  <c r="N118" i="44"/>
  <c r="L181" i="44"/>
  <c r="K181" i="44"/>
  <c r="J181" i="44"/>
  <c r="X16" i="59"/>
  <c r="X112" i="59" s="1"/>
  <c r="H34" i="59"/>
  <c r="W34" i="59" s="1"/>
  <c r="X51" i="59"/>
  <c r="Z51" i="59" s="1"/>
  <c r="X52" i="59"/>
  <c r="F23" i="55" l="1"/>
  <c r="M181" i="44"/>
  <c r="Z16" i="59"/>
  <c r="G24" i="42"/>
  <c r="N181" i="44"/>
  <c r="M81" i="44"/>
  <c r="M926" i="44" s="1"/>
  <c r="K52" i="44"/>
  <c r="D21" i="55"/>
  <c r="F22" i="55" s="1"/>
  <c r="L86" i="44"/>
  <c r="K86" i="44"/>
  <c r="J86" i="44"/>
  <c r="I86" i="44"/>
  <c r="W21" i="59"/>
  <c r="W51" i="59"/>
  <c r="H14" i="59"/>
  <c r="W14" i="59" s="1"/>
  <c r="W13" i="59"/>
  <c r="W52" i="59"/>
  <c r="AD9" i="59"/>
  <c r="M86" i="44" l="1"/>
  <c r="W12" i="59"/>
  <c r="B20" i="55" l="1"/>
  <c r="D20" i="55" s="1"/>
  <c r="F21" i="55" s="1"/>
  <c r="AI98" i="59"/>
  <c r="AH98" i="59"/>
  <c r="AG98" i="59"/>
  <c r="AE98" i="59"/>
  <c r="AD98" i="59"/>
  <c r="AB98" i="59"/>
  <c r="AA98" i="59"/>
  <c r="Z98" i="59"/>
  <c r="W98" i="59"/>
  <c r="AI109" i="59"/>
  <c r="AH109" i="59"/>
  <c r="AG109" i="59"/>
  <c r="AE109" i="59"/>
  <c r="AD109" i="59"/>
  <c r="AB109" i="59"/>
  <c r="AA109" i="59"/>
  <c r="Z109" i="59"/>
  <c r="W109" i="59"/>
  <c r="AI108" i="59"/>
  <c r="AH108" i="59"/>
  <c r="AG108" i="59"/>
  <c r="AE108" i="59"/>
  <c r="AD108" i="59"/>
  <c r="AB108" i="59"/>
  <c r="AA108" i="59"/>
  <c r="Z108" i="59"/>
  <c r="W108" i="59"/>
  <c r="AI107" i="59"/>
  <c r="AH107" i="59"/>
  <c r="AG107" i="59"/>
  <c r="AE107" i="59"/>
  <c r="AD107" i="59"/>
  <c r="AB107" i="59"/>
  <c r="AA107" i="59"/>
  <c r="Z107" i="59"/>
  <c r="W107" i="59"/>
  <c r="AI106" i="59"/>
  <c r="AH106" i="59"/>
  <c r="AG106" i="59"/>
  <c r="AE106" i="59"/>
  <c r="AD106" i="59"/>
  <c r="AB106" i="59"/>
  <c r="AA106" i="59"/>
  <c r="Z106" i="59"/>
  <c r="W106" i="59"/>
  <c r="AI105" i="59"/>
  <c r="AH105" i="59"/>
  <c r="AG105" i="59"/>
  <c r="AE105" i="59"/>
  <c r="AD105" i="59"/>
  <c r="AB105" i="59"/>
  <c r="AA105" i="59"/>
  <c r="Z105" i="59"/>
  <c r="W105" i="59"/>
  <c r="H86" i="59"/>
  <c r="M928" i="44"/>
  <c r="N927" i="44"/>
  <c r="M927" i="44"/>
  <c r="K927" i="44"/>
  <c r="J927" i="44"/>
  <c r="I927" i="44"/>
  <c r="N69" i="44"/>
  <c r="N68" i="44"/>
  <c r="N67" i="44"/>
  <c r="N66" i="44"/>
  <c r="N65" i="44"/>
  <c r="N64" i="44"/>
  <c r="N63" i="44"/>
  <c r="N62" i="44"/>
  <c r="N61" i="44"/>
  <c r="N60" i="44"/>
  <c r="N59" i="44"/>
  <c r="N58" i="44"/>
  <c r="N57" i="44"/>
  <c r="N56" i="44"/>
  <c r="N55" i="44"/>
  <c r="N54" i="44"/>
  <c r="N53" i="44"/>
  <c r="L52" i="44"/>
  <c r="J52" i="44"/>
  <c r="I52" i="44"/>
  <c r="K8" i="56" l="1"/>
  <c r="K12" i="56" s="1"/>
  <c r="W86" i="59"/>
  <c r="H112" i="59"/>
  <c r="G22" i="42"/>
  <c r="N86" i="44"/>
  <c r="AL109" i="59"/>
  <c r="AL107" i="59"/>
  <c r="AL98" i="59"/>
  <c r="AK98" i="59"/>
  <c r="AL106" i="59"/>
  <c r="AK109" i="59"/>
  <c r="AL105" i="59"/>
  <c r="AL108" i="59"/>
  <c r="AK108" i="59"/>
  <c r="AK107" i="59"/>
  <c r="AK106" i="59"/>
  <c r="AK105" i="59"/>
  <c r="D19" i="55"/>
  <c r="F20" i="55" s="1"/>
  <c r="O117" i="44" l="1"/>
  <c r="L32" i="44"/>
  <c r="K32" i="44"/>
  <c r="J32" i="44"/>
  <c r="I32" i="44"/>
  <c r="N45" i="44"/>
  <c r="N44" i="44"/>
  <c r="N43" i="44"/>
  <c r="N42" i="44"/>
  <c r="N41" i="44"/>
  <c r="N40" i="44"/>
  <c r="N39" i="44"/>
  <c r="N38" i="44"/>
  <c r="N37" i="44"/>
  <c r="N36" i="44"/>
  <c r="N35" i="44"/>
  <c r="N34" i="44"/>
  <c r="N33" i="44"/>
  <c r="AI103" i="59"/>
  <c r="AH103" i="59"/>
  <c r="AG103" i="59"/>
  <c r="AE103" i="59"/>
  <c r="AD103" i="59"/>
  <c r="AB103" i="59"/>
  <c r="AA103" i="59"/>
  <c r="Z103" i="59"/>
  <c r="W103" i="59"/>
  <c r="AI102" i="59"/>
  <c r="AH102" i="59"/>
  <c r="AG102" i="59"/>
  <c r="AE102" i="59"/>
  <c r="AD102" i="59"/>
  <c r="AB102" i="59"/>
  <c r="AA102" i="59"/>
  <c r="Z102" i="59"/>
  <c r="W102" i="59"/>
  <c r="AI101" i="59"/>
  <c r="AH101" i="59"/>
  <c r="AG101" i="59"/>
  <c r="AE101" i="59"/>
  <c r="AD101" i="59"/>
  <c r="AB101" i="59"/>
  <c r="AA101" i="59"/>
  <c r="Z101" i="59"/>
  <c r="W101" i="59"/>
  <c r="AL103" i="59" l="1"/>
  <c r="AK102" i="59"/>
  <c r="AL102" i="59"/>
  <c r="AL101" i="59"/>
  <c r="AK103" i="59"/>
  <c r="AK101" i="59"/>
  <c r="W100" i="59" l="1"/>
  <c r="W99" i="59"/>
  <c r="W97" i="59"/>
  <c r="W96" i="59"/>
  <c r="W95" i="59"/>
  <c r="W59" i="59"/>
  <c r="W90" i="59"/>
  <c r="W88" i="59"/>
  <c r="W87" i="59"/>
  <c r="W82" i="59"/>
  <c r="W81" i="59"/>
  <c r="W78" i="59"/>
  <c r="W77" i="59"/>
  <c r="W76" i="59"/>
  <c r="W75" i="59"/>
  <c r="W74" i="59"/>
  <c r="W73" i="59"/>
  <c r="W70" i="59"/>
  <c r="W69" i="59"/>
  <c r="W66" i="59"/>
  <c r="W58" i="59"/>
  <c r="W57" i="59"/>
  <c r="W54" i="59"/>
  <c r="W53" i="59"/>
  <c r="W46" i="59"/>
  <c r="W45" i="59"/>
  <c r="W44" i="59"/>
  <c r="W43" i="59"/>
  <c r="W36" i="59"/>
  <c r="W35" i="59"/>
  <c r="W27" i="59"/>
  <c r="B18" i="55" l="1"/>
  <c r="D18" i="55" s="1"/>
  <c r="F19" i="55" s="1"/>
  <c r="W39" i="59"/>
  <c r="AD19" i="59"/>
  <c r="K19" i="44"/>
  <c r="J19" i="44"/>
  <c r="I19" i="44"/>
  <c r="N18" i="44"/>
  <c r="N19" i="44" s="1"/>
  <c r="N31" i="44"/>
  <c r="N30" i="44"/>
  <c r="N29" i="44"/>
  <c r="N28" i="44"/>
  <c r="N27" i="44"/>
  <c r="N26" i="44"/>
  <c r="N25" i="44"/>
  <c r="N24" i="44"/>
  <c r="N23" i="44"/>
  <c r="N22" i="44"/>
  <c r="N21" i="44"/>
  <c r="N20" i="44"/>
  <c r="D17" i="55"/>
  <c r="N14" i="44"/>
  <c r="K17" i="44"/>
  <c r="J17" i="44"/>
  <c r="I17" i="44"/>
  <c r="G20" i="42" l="1"/>
  <c r="N32" i="44"/>
  <c r="F18" i="55"/>
  <c r="D16" i="55" l="1"/>
  <c r="F17" i="55" s="1"/>
  <c r="K15" i="44"/>
  <c r="J15" i="44"/>
  <c r="I15" i="44"/>
  <c r="N15" i="44"/>
  <c r="AI104" i="59"/>
  <c r="AH104" i="59"/>
  <c r="AG104" i="59"/>
  <c r="AE104" i="59"/>
  <c r="AD104" i="59"/>
  <c r="AB104" i="59"/>
  <c r="AA104" i="59"/>
  <c r="Z104" i="59"/>
  <c r="AI100" i="59"/>
  <c r="AH100" i="59"/>
  <c r="AG100" i="59"/>
  <c r="AE100" i="59"/>
  <c r="AD100" i="59"/>
  <c r="AB100" i="59"/>
  <c r="AA100" i="59"/>
  <c r="Z100" i="59"/>
  <c r="AI99" i="59"/>
  <c r="AH99" i="59"/>
  <c r="AG99" i="59"/>
  <c r="AE99" i="59"/>
  <c r="AD99" i="59"/>
  <c r="AB99" i="59"/>
  <c r="AA99" i="59"/>
  <c r="Z99" i="59"/>
  <c r="AI53" i="59"/>
  <c r="AH53" i="59"/>
  <c r="AG53" i="59"/>
  <c r="AE53" i="59"/>
  <c r="AD53" i="59"/>
  <c r="AB53" i="59"/>
  <c r="AA53" i="59"/>
  <c r="Z53" i="59"/>
  <c r="AI24" i="59"/>
  <c r="AH24" i="59"/>
  <c r="AG24" i="59"/>
  <c r="AE24" i="59"/>
  <c r="AD24" i="59"/>
  <c r="AB24" i="59"/>
  <c r="AA24" i="59"/>
  <c r="Z24" i="59"/>
  <c r="AI97" i="59"/>
  <c r="AH97" i="59"/>
  <c r="AG97" i="59"/>
  <c r="AE97" i="59"/>
  <c r="AD97" i="59"/>
  <c r="AB97" i="59"/>
  <c r="AA97" i="59"/>
  <c r="Z97" i="59"/>
  <c r="AI77" i="59"/>
  <c r="AH77" i="59"/>
  <c r="AG77" i="59"/>
  <c r="AE77" i="59"/>
  <c r="AD77" i="59"/>
  <c r="AB77" i="59"/>
  <c r="AA77" i="59"/>
  <c r="Z77" i="59"/>
  <c r="AI57" i="59"/>
  <c r="AH57" i="59"/>
  <c r="AG57" i="59"/>
  <c r="AE57" i="59"/>
  <c r="AD57" i="59"/>
  <c r="AB57" i="59"/>
  <c r="AA57" i="59"/>
  <c r="Z57" i="59"/>
  <c r="AI96" i="59"/>
  <c r="AH96" i="59"/>
  <c r="AG96" i="59"/>
  <c r="AE96" i="59"/>
  <c r="AD96" i="59"/>
  <c r="AB96" i="59"/>
  <c r="AA96" i="59"/>
  <c r="Z96" i="59"/>
  <c r="AI95" i="59"/>
  <c r="AH95" i="59"/>
  <c r="AG95" i="59"/>
  <c r="AE95" i="59"/>
  <c r="AD95" i="59"/>
  <c r="AB95" i="59"/>
  <c r="AA95" i="59"/>
  <c r="Z95" i="59"/>
  <c r="AI59" i="59"/>
  <c r="AH59" i="59"/>
  <c r="AG59" i="59"/>
  <c r="AE59" i="59"/>
  <c r="AD59" i="59"/>
  <c r="AB59" i="59"/>
  <c r="AA59" i="59"/>
  <c r="Z59" i="59"/>
  <c r="AI86" i="59"/>
  <c r="AH86" i="59"/>
  <c r="AG86" i="59"/>
  <c r="AE86" i="59"/>
  <c r="AD86" i="59"/>
  <c r="AB86" i="59"/>
  <c r="AA86" i="59"/>
  <c r="Z86" i="59"/>
  <c r="AI94" i="59"/>
  <c r="AH94" i="59"/>
  <c r="AG94" i="59"/>
  <c r="AE94" i="59"/>
  <c r="AD94" i="59"/>
  <c r="AB94" i="59"/>
  <c r="AA94" i="59"/>
  <c r="Z94" i="59"/>
  <c r="AI93" i="59"/>
  <c r="AH93" i="59"/>
  <c r="AG93" i="59"/>
  <c r="AE93" i="59"/>
  <c r="AD93" i="59"/>
  <c r="AB93" i="59"/>
  <c r="AA93" i="59"/>
  <c r="Z93" i="59"/>
  <c r="AI92" i="59"/>
  <c r="AH92" i="59"/>
  <c r="AG92" i="59"/>
  <c r="AE92" i="59"/>
  <c r="AD92" i="59"/>
  <c r="AB92" i="59"/>
  <c r="AA92" i="59"/>
  <c r="Z92" i="59"/>
  <c r="AI91" i="59"/>
  <c r="AH91" i="59"/>
  <c r="AG91" i="59"/>
  <c r="AE91" i="59"/>
  <c r="AD91" i="59"/>
  <c r="AB91" i="59"/>
  <c r="AA91" i="59"/>
  <c r="Z91" i="59"/>
  <c r="AI90" i="59"/>
  <c r="AH90" i="59"/>
  <c r="AG90" i="59"/>
  <c r="AE90" i="59"/>
  <c r="AD90" i="59"/>
  <c r="AB90" i="59"/>
  <c r="AA90" i="59"/>
  <c r="AI89" i="59"/>
  <c r="AH89" i="59"/>
  <c r="AG89" i="59"/>
  <c r="AE89" i="59"/>
  <c r="AD89" i="59"/>
  <c r="AB89" i="59"/>
  <c r="AA89" i="59"/>
  <c r="Z89" i="59"/>
  <c r="AI88" i="59"/>
  <c r="AH88" i="59"/>
  <c r="AG88" i="59"/>
  <c r="AE88" i="59"/>
  <c r="AD88" i="59"/>
  <c r="AB88" i="59"/>
  <c r="AA88" i="59"/>
  <c r="Z88" i="59"/>
  <c r="AI87" i="59"/>
  <c r="AH87" i="59"/>
  <c r="AG87" i="59"/>
  <c r="AE87" i="59"/>
  <c r="AD87" i="59"/>
  <c r="AB87" i="59"/>
  <c r="AA87" i="59"/>
  <c r="Z87" i="59"/>
  <c r="AI85" i="59"/>
  <c r="AH85" i="59"/>
  <c r="AG85" i="59"/>
  <c r="AE85" i="59"/>
  <c r="AD85" i="59"/>
  <c r="AB85" i="59"/>
  <c r="AA85" i="59"/>
  <c r="Z85" i="59"/>
  <c r="AI84" i="59"/>
  <c r="AH84" i="59"/>
  <c r="AG84" i="59"/>
  <c r="AE84" i="59"/>
  <c r="AD84" i="59"/>
  <c r="AB84" i="59"/>
  <c r="AA84" i="59"/>
  <c r="Z84" i="59"/>
  <c r="AI82" i="59"/>
  <c r="AH82" i="59"/>
  <c r="AG82" i="59"/>
  <c r="AE82" i="59"/>
  <c r="AD82" i="59"/>
  <c r="AB82" i="59"/>
  <c r="AA82" i="59"/>
  <c r="Z82" i="59"/>
  <c r="AI81" i="59"/>
  <c r="AH81" i="59"/>
  <c r="AG81" i="59"/>
  <c r="AE81" i="59"/>
  <c r="AD81" i="59"/>
  <c r="AB81" i="59"/>
  <c r="AA81" i="59"/>
  <c r="Z81" i="59"/>
  <c r="AI80" i="59"/>
  <c r="AH80" i="59"/>
  <c r="AG80" i="59"/>
  <c r="AE80" i="59"/>
  <c r="AD80" i="59"/>
  <c r="AB80" i="59"/>
  <c r="AA80" i="59"/>
  <c r="Z80" i="59"/>
  <c r="AI79" i="59"/>
  <c r="AH79" i="59"/>
  <c r="AG79" i="59"/>
  <c r="AE79" i="59"/>
  <c r="AD79" i="59"/>
  <c r="AB79" i="59"/>
  <c r="AA79" i="59"/>
  <c r="Z79" i="59"/>
  <c r="AI78" i="59"/>
  <c r="AH78" i="59"/>
  <c r="AG78" i="59"/>
  <c r="AE78" i="59"/>
  <c r="AD78" i="59"/>
  <c r="AB78" i="59"/>
  <c r="AA78" i="59"/>
  <c r="Z78" i="59"/>
  <c r="AI76" i="59"/>
  <c r="AH76" i="59"/>
  <c r="AG76" i="59"/>
  <c r="AE76" i="59"/>
  <c r="AD76" i="59"/>
  <c r="AB76" i="59"/>
  <c r="AA76" i="59"/>
  <c r="Z76" i="59"/>
  <c r="AI75" i="59"/>
  <c r="AH75" i="59"/>
  <c r="AG75" i="59"/>
  <c r="AE75" i="59"/>
  <c r="AD75" i="59"/>
  <c r="AB75" i="59"/>
  <c r="AA75" i="59"/>
  <c r="Z75" i="59"/>
  <c r="AI74" i="59"/>
  <c r="AH74" i="59"/>
  <c r="AG74" i="59"/>
  <c r="AE74" i="59"/>
  <c r="AD74" i="59"/>
  <c r="AB74" i="59"/>
  <c r="AA74" i="59"/>
  <c r="Z74" i="59"/>
  <c r="AI73" i="59"/>
  <c r="AH73" i="59"/>
  <c r="AG73" i="59"/>
  <c r="AE73" i="59"/>
  <c r="AD73" i="59"/>
  <c r="AB73" i="59"/>
  <c r="AA73" i="59"/>
  <c r="Z73" i="59"/>
  <c r="AI72" i="59"/>
  <c r="AH72" i="59"/>
  <c r="AG72" i="59"/>
  <c r="AE72" i="59"/>
  <c r="AD72" i="59"/>
  <c r="AB72" i="59"/>
  <c r="AA72" i="59"/>
  <c r="Z72" i="59"/>
  <c r="AI71" i="59"/>
  <c r="AH71" i="59"/>
  <c r="AG71" i="59"/>
  <c r="AE71" i="59"/>
  <c r="AD71" i="59"/>
  <c r="AB71" i="59"/>
  <c r="AA71" i="59"/>
  <c r="Z71" i="59"/>
  <c r="AI70" i="59"/>
  <c r="AH70" i="59"/>
  <c r="AG70" i="59"/>
  <c r="AE70" i="59"/>
  <c r="AD70" i="59"/>
  <c r="AB70" i="59"/>
  <c r="AA70" i="59"/>
  <c r="Z70" i="59"/>
  <c r="AI69" i="59"/>
  <c r="AH69" i="59"/>
  <c r="AG69" i="59"/>
  <c r="AE69" i="59"/>
  <c r="AD69" i="59"/>
  <c r="AB69" i="59"/>
  <c r="AA69" i="59"/>
  <c r="Z69" i="59"/>
  <c r="AI68" i="59"/>
  <c r="AH68" i="59"/>
  <c r="AG68" i="59"/>
  <c r="AE68" i="59"/>
  <c r="AD68" i="59"/>
  <c r="AB68" i="59"/>
  <c r="AA68" i="59"/>
  <c r="Z68" i="59"/>
  <c r="AI67" i="59"/>
  <c r="AH67" i="59"/>
  <c r="AG67" i="59"/>
  <c r="AE67" i="59"/>
  <c r="AD67" i="59"/>
  <c r="AB67" i="59"/>
  <c r="AA67" i="59"/>
  <c r="Z67" i="59"/>
  <c r="AI66" i="59"/>
  <c r="AH66" i="59"/>
  <c r="AG66" i="59"/>
  <c r="AE66" i="59"/>
  <c r="AD66" i="59"/>
  <c r="AB66" i="59"/>
  <c r="AA66" i="59"/>
  <c r="Z66" i="59"/>
  <c r="AI65" i="59"/>
  <c r="AH65" i="59"/>
  <c r="AG65" i="59"/>
  <c r="AE65" i="59"/>
  <c r="AD65" i="59"/>
  <c r="AB65" i="59"/>
  <c r="AA65" i="59"/>
  <c r="Z65" i="59"/>
  <c r="AI61" i="59"/>
  <c r="AH61" i="59"/>
  <c r="AG61" i="59"/>
  <c r="AE61" i="59"/>
  <c r="AD61" i="59"/>
  <c r="AB61" i="59"/>
  <c r="AA61" i="59"/>
  <c r="Z61" i="59"/>
  <c r="AI60" i="59"/>
  <c r="AH60" i="59"/>
  <c r="AG60" i="59"/>
  <c r="AE60" i="59"/>
  <c r="AD60" i="59"/>
  <c r="AB60" i="59"/>
  <c r="AA60" i="59"/>
  <c r="Z60" i="59"/>
  <c r="AI58" i="59"/>
  <c r="AH58" i="59"/>
  <c r="AG58" i="59"/>
  <c r="AE58" i="59"/>
  <c r="AD58" i="59"/>
  <c r="AB58" i="59"/>
  <c r="AA58" i="59"/>
  <c r="Z58" i="59"/>
  <c r="AI56" i="59"/>
  <c r="AH56" i="59"/>
  <c r="AG56" i="59"/>
  <c r="AE56" i="59"/>
  <c r="AD56" i="59"/>
  <c r="AB56" i="59"/>
  <c r="AA56" i="59"/>
  <c r="Z56" i="59"/>
  <c r="AI55" i="59"/>
  <c r="AH55" i="59"/>
  <c r="AG55" i="59"/>
  <c r="AE55" i="59"/>
  <c r="AD55" i="59"/>
  <c r="AB55" i="59"/>
  <c r="AA55" i="59"/>
  <c r="Z55" i="59"/>
  <c r="AI54" i="59"/>
  <c r="AH54" i="59"/>
  <c r="AG54" i="59"/>
  <c r="AE54" i="59"/>
  <c r="AD54" i="59"/>
  <c r="AB54" i="59"/>
  <c r="AA54" i="59"/>
  <c r="Z54" i="59"/>
  <c r="AI52" i="59"/>
  <c r="AH52" i="59"/>
  <c r="AG52" i="59"/>
  <c r="AE52" i="59"/>
  <c r="AD52" i="59"/>
  <c r="AB52" i="59"/>
  <c r="AA52" i="59"/>
  <c r="Z52" i="59"/>
  <c r="AI51" i="59"/>
  <c r="AH51" i="59"/>
  <c r="AG51" i="59"/>
  <c r="AE51" i="59"/>
  <c r="AD51" i="59"/>
  <c r="AB51" i="59"/>
  <c r="AA51" i="59"/>
  <c r="AI50" i="59"/>
  <c r="AH50" i="59"/>
  <c r="AG50" i="59"/>
  <c r="AE50" i="59"/>
  <c r="AD50" i="59"/>
  <c r="AB50" i="59"/>
  <c r="AA50" i="59"/>
  <c r="Z50" i="59"/>
  <c r="AI49" i="59"/>
  <c r="AH49" i="59"/>
  <c r="AG49" i="59"/>
  <c r="AE49" i="59"/>
  <c r="AD49" i="59"/>
  <c r="AB49" i="59"/>
  <c r="AA49" i="59"/>
  <c r="Z49" i="59"/>
  <c r="AI48" i="59"/>
  <c r="AH48" i="59"/>
  <c r="AG48" i="59"/>
  <c r="AE48" i="59"/>
  <c r="AD48" i="59"/>
  <c r="AB48" i="59"/>
  <c r="AA48" i="59"/>
  <c r="Z48" i="59"/>
  <c r="AI47" i="59"/>
  <c r="AH47" i="59"/>
  <c r="AG47" i="59"/>
  <c r="AE47" i="59"/>
  <c r="AD47" i="59"/>
  <c r="AB47" i="59"/>
  <c r="AA47" i="59"/>
  <c r="Z47" i="59"/>
  <c r="AI46" i="59"/>
  <c r="AH46" i="59"/>
  <c r="AG46" i="59"/>
  <c r="AE46" i="59"/>
  <c r="AD46" i="59"/>
  <c r="AB46" i="59"/>
  <c r="AA46" i="59"/>
  <c r="Z46" i="59"/>
  <c r="AI45" i="59"/>
  <c r="AH45" i="59"/>
  <c r="AG45" i="59"/>
  <c r="AE45" i="59"/>
  <c r="AD45" i="59"/>
  <c r="AB45" i="59"/>
  <c r="AA45" i="59"/>
  <c r="Z45" i="59"/>
  <c r="AI44" i="59"/>
  <c r="AH44" i="59"/>
  <c r="AG44" i="59"/>
  <c r="AE44" i="59"/>
  <c r="AD44" i="59"/>
  <c r="AB44" i="59"/>
  <c r="AA44" i="59"/>
  <c r="Z44" i="59"/>
  <c r="AI43" i="59"/>
  <c r="AH43" i="59"/>
  <c r="AG43" i="59"/>
  <c r="AE43" i="59"/>
  <c r="AD43" i="59"/>
  <c r="AB43" i="59"/>
  <c r="AA43" i="59"/>
  <c r="Z43" i="59"/>
  <c r="AI42" i="59"/>
  <c r="AH42" i="59"/>
  <c r="AG42" i="59"/>
  <c r="AE42" i="59"/>
  <c r="AD42" i="59"/>
  <c r="AB42" i="59"/>
  <c r="AA42" i="59"/>
  <c r="Z42" i="59"/>
  <c r="AI41" i="59"/>
  <c r="AH41" i="59"/>
  <c r="AG41" i="59"/>
  <c r="AE41" i="59"/>
  <c r="AD41" i="59"/>
  <c r="AB41" i="59"/>
  <c r="AA41" i="59"/>
  <c r="Z41" i="59"/>
  <c r="AI40" i="59"/>
  <c r="AH40" i="59"/>
  <c r="AG40" i="59"/>
  <c r="AE40" i="59"/>
  <c r="AD40" i="59"/>
  <c r="AB40" i="59"/>
  <c r="AA40" i="59"/>
  <c r="Z40" i="59"/>
  <c r="AI39" i="59"/>
  <c r="AH39" i="59"/>
  <c r="AG39" i="59"/>
  <c r="AE39" i="59"/>
  <c r="AD39" i="59"/>
  <c r="AB39" i="59"/>
  <c r="AA39" i="59"/>
  <c r="Z39" i="59"/>
  <c r="AI38" i="59"/>
  <c r="AH38" i="59"/>
  <c r="AG38" i="59"/>
  <c r="AE38" i="59"/>
  <c r="AD38" i="59"/>
  <c r="AB38" i="59"/>
  <c r="AA38" i="59"/>
  <c r="Z38" i="59"/>
  <c r="AI37" i="59"/>
  <c r="AH37" i="59"/>
  <c r="AG37" i="59"/>
  <c r="AE37" i="59"/>
  <c r="AD37" i="59"/>
  <c r="AB37" i="59"/>
  <c r="AA37" i="59"/>
  <c r="Z37" i="59"/>
  <c r="AI36" i="59"/>
  <c r="AH36" i="59"/>
  <c r="AG36" i="59"/>
  <c r="AE36" i="59"/>
  <c r="AD36" i="59"/>
  <c r="AB36" i="59"/>
  <c r="AA36" i="59"/>
  <c r="Z36" i="59"/>
  <c r="AI35" i="59"/>
  <c r="AH35" i="59"/>
  <c r="AG35" i="59"/>
  <c r="AE35" i="59"/>
  <c r="AD35" i="59"/>
  <c r="AB35" i="59"/>
  <c r="AA35" i="59"/>
  <c r="Z35" i="59"/>
  <c r="AI34" i="59"/>
  <c r="AH34" i="59"/>
  <c r="AG34" i="59"/>
  <c r="AE34" i="59"/>
  <c r="AD34" i="59"/>
  <c r="AB34" i="59"/>
  <c r="AA34" i="59"/>
  <c r="Z34" i="59"/>
  <c r="AH33" i="59"/>
  <c r="AG33" i="59"/>
  <c r="AE33" i="59"/>
  <c r="AD33" i="59"/>
  <c r="AB33" i="59"/>
  <c r="AA33" i="59"/>
  <c r="Z33" i="59"/>
  <c r="AH32" i="59"/>
  <c r="AG32" i="59"/>
  <c r="AE32" i="59"/>
  <c r="AD32" i="59"/>
  <c r="AB32" i="59"/>
  <c r="AA32" i="59"/>
  <c r="Z32" i="59"/>
  <c r="AI31" i="59"/>
  <c r="AH31" i="59"/>
  <c r="AG31" i="59"/>
  <c r="AE31" i="59"/>
  <c r="AD31" i="59"/>
  <c r="AB31" i="59"/>
  <c r="AA31" i="59"/>
  <c r="Z31" i="59"/>
  <c r="AH30" i="59"/>
  <c r="AG30" i="59"/>
  <c r="AE30" i="59"/>
  <c r="AD30" i="59"/>
  <c r="AB30" i="59"/>
  <c r="AA30" i="59"/>
  <c r="Z30" i="59"/>
  <c r="AI29" i="59"/>
  <c r="AH29" i="59"/>
  <c r="AG29" i="59"/>
  <c r="AE29" i="59"/>
  <c r="AD29" i="59"/>
  <c r="AB29" i="59"/>
  <c r="AA29" i="59"/>
  <c r="Z29" i="59"/>
  <c r="AI28" i="59"/>
  <c r="AH28" i="59"/>
  <c r="AG28" i="59"/>
  <c r="AE28" i="59"/>
  <c r="AD28" i="59"/>
  <c r="AB28" i="59"/>
  <c r="AA28" i="59"/>
  <c r="Z28" i="59"/>
  <c r="AI27" i="59"/>
  <c r="AH27" i="59"/>
  <c r="AG27" i="59"/>
  <c r="AE27" i="59"/>
  <c r="AD27" i="59"/>
  <c r="AB27" i="59"/>
  <c r="AA27" i="59"/>
  <c r="Z27" i="59"/>
  <c r="AI26" i="59"/>
  <c r="AH26" i="59"/>
  <c r="AG26" i="59"/>
  <c r="AE26" i="59"/>
  <c r="AD26" i="59"/>
  <c r="AB26" i="59"/>
  <c r="AA26" i="59"/>
  <c r="Z26" i="59"/>
  <c r="AI25" i="59"/>
  <c r="AH25" i="59"/>
  <c r="AG25" i="59"/>
  <c r="AE25" i="59"/>
  <c r="AD25" i="59"/>
  <c r="AB25" i="59"/>
  <c r="AA25" i="59"/>
  <c r="Z25" i="59"/>
  <c r="AI23" i="59"/>
  <c r="AH23" i="59"/>
  <c r="AG23" i="59"/>
  <c r="AE23" i="59"/>
  <c r="AD23" i="59"/>
  <c r="AB23" i="59"/>
  <c r="AA23" i="59"/>
  <c r="Z23" i="59"/>
  <c r="AI22" i="59"/>
  <c r="AH22" i="59"/>
  <c r="AG22" i="59"/>
  <c r="AE22" i="59"/>
  <c r="AD22" i="59"/>
  <c r="AB22" i="59"/>
  <c r="AA22" i="59"/>
  <c r="Z22" i="59"/>
  <c r="AI21" i="59"/>
  <c r="AH21" i="59"/>
  <c r="AG21" i="59"/>
  <c r="AE21" i="59"/>
  <c r="AD21" i="59"/>
  <c r="AB21" i="59"/>
  <c r="AA21" i="59"/>
  <c r="Z21" i="59"/>
  <c r="AI20" i="59"/>
  <c r="AH20" i="59"/>
  <c r="AG20" i="59"/>
  <c r="AE20" i="59"/>
  <c r="AD20" i="59"/>
  <c r="AB20" i="59"/>
  <c r="AA20" i="59"/>
  <c r="Z20" i="59"/>
  <c r="AI19" i="59"/>
  <c r="AH19" i="59"/>
  <c r="AG19" i="59"/>
  <c r="AE19" i="59"/>
  <c r="AB19" i="59"/>
  <c r="AA19" i="59"/>
  <c r="Z19" i="59"/>
  <c r="AI18" i="59"/>
  <c r="AH18" i="59"/>
  <c r="AG18" i="59"/>
  <c r="AE18" i="59"/>
  <c r="AD18" i="59"/>
  <c r="AB18" i="59"/>
  <c r="AA18" i="59"/>
  <c r="Z18" i="59"/>
  <c r="AI17" i="59"/>
  <c r="AH17" i="59"/>
  <c r="AG17" i="59"/>
  <c r="AE17" i="59"/>
  <c r="AD17" i="59"/>
  <c r="AB17" i="59"/>
  <c r="AA17" i="59"/>
  <c r="Z17" i="59"/>
  <c r="AI16" i="59"/>
  <c r="AH16" i="59"/>
  <c r="AG16" i="59"/>
  <c r="AE16" i="59"/>
  <c r="AD16" i="59"/>
  <c r="AB16" i="59"/>
  <c r="AA16" i="59"/>
  <c r="AI15" i="59"/>
  <c r="AH15" i="59"/>
  <c r="AG15" i="59"/>
  <c r="AE15" i="59"/>
  <c r="AD15" i="59"/>
  <c r="AB15" i="59"/>
  <c r="AA15" i="59"/>
  <c r="Z15" i="59"/>
  <c r="AI14" i="59"/>
  <c r="AH14" i="59"/>
  <c r="AG14" i="59"/>
  <c r="AE14" i="59"/>
  <c r="AD14" i="59"/>
  <c r="AB14" i="59"/>
  <c r="AA14" i="59"/>
  <c r="Z14" i="59"/>
  <c r="AI13" i="59"/>
  <c r="AH13" i="59"/>
  <c r="AG13" i="59"/>
  <c r="AE13" i="59"/>
  <c r="AD13" i="59"/>
  <c r="AB13" i="59"/>
  <c r="AA13" i="59"/>
  <c r="Z13" i="59"/>
  <c r="AI12" i="59"/>
  <c r="AH12" i="59"/>
  <c r="AG12" i="59"/>
  <c r="AE12" i="59"/>
  <c r="AD12" i="59"/>
  <c r="AB12" i="59"/>
  <c r="AA12" i="59"/>
  <c r="Z12" i="59"/>
  <c r="AI11" i="59"/>
  <c r="AH11" i="59"/>
  <c r="AG11" i="59"/>
  <c r="AE11" i="59"/>
  <c r="AD11" i="59"/>
  <c r="AB11" i="59"/>
  <c r="AA11" i="59"/>
  <c r="Z11" i="59"/>
  <c r="AI10" i="59"/>
  <c r="AH10" i="59"/>
  <c r="AG10" i="59"/>
  <c r="AE10" i="59"/>
  <c r="AD10" i="59"/>
  <c r="AB10" i="59"/>
  <c r="AA10" i="59"/>
  <c r="W19" i="59"/>
  <c r="Z112" i="59" l="1"/>
  <c r="AK61" i="59"/>
  <c r="AD112" i="59"/>
  <c r="AL15" i="59"/>
  <c r="AL13" i="59"/>
  <c r="AK39" i="59"/>
  <c r="AK40" i="59"/>
  <c r="AK41" i="59"/>
  <c r="AL42" i="59"/>
  <c r="AK43" i="59"/>
  <c r="AK44" i="59"/>
  <c r="AK45" i="59"/>
  <c r="AK46" i="59"/>
  <c r="AK47" i="59"/>
  <c r="AK48" i="59"/>
  <c r="AK49" i="59"/>
  <c r="AK51" i="59"/>
  <c r="AK52" i="59"/>
  <c r="AL54" i="59"/>
  <c r="AK55" i="59"/>
  <c r="AL58" i="59"/>
  <c r="AK60" i="59"/>
  <c r="AK66" i="59"/>
  <c r="AK67" i="59"/>
  <c r="AK68" i="59"/>
  <c r="AK69" i="59"/>
  <c r="AK70" i="59"/>
  <c r="AK71" i="59"/>
  <c r="AK73" i="59"/>
  <c r="AK74" i="59"/>
  <c r="AK75" i="59"/>
  <c r="AK76" i="59"/>
  <c r="AK78" i="59"/>
  <c r="AK79" i="59"/>
  <c r="AK80" i="59"/>
  <c r="AK81" i="59"/>
  <c r="AK82" i="59"/>
  <c r="AL84" i="59"/>
  <c r="AK85" i="59"/>
  <c r="AK87" i="59"/>
  <c r="AK88" i="59"/>
  <c r="AK89" i="59"/>
  <c r="AK90" i="59"/>
  <c r="AK91" i="59"/>
  <c r="AL92" i="59"/>
  <c r="AK93" i="59"/>
  <c r="AK94" i="59"/>
  <c r="AK72" i="59"/>
  <c r="AK65" i="59"/>
  <c r="AK56" i="59"/>
  <c r="AL50" i="59"/>
  <c r="AK86" i="59"/>
  <c r="AK59" i="59"/>
  <c r="AK95" i="59"/>
  <c r="AK96" i="59"/>
  <c r="AL57" i="59"/>
  <c r="AK77" i="59"/>
  <c r="AK97" i="59"/>
  <c r="AK24" i="59"/>
  <c r="AK53" i="59"/>
  <c r="AK99" i="59"/>
  <c r="AK100" i="59"/>
  <c r="AK104" i="59"/>
  <c r="AL35" i="59"/>
  <c r="AL11" i="59"/>
  <c r="AL19" i="59"/>
  <c r="AL23" i="59"/>
  <c r="AL27" i="59"/>
  <c r="AL31" i="59"/>
  <c r="AL12" i="59"/>
  <c r="AL16" i="59"/>
  <c r="AL17" i="59"/>
  <c r="AL20" i="59"/>
  <c r="AL21" i="59"/>
  <c r="AL25" i="59"/>
  <c r="AL28" i="59"/>
  <c r="AL29" i="59"/>
  <c r="AL32" i="59"/>
  <c r="AL33" i="59"/>
  <c r="AL36" i="59"/>
  <c r="AL37" i="59"/>
  <c r="AL52" i="59"/>
  <c r="AL56" i="59"/>
  <c r="AL67" i="59"/>
  <c r="AL70" i="59"/>
  <c r="AL78" i="59"/>
  <c r="AL79" i="59"/>
  <c r="AL82" i="59"/>
  <c r="AL85" i="59"/>
  <c r="AL87" i="59"/>
  <c r="AL90" i="59"/>
  <c r="AL91" i="59"/>
  <c r="AL94" i="59"/>
  <c r="AL86" i="59"/>
  <c r="AL95" i="59"/>
  <c r="AL96" i="59"/>
  <c r="AL97" i="59"/>
  <c r="AL24" i="59"/>
  <c r="AL100" i="59"/>
  <c r="AL104" i="59"/>
  <c r="AL48" i="59"/>
  <c r="AL60" i="59"/>
  <c r="AL51" i="59"/>
  <c r="AL40" i="59"/>
  <c r="AL41" i="59"/>
  <c r="AL44" i="59"/>
  <c r="AL45" i="59"/>
  <c r="AL49" i="59"/>
  <c r="AL61" i="59"/>
  <c r="AL66" i="59"/>
  <c r="AL71" i="59"/>
  <c r="AL74" i="59"/>
  <c r="AL75" i="59"/>
  <c r="AL39" i="59"/>
  <c r="AL43" i="59"/>
  <c r="AL47" i="59"/>
  <c r="AL55" i="59"/>
  <c r="AL65" i="59"/>
  <c r="AL69" i="59"/>
  <c r="AL73" i="59"/>
  <c r="AL81" i="59"/>
  <c r="AL89" i="59"/>
  <c r="AL93" i="59"/>
  <c r="AL59" i="59"/>
  <c r="AL77" i="59"/>
  <c r="AL99" i="59"/>
  <c r="AK10" i="59"/>
  <c r="AK11" i="59"/>
  <c r="AK12" i="59"/>
  <c r="AK13" i="59"/>
  <c r="AK14" i="59"/>
  <c r="AK15" i="59"/>
  <c r="AK16" i="59"/>
  <c r="AK17" i="59"/>
  <c r="AL18" i="59"/>
  <c r="AK19" i="59"/>
  <c r="AK20" i="59"/>
  <c r="AK21" i="59"/>
  <c r="AL22" i="59"/>
  <c r="AK23" i="59"/>
  <c r="AK25" i="59"/>
  <c r="AL26" i="59"/>
  <c r="AK27" i="59"/>
  <c r="AK28" i="59"/>
  <c r="AK29" i="59"/>
  <c r="AL30" i="59"/>
  <c r="AK31" i="59"/>
  <c r="AK32" i="59"/>
  <c r="AK33" i="59"/>
  <c r="AK34" i="59"/>
  <c r="AK35" i="59"/>
  <c r="AK36" i="59"/>
  <c r="AK37" i="59"/>
  <c r="AL38" i="59"/>
  <c r="AK38" i="59"/>
  <c r="AK18" i="59"/>
  <c r="AK26" i="59"/>
  <c r="AK58" i="59"/>
  <c r="AL14" i="59"/>
  <c r="AL34" i="59"/>
  <c r="AL46" i="59"/>
  <c r="AL80" i="59"/>
  <c r="AL88" i="59"/>
  <c r="AK22" i="59"/>
  <c r="AK50" i="59"/>
  <c r="AK57" i="59"/>
  <c r="AL10" i="59"/>
  <c r="AL68" i="59"/>
  <c r="AL76" i="59"/>
  <c r="AL72" i="59"/>
  <c r="AL53" i="59"/>
  <c r="AK30" i="59"/>
  <c r="AK42" i="59"/>
  <c r="AK54" i="59"/>
  <c r="AK92" i="59"/>
  <c r="AK84" i="59"/>
  <c r="D15" i="55" l="1"/>
  <c r="F16" i="55" s="1"/>
  <c r="N16" i="44"/>
  <c r="N17" i="44" s="1"/>
  <c r="K33" i="42" l="1"/>
  <c r="K34" i="42"/>
  <c r="K32" i="42"/>
  <c r="K31" i="42"/>
  <c r="K28" i="42"/>
  <c r="K30" i="42"/>
  <c r="K26" i="42"/>
  <c r="K27" i="42"/>
  <c r="K25" i="42"/>
  <c r="K21" i="42"/>
  <c r="K24" i="42"/>
  <c r="K18" i="42"/>
  <c r="K20" i="42"/>
  <c r="K22" i="42"/>
  <c r="K19" i="42"/>
  <c r="K23" i="42"/>
  <c r="A1" i="55"/>
  <c r="A1" i="44"/>
  <c r="A1" i="57"/>
  <c r="A1" i="59"/>
  <c r="A1" i="54"/>
  <c r="A1" i="56"/>
  <c r="A1" i="42"/>
  <c r="A1" i="60"/>
  <c r="D14" i="58"/>
  <c r="M13" i="44"/>
  <c r="I13" i="44"/>
  <c r="N12" i="44"/>
  <c r="N11" i="44"/>
  <c r="N10" i="44"/>
  <c r="K13" i="44"/>
  <c r="J13" i="44"/>
  <c r="W11" i="59"/>
  <c r="W15" i="59"/>
  <c r="W17" i="59"/>
  <c r="W18" i="59"/>
  <c r="W20" i="59"/>
  <c r="W23" i="59"/>
  <c r="W25" i="59"/>
  <c r="W26" i="59"/>
  <c r="W29" i="59"/>
  <c r="W31" i="59"/>
  <c r="W32" i="59"/>
  <c r="W33" i="59"/>
  <c r="W37" i="59"/>
  <c r="W38" i="59"/>
  <c r="W40" i="59"/>
  <c r="W41" i="59"/>
  <c r="W47" i="59"/>
  <c r="W48" i="59"/>
  <c r="W65" i="59"/>
  <c r="W67" i="59"/>
  <c r="W68" i="59"/>
  <c r="W71" i="59"/>
  <c r="W72" i="59"/>
  <c r="W80" i="59"/>
  <c r="W24" i="59"/>
  <c r="W104" i="59"/>
  <c r="W112" i="59" l="1"/>
  <c r="G16" i="42"/>
  <c r="K29" i="42"/>
  <c r="G29" i="42"/>
  <c r="N13" i="44"/>
  <c r="O86" i="44" s="1"/>
  <c r="D14" i="55"/>
  <c r="N8" i="44"/>
  <c r="D29" i="42"/>
  <c r="C29" i="42"/>
  <c r="N15" i="42"/>
  <c r="D13" i="55"/>
  <c r="K15" i="42"/>
  <c r="F15" i="42"/>
  <c r="D15" i="42"/>
  <c r="C15" i="42"/>
  <c r="N14" i="42"/>
  <c r="K14" i="42"/>
  <c r="G14" i="42"/>
  <c r="F14" i="42"/>
  <c r="D14" i="42"/>
  <c r="C14" i="42"/>
  <c r="D12" i="55"/>
  <c r="N13" i="42"/>
  <c r="K13" i="42"/>
  <c r="G13" i="42"/>
  <c r="F13" i="42"/>
  <c r="D13" i="42"/>
  <c r="C13" i="42"/>
  <c r="B11" i="55"/>
  <c r="D11" i="55" s="1"/>
  <c r="B10" i="55"/>
  <c r="N12" i="42"/>
  <c r="K12" i="42"/>
  <c r="G12" i="42"/>
  <c r="F12" i="42"/>
  <c r="D12" i="42"/>
  <c r="C12" i="42"/>
  <c r="N11" i="42"/>
  <c r="N928" i="44" l="1"/>
  <c r="F19" i="42"/>
  <c r="H19" i="42" s="1"/>
  <c r="F21" i="42"/>
  <c r="F17" i="42"/>
  <c r="H17" i="42" s="1"/>
  <c r="F20" i="42"/>
  <c r="H20" i="42" s="1"/>
  <c r="F16" i="42"/>
  <c r="H16" i="42" s="1"/>
  <c r="F18" i="42"/>
  <c r="H18" i="42" s="1"/>
  <c r="E29" i="42"/>
  <c r="E15" i="42"/>
  <c r="H14" i="42"/>
  <c r="H13" i="42"/>
  <c r="E14" i="42"/>
  <c r="H12" i="42"/>
  <c r="I12" i="55"/>
  <c r="E13" i="42"/>
  <c r="E12" i="42"/>
  <c r="I11" i="55" l="1"/>
  <c r="D10" i="55"/>
  <c r="B9" i="55"/>
  <c r="C9" i="55"/>
  <c r="K11" i="42"/>
  <c r="G11" i="42"/>
  <c r="F11" i="42"/>
  <c r="D11" i="42"/>
  <c r="C11" i="42"/>
  <c r="J9" i="60"/>
  <c r="N10" i="42"/>
  <c r="G15" i="42"/>
  <c r="H15" i="42" s="1"/>
  <c r="C8" i="57"/>
  <c r="C18" i="57"/>
  <c r="C17" i="57"/>
  <c r="C16" i="57"/>
  <c r="C15" i="57"/>
  <c r="C14" i="57"/>
  <c r="C13" i="57"/>
  <c r="L8" i="56"/>
  <c r="AA9" i="59"/>
  <c r="AA112" i="59" s="1"/>
  <c r="AB9" i="59"/>
  <c r="AB112" i="59" s="1"/>
  <c r="AE9" i="59"/>
  <c r="AE112" i="59" s="1"/>
  <c r="AG9" i="59"/>
  <c r="AH9" i="59"/>
  <c r="AH112" i="59" s="1"/>
  <c r="F48" i="42" s="1"/>
  <c r="AI9" i="59"/>
  <c r="K10" i="42"/>
  <c r="G10" i="42"/>
  <c r="D10" i="42"/>
  <c r="C10" i="42"/>
  <c r="AG112" i="59" l="1"/>
  <c r="AJ112" i="59"/>
  <c r="L12" i="56"/>
  <c r="AI112" i="59"/>
  <c r="N8" i="56" s="1"/>
  <c r="AL9" i="59"/>
  <c r="B10" i="57"/>
  <c r="B9" i="57"/>
  <c r="H11" i="42"/>
  <c r="D9" i="55"/>
  <c r="I10" i="55"/>
  <c r="C11" i="57"/>
  <c r="E11" i="42"/>
  <c r="C19" i="57"/>
  <c r="B8" i="57" s="1"/>
  <c r="AK9" i="59"/>
  <c r="AK112" i="59" s="1"/>
  <c r="E10" i="42"/>
  <c r="L13" i="44"/>
  <c r="L14" i="56" l="1"/>
  <c r="N12" i="56"/>
  <c r="B11" i="57"/>
  <c r="B19" i="57" s="1"/>
  <c r="I9" i="55"/>
  <c r="D9" i="42"/>
  <c r="C9" i="42"/>
  <c r="E9" i="42" l="1"/>
  <c r="A5" i="59" l="1"/>
  <c r="L9" i="44" l="1"/>
  <c r="L923" i="44" s="1"/>
  <c r="AI7" i="59"/>
  <c r="AF7" i="59"/>
  <c r="AC7" i="59"/>
  <c r="E8" i="56"/>
  <c r="D8" i="55"/>
  <c r="BI9" i="60"/>
  <c r="BJ9" i="60" s="1"/>
  <c r="F923" i="44"/>
  <c r="AH7" i="59"/>
  <c r="AG7" i="59"/>
  <c r="AE7" i="59"/>
  <c r="AD7" i="59"/>
  <c r="AB7" i="59"/>
  <c r="AA7" i="59"/>
  <c r="I9" i="44"/>
  <c r="I923" i="44" s="1"/>
  <c r="M9" i="44"/>
  <c r="M923" i="44" s="1"/>
  <c r="G19" i="57"/>
  <c r="F19" i="57"/>
  <c r="P8" i="56" s="1"/>
  <c r="P12" i="56" s="1"/>
  <c r="K9" i="44"/>
  <c r="K923" i="44" s="1"/>
  <c r="J9" i="44"/>
  <c r="J923" i="44" s="1"/>
  <c r="C12" i="54"/>
  <c r="D12" i="54"/>
  <c r="E8" i="54"/>
  <c r="J8" i="56"/>
  <c r="J12" i="56" s="1"/>
  <c r="A5" i="42"/>
  <c r="A5" i="57"/>
  <c r="A5" i="54"/>
  <c r="A5" i="56"/>
  <c r="A5" i="55"/>
  <c r="A5" i="44"/>
  <c r="L15" i="56" l="1"/>
  <c r="L16" i="56" s="1"/>
  <c r="O13" i="56"/>
  <c r="E12" i="56"/>
  <c r="L13" i="56" s="1"/>
  <c r="O8" i="56"/>
  <c r="H32" i="55"/>
  <c r="H33" i="55" s="1"/>
  <c r="H30" i="55"/>
  <c r="I33" i="42"/>
  <c r="J33" i="42"/>
  <c r="I34" i="42"/>
  <c r="J34" i="42"/>
  <c r="I32" i="42"/>
  <c r="J32" i="42"/>
  <c r="I31" i="42"/>
  <c r="J31" i="42"/>
  <c r="I30" i="42"/>
  <c r="J30" i="42"/>
  <c r="H25" i="55"/>
  <c r="J28" i="42"/>
  <c r="I28" i="42"/>
  <c r="J27" i="42"/>
  <c r="I27" i="42"/>
  <c r="O12" i="56"/>
  <c r="J26" i="42"/>
  <c r="I26" i="42"/>
  <c r="J25" i="42"/>
  <c r="I25" i="42"/>
  <c r="J24" i="42"/>
  <c r="I24" i="42"/>
  <c r="J16" i="42"/>
  <c r="I19" i="42"/>
  <c r="I20" i="42"/>
  <c r="J19" i="42"/>
  <c r="I22" i="42"/>
  <c r="I23" i="42"/>
  <c r="J22" i="42"/>
  <c r="I16" i="42"/>
  <c r="I21" i="42"/>
  <c r="J21" i="42"/>
  <c r="J18" i="42"/>
  <c r="I18" i="42"/>
  <c r="I17" i="42"/>
  <c r="J17" i="42"/>
  <c r="J20" i="42"/>
  <c r="J23" i="42"/>
  <c r="J29" i="42"/>
  <c r="I29" i="42"/>
  <c r="J15" i="42"/>
  <c r="I15" i="42"/>
  <c r="J14" i="42"/>
  <c r="I14" i="42"/>
  <c r="J13" i="42"/>
  <c r="I13" i="42"/>
  <c r="I12" i="42"/>
  <c r="J12" i="42"/>
  <c r="J11" i="42"/>
  <c r="I11" i="42"/>
  <c r="J10" i="42"/>
  <c r="I10" i="42"/>
  <c r="F10" i="42"/>
  <c r="H10" i="42" s="1"/>
  <c r="F9" i="42"/>
  <c r="G9" i="42"/>
  <c r="K9" i="42"/>
  <c r="J9" i="42"/>
  <c r="I9" i="42"/>
  <c r="N9" i="44"/>
  <c r="I8" i="55"/>
  <c r="I33" i="55" s="1"/>
  <c r="G8" i="54"/>
  <c r="K8" i="54"/>
  <c r="K12" i="54" s="1"/>
  <c r="L17" i="56" l="1"/>
  <c r="L33" i="42"/>
  <c r="L34" i="42"/>
  <c r="L32" i="42"/>
  <c r="L31" i="42"/>
  <c r="F44" i="42"/>
  <c r="L30" i="42"/>
  <c r="L28" i="42"/>
  <c r="L27" i="42"/>
  <c r="L26" i="42"/>
  <c r="L25" i="42"/>
  <c r="L24" i="42"/>
  <c r="L22" i="42"/>
  <c r="L16" i="42"/>
  <c r="M16" i="42" s="1"/>
  <c r="O16" i="42" s="1"/>
  <c r="L19" i="42"/>
  <c r="M19" i="42" s="1"/>
  <c r="O19" i="42" s="1"/>
  <c r="L21" i="42"/>
  <c r="L23" i="42"/>
  <c r="L18" i="42"/>
  <c r="M18" i="42" s="1"/>
  <c r="O18" i="42" s="1"/>
  <c r="L20" i="42"/>
  <c r="M20" i="42" s="1"/>
  <c r="O20" i="42" s="1"/>
  <c r="L17" i="42"/>
  <c r="M17" i="42" s="1"/>
  <c r="O17" i="42" s="1"/>
  <c r="L29" i="42"/>
  <c r="L15" i="42"/>
  <c r="M15" i="42" s="1"/>
  <c r="O15" i="42" s="1"/>
  <c r="L14" i="42"/>
  <c r="M14" i="42" s="1"/>
  <c r="O14" i="42" s="1"/>
  <c r="L13" i="42"/>
  <c r="M13" i="42" s="1"/>
  <c r="O13" i="42" s="1"/>
  <c r="L12" i="42"/>
  <c r="M12" i="42" s="1"/>
  <c r="O12" i="42" s="1"/>
  <c r="L11" i="42"/>
  <c r="M11" i="42" s="1"/>
  <c r="O11" i="42" s="1"/>
  <c r="L10" i="42"/>
  <c r="M10" i="42" s="1"/>
  <c r="O10" i="42" s="1"/>
  <c r="H9" i="42"/>
  <c r="L9" i="42"/>
  <c r="AL112" i="59"/>
  <c r="M9" i="42" l="1"/>
  <c r="O9" i="42" s="1"/>
  <c r="Q8" i="56"/>
  <c r="Q12" i="56" s="1"/>
  <c r="N48" i="44" l="1"/>
  <c r="N49" i="44"/>
  <c r="N50" i="44"/>
  <c r="N47" i="44"/>
  <c r="N51" i="44"/>
  <c r="N46" i="44"/>
  <c r="F34" i="42" l="1"/>
  <c r="H34" i="42" s="1"/>
  <c r="M34" i="42" s="1"/>
  <c r="O34" i="42" s="1"/>
  <c r="F33" i="42"/>
  <c r="H33" i="42" s="1"/>
  <c r="M33" i="42" s="1"/>
  <c r="O33" i="42" s="1"/>
  <c r="F31" i="42"/>
  <c r="H31" i="42" s="1"/>
  <c r="M31" i="42" s="1"/>
  <c r="O31" i="42" s="1"/>
  <c r="F32" i="42"/>
  <c r="H32" i="42" s="1"/>
  <c r="M32" i="42" s="1"/>
  <c r="O32" i="42" s="1"/>
  <c r="F28" i="42"/>
  <c r="H28" i="42" s="1"/>
  <c r="M28" i="42" s="1"/>
  <c r="O28" i="42" s="1"/>
  <c r="F30" i="42"/>
  <c r="H30" i="42" s="1"/>
  <c r="M30" i="42" s="1"/>
  <c r="O30" i="42" s="1"/>
  <c r="F26" i="42"/>
  <c r="H26" i="42" s="1"/>
  <c r="M26" i="42" s="1"/>
  <c r="O26" i="42" s="1"/>
  <c r="F27" i="42"/>
  <c r="H27" i="42" s="1"/>
  <c r="M27" i="42" s="1"/>
  <c r="O27" i="42" s="1"/>
  <c r="F25" i="42"/>
  <c r="H25" i="42" s="1"/>
  <c r="M25" i="42" s="1"/>
  <c r="O25" i="42" s="1"/>
  <c r="F29" i="42"/>
  <c r="H29" i="42" s="1"/>
  <c r="M29" i="42" s="1"/>
  <c r="O29" i="42" s="1"/>
  <c r="G21" i="42"/>
  <c r="H21" i="42" s="1"/>
  <c r="M21" i="42" s="1"/>
  <c r="O21" i="42" s="1"/>
  <c r="F22" i="42"/>
  <c r="H22" i="42" s="1"/>
  <c r="M22" i="42" s="1"/>
  <c r="O22" i="42" s="1"/>
  <c r="F24" i="42"/>
  <c r="H24" i="42" s="1"/>
  <c r="M24" i="42" s="1"/>
  <c r="O24" i="42" s="1"/>
  <c r="F23" i="42"/>
  <c r="H23" i="42" s="1"/>
  <c r="M23" i="42" s="1"/>
  <c r="O23" i="42" s="1"/>
  <c r="N52" i="44"/>
  <c r="N923" i="44" s="1"/>
  <c r="N926" i="44" l="1"/>
  <c r="J926" i="44"/>
  <c r="J929" i="44" s="1"/>
  <c r="K926" i="44"/>
  <c r="K929" i="44" s="1"/>
  <c r="M929" i="44"/>
  <c r="I926" i="44"/>
  <c r="L926" i="44"/>
  <c r="L929" i="44" s="1"/>
  <c r="F47" i="42" l="1"/>
  <c r="F49" i="42" s="1"/>
  <c r="J49" i="42" s="1"/>
  <c r="N929" i="44"/>
  <c r="I929" i="4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CAROLINA RODRIGUEZ MONTANA</author>
    <author>tc={DAE049A7-F979-4594-926A-11F4D1535B80}</author>
    <author>tc={4FFA8A16-B599-4631-91B5-FA75DDC85785}</author>
    <author>tc={52283A97-4AED-4A9A-930D-8A99282D7387}</author>
    <author>tc={F24552B3-6349-440A-898F-F309C2A0F32B}</author>
    <author>tc={133FBDC2-6A3F-4D36-88B7-E7B3E894B8F4}</author>
    <author>tc={2D6719CE-4416-4E2B-AC05-42B51AA7B6B2}</author>
    <author>tc={69EDDE08-916C-4F13-B3A6-F5ED609B35BF}</author>
    <author>tc={CE47CC32-9E59-45D3-A667-27C541FEF41D}</author>
    <author>tc={87223AA2-E48D-47B8-BF04-E583F4B62175}</author>
    <author>tc={9ACDA62A-277B-4375-B1C0-74865F4E6541}</author>
    <author>tc={B841B45C-ED7F-4EBE-B1F6-9A2758AD138E}</author>
    <author>tc={43147F0B-F560-431F-9808-FEA89F72E42E}</author>
    <author>tc={F1BFA75D-9805-412F-85EC-4F7DAA29798B}</author>
    <author>tc={998B3EBB-AB45-4E4A-9895-E7EBDE5BFA5C}</author>
    <author>tc={0DBF6554-CA58-4A91-BBDF-CC58B65C4D65}</author>
    <author>tc={9A357FD4-EBD6-40B1-905B-3F2DD306D28C}</author>
    <author>tc={A98FFF3C-E194-47D3-B92B-2A3B02C53453}</author>
    <author>tc={C7FD48AD-85E2-4FFF-9400-88232C5C6C6F}</author>
    <author>tc={80B5A24E-1DD1-47E0-9104-A5A8AED6E504}</author>
  </authors>
  <commentList>
    <comment ref="Y9" authorId="0" shapeId="0" xr:uid="{229C946D-B19D-48B3-B941-0FDDB744C52B}">
      <text>
        <r>
          <rPr>
            <b/>
            <sz val="9"/>
            <color indexed="81"/>
            <rFont val="Tahoma"/>
            <family val="2"/>
          </rPr>
          <t>CAROLINA RODRIGUEZ MONTANA:</t>
        </r>
        <r>
          <rPr>
            <sz val="9"/>
            <color indexed="81"/>
            <rFont val="Tahoma"/>
            <family val="2"/>
          </rPr>
          <t xml:space="preserve">
Valor Asumido por Contratista de Obra 014-2023</t>
        </r>
      </text>
    </comment>
    <comment ref="X10" authorId="0" shapeId="0" xr:uid="{0CB09F62-3ADE-404D-8D15-F104560E93D8}">
      <text>
        <r>
          <rPr>
            <b/>
            <sz val="9"/>
            <color indexed="81"/>
            <rFont val="Tahoma"/>
            <family val="2"/>
          </rPr>
          <t>CAROLINA RODRIGUEZ MONTANA:</t>
        </r>
        <r>
          <rPr>
            <sz val="9"/>
            <color indexed="81"/>
            <rFont val="Tahoma"/>
            <family val="2"/>
          </rPr>
          <t xml:space="preserve">
Valor Asumido por Contratista de Obra 014-2023</t>
        </r>
      </text>
    </comment>
    <comment ref="W13" authorId="0" shapeId="0" xr:uid="{3BD8A8B4-CB3A-4FBC-BE64-D339D125B02A}">
      <text>
        <r>
          <rPr>
            <b/>
            <sz val="9"/>
            <color indexed="81"/>
            <rFont val="Tahoma"/>
            <family val="2"/>
          </rPr>
          <t>CAROLINA RODRIGUEZ MONTANA:</t>
        </r>
        <r>
          <rPr>
            <sz val="9"/>
            <color indexed="81"/>
            <rFont val="Tahoma"/>
            <family val="2"/>
          </rPr>
          <t xml:space="preserve">
Liberado saldo del CDR inicial por $212,771,930 para la adición </t>
        </r>
      </text>
    </comment>
    <comment ref="W14" authorId="0" shapeId="0" xr:uid="{80E6F148-58DE-4EBF-B22C-41FABC58EBFD}">
      <text>
        <r>
          <rPr>
            <b/>
            <sz val="9"/>
            <color indexed="81"/>
            <rFont val="Tahoma"/>
            <family val="2"/>
          </rPr>
          <t>CAROLINA RODRIGUEZ MONTANA:</t>
        </r>
        <r>
          <rPr>
            <sz val="9"/>
            <color indexed="81"/>
            <rFont val="Tahoma"/>
            <family val="2"/>
          </rPr>
          <t xml:space="preserve">
Liberado saldo del CDR inicial por $20,345,710 para la adición </t>
        </r>
      </text>
    </comment>
    <comment ref="X20" authorId="1" shapeId="0" xr:uid="{DAE049A7-F979-4594-926A-11F4D1535B80}">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$40.160.893,50
Segunda Adición asumida por Contratista de Obra por $11.800.426,75</t>
      </text>
    </comment>
    <comment ref="X30" authorId="0" shapeId="0" xr:uid="{DBA891CF-5051-485C-A8AE-FA8E47445A5E}">
      <text>
        <r>
          <rPr>
            <b/>
            <sz val="9"/>
            <color indexed="81"/>
            <rFont val="Tahoma"/>
            <family val="2"/>
          </rPr>
          <t>CAROLINA RODRIGUEZ MONTANA:</t>
        </r>
        <r>
          <rPr>
            <sz val="9"/>
            <color indexed="81"/>
            <rFont val="Tahoma"/>
            <family val="2"/>
          </rPr>
          <t xml:space="preserve">
De esta adición el Contratista de Obra Asume $35.607.160,17.</t>
        </r>
      </text>
    </comment>
    <comment ref="X32" authorId="2" shapeId="0" xr:uid="{4FFA8A16-B599-4631-91B5-FA75DDC85785}">
      <text>
        <t>[Comentario encadenado]
Su versión de Excel le permite leer este comentario encadenado; sin embargo, las ediciones que se apliquen se quitarán si el archivo se abre en una versión más reciente de Excel. Más información: https://go.microsoft.com/fwlink/?linkid=870924
Comentario:
    Liberación por disminución valor del contrato, despriorización de una Sede, Otrosí No. 1</t>
      </text>
    </comment>
    <comment ref="X34" authorId="3" shapeId="0" xr:uid="{52283A97-4AED-4A9A-930D-8A99282D7387}">
      <text>
        <t>[Comentario encadenado]
Su versión de Excel le permite leer este comentario encadenado; sin embargo, las ediciones que se apliquen se quitarán si el archivo se abre en una versión más reciente de Excel. Más información: https://go.microsoft.com/fwlink/?linkid=870924
Comentario:
    $50.000.000 de Adición cubre Contratista de Obra Cto 013-2023</t>
      </text>
    </comment>
    <comment ref="X36" authorId="4" shapeId="0" xr:uid="{F24552B3-6349-440A-898F-F309C2A0F32B}">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$116.020.814,25</t>
      </text>
    </comment>
    <comment ref="T38" authorId="5" shapeId="0" xr:uid="{133FBDC2-6A3F-4D36-88B7-E7B3E894B8F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Cedente UNION TEMPORLA BARBACOAS NIT 901801498 (Cto Cesión 10/03/2025)
</t>
      </text>
    </comment>
    <comment ref="X38" authorId="6" shapeId="0" xr:uid="{2D6719CE-4416-4E2B-AC05-42B51AA7B6B2}">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$159.807.583</t>
      </text>
    </comment>
    <comment ref="T40" authorId="7" shapeId="0" xr:uid="{69EDDE08-916C-4F13-B3A6-F5ED609B35BF}">
      <text>
        <t>[Comentario encadenado]
Su versión de Excel le permite leer este comentario encadenado; sin embargo, las ediciones que se apliquen se quitarán si el archivo se abre en una versión más reciente de Excel. Más información: https://go.microsoft.com/fwlink/?linkid=870924
Comentario:
    Cedente ALFA &amp; OMEGA INGENIEROS S.A.S NIT 811017902 (Cto Cesión 14/03/2025)</t>
      </text>
    </comment>
    <comment ref="X42" authorId="8" shapeId="0" xr:uid="{CE47CC32-9E59-45D3-A667-27C541FEF41D}">
      <text>
        <t>[Comentario encadenado]
Su versión de Excel le permite leer este comentario encadenado; sin embargo, las ediciones que se apliquen se quitarán si el archivo se abre en una versión más reciente de Excel. Más información: https://go.microsoft.com/fwlink/?linkid=870924
Comentario:
    $35.543.422,50 de Adición cubre Contratista de Obra Cto 026-2024</t>
      </text>
    </comment>
    <comment ref="X48" authorId="9" shapeId="0" xr:uid="{87223AA2-E48D-47B8-BF04-E583F4B62175}">
      <text>
        <t>[Comentario encadenado]
Su versión de Excel le permite leer este comentario encadenado; sin embargo, las ediciones que se apliquen se quitarán si el archivo se abre en una versión más reciente de Excel. Más información: https://go.microsoft.com/fwlink/?linkid=870924
Comentario:
    $80.000.000 +$84.991.547 Adición Asumida por el Contratista de Obra 007-2024</t>
      </text>
    </comment>
    <comment ref="W51" authorId="0" shapeId="0" xr:uid="{196CCE07-E657-4086-BCE1-AA74BEB32299}">
      <text>
        <r>
          <rPr>
            <b/>
            <sz val="9"/>
            <color indexed="81"/>
            <rFont val="Tahoma"/>
            <family val="2"/>
          </rPr>
          <t>CAROLINA RODRIGUEZ MONTANA:</t>
        </r>
        <r>
          <rPr>
            <sz val="9"/>
            <color indexed="81"/>
            <rFont val="Tahoma"/>
            <family val="2"/>
          </rPr>
          <t xml:space="preserve">
Liberado Saldo del CDR iinicial para adición</t>
        </r>
      </text>
    </comment>
    <comment ref="W52" authorId="0" shapeId="0" xr:uid="{2623FD7A-BE15-42B4-AF80-CE37C819FDE4}">
      <text>
        <r>
          <rPr>
            <b/>
            <sz val="9"/>
            <color indexed="81"/>
            <rFont val="Tahoma"/>
            <family val="2"/>
          </rPr>
          <t>CAROLINA RODRIGUEZ MONTANA:</t>
        </r>
        <r>
          <rPr>
            <sz val="9"/>
            <color indexed="81"/>
            <rFont val="Tahoma"/>
            <family val="2"/>
          </rPr>
          <t xml:space="preserve">
Liberado Saldo del CDR iinicial para adición</t>
        </r>
      </text>
    </comment>
    <comment ref="X52" authorId="10" shapeId="0" xr:uid="{9ACDA62A-277B-4375-B1C0-74865F4E654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$18.000.000 son asumidos por el Contratista y el restante con cargo al Patrimonio Autónomo </t>
      </text>
    </comment>
    <comment ref="X54" authorId="11" shapeId="0" xr:uid="{B841B45C-ED7F-4EBE-B1F6-9A2758AD138E}">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$60.000.000+ $90.000.000 son asumidos por el Contratista de Obra 036-2024</t>
      </text>
    </comment>
    <comment ref="X60" authorId="12" shapeId="0" xr:uid="{43147F0B-F560-431F-9808-FEA89F72E42E}">
      <text>
        <t>[Comentario encadenado]
Su versión de Excel le permite leer este comentario encadenado; sin embargo, las ediciones que se apliquen se quitarán si el archivo se abre en una versión más reciente de Excel. Más información: https://go.microsoft.com/fwlink/?linkid=870924
Comentario:
    $5.574.659,64 asumido por Contratista de Obra Cto 032-2024</t>
      </text>
    </comment>
    <comment ref="I62" authorId="13" shapeId="0" xr:uid="{F1BFA75D-9805-412F-85EC-4F7DAA29798B}">
      <text>
        <t>[Comentario encadenado]
Su versión de Excel le permite leer este comentario encadenado; sin embargo, las ediciones que se apliquen se quitarán si el archivo se abre en una versión más reciente de Excel. Más información: https://go.microsoft.com/fwlink/?linkid=870924
Comentario:
    Sale de los recursos de la línea de Mejoramientos</t>
      </text>
    </comment>
    <comment ref="I64" authorId="14" shapeId="0" xr:uid="{998B3EBB-AB45-4E4A-9895-E7EBDE5BFA5C}">
      <text>
        <t>[Comentario encadenado]
Su versión de Excel le permite leer este comentario encadenado; sin embargo, las ediciones que se apliquen se quitarán si el archivo se abre en una versión más reciente de Excel. Más información: https://go.microsoft.com/fwlink/?linkid=870924
Comentario:
    Sale de los recursos de la línea de Mejoramientos</t>
      </text>
    </comment>
    <comment ref="X76" authorId="15" shapeId="0" xr:uid="{0DBF6554-CA58-4A91-BBDF-CC58B65C4D65}">
      <text>
        <t>[Comentario encadenado]
Su versión de Excel le permite leer este comentario encadenado; sin embargo, las ediciones que se apliquen se quitarán si el archivo se abre en una versión más reciente de Excel. Más información: https://go.microsoft.com/fwlink/?linkid=870924
Comentario:
    Mayor permanencia de $ 24.260.223,00 asumida por Contratista de Obra 045-2024</t>
      </text>
    </comment>
    <comment ref="X80" authorId="16" shapeId="0" xr:uid="{9A357FD4-EBD6-40B1-905B-3F2DD306D28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$1¿
60.000.000 son asumidos por el Contratista 024-2024
</t>
      </text>
    </comment>
    <comment ref="X84" authorId="17" shapeId="0" xr:uid="{A98FFF3C-E194-47D3-B92B-2A3B02C53453}">
      <text>
        <t>[Comentario encadenado]
Su versión de Excel le permite leer este comentario encadenado; sin embargo, las ediciones que se apliquen se quitarán si el archivo se abre en una versión más reciente de Excel. Más información: https://go.microsoft.com/fwlink/?linkid=870924
Comentario:
    El Contratista de Obra asume $17.088.816.66 de esta adición (Cto 034-2024).  El contratista de Obra asumió $21.493.697,89</t>
      </text>
    </comment>
    <comment ref="X85" authorId="18" shapeId="0" xr:uid="{C7FD48AD-85E2-4FFF-9400-88232C5C6C6F}">
      <text>
        <t>[Comentario encadenado]
Su versión de Excel le permite leer este comentario encadenado; sin embargo, las ediciones que se apliquen se quitarán si el archivo se abre en una versión más reciente de Excel. Más información: https://go.microsoft.com/fwlink/?linkid=870924
Comentario:
    El Contratista de Obra asume $36.106.456,49 de esta adición (Cto 038-2024). Segundo adición Asume Contratista $54.159.684,75. Contratista asume $30.088.713,75</t>
      </text>
    </comment>
    <comment ref="X89" authorId="19" shapeId="0" xr:uid="{80B5A24E-1DD1-47E0-9104-A5A8AED6E504}">
      <text>
        <t>[Comentario encadenado]
Su versión de Excel le permite leer este comentario encadenado; sin embargo, las ediciones que se apliquen se quitarán si el archivo se abre en una versión más reciente de Excel. Más información: https://go.microsoft.com/fwlink/?linkid=870924
Comentario:
    De esta adición el contratista de Obra asume $80.544.972</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tc={73BBCA06-B3C7-4C66-8300-D2A7F80F14BB}</author>
    <author>tc={F3B1DB25-26EC-498E-AB46-F2C2AE5A1B2D}</author>
    <author>CAROLINA RODRIGUEZ MONTANA</author>
    <author>tc={C94B7E6D-7724-4675-9FEF-15412F4658B1}</author>
    <author>tc={EA503E15-846F-41BB-AA3B-8B1FDE3D823E}</author>
    <author>tc={9332A022-6DFD-4704-9687-881A34DFA4D7}</author>
    <author>tc={651821DC-4C1D-4919-A600-9A26A80F411E}</author>
  </authors>
  <commentList>
    <comment ref="I113" authorId="0" shapeId="0" xr:uid="{73BBCA06-B3C7-4C66-8300-D2A7F80F14BB}">
      <text>
        <t>[Comentario encadenado]
Su versión de Excel le permite leer este comentario encadenado; sin embargo, las ediciones que se apliquen se quitarán si el archivo se abre en una versión más reciente de Excel. Más información: https://go.microsoft.com/fwlink/?linkid=870924
Comentario:
    El valor registrado en Balance era de $364.257,63, sin embargo en el pago se realizo ajuste al mil</t>
      </text>
    </comment>
    <comment ref="I164" authorId="1" shapeId="0" xr:uid="{F3B1DB25-26EC-498E-AB46-F2C2AE5A1B2D}">
      <text>
        <t>[Comentario encadenado]
Su versión de Excel le permite leer este comentario encadenado; sin embargo, las ediciones que se apliquen se quitarán si el archivo se abre en una versión más reciente de Excel. Más información: https://go.microsoft.com/fwlink/?linkid=870924
Comentario:
    El valor registrado en estados financieros era de $396.306,08, sin embargo en el pago se realizo ajuste al mil</t>
      </text>
    </comment>
    <comment ref="L183" authorId="2" shapeId="0" xr:uid="{6127D9C6-4C4B-43C1-9ACF-D14A2DC7E696}">
      <text>
        <r>
          <rPr>
            <b/>
            <sz val="9"/>
            <color indexed="81"/>
            <rFont val="Tahoma"/>
            <family val="2"/>
          </rPr>
          <t>CAROLINA RODRIGUEZ MONTANA:</t>
        </r>
        <r>
          <rPr>
            <sz val="9"/>
            <color indexed="81"/>
            <rFont val="Tahoma"/>
            <family val="2"/>
          </rPr>
          <t xml:space="preserve">
Descuento Mayor permanencia Contrato de Interventoría</t>
        </r>
      </text>
    </comment>
    <comment ref="L195" authorId="2" shapeId="0" xr:uid="{57F61E9E-5B16-458D-85EF-EE2CF767672B}">
      <text>
        <r>
          <rPr>
            <b/>
            <sz val="9"/>
            <color indexed="81"/>
            <rFont val="Tahoma"/>
            <family val="2"/>
          </rPr>
          <t>CAROLINA RODRIGUEZ MONTANA:</t>
        </r>
        <r>
          <rPr>
            <sz val="9"/>
            <color indexed="81"/>
            <rFont val="Tahoma"/>
            <family val="2"/>
          </rPr>
          <t xml:space="preserve">
Descuento Mayor permanencia Contrato de Interventoría</t>
        </r>
      </text>
    </comment>
    <comment ref="L199" authorId="2" shapeId="0" xr:uid="{101A9658-AE5A-456D-A48B-67A3CC11E83C}">
      <text>
        <r>
          <rPr>
            <b/>
            <sz val="9"/>
            <color indexed="81"/>
            <rFont val="Tahoma"/>
            <family val="2"/>
          </rPr>
          <t>CAROLINA RODRIGUEZ MONTANA:</t>
        </r>
        <r>
          <rPr>
            <sz val="9"/>
            <color indexed="81"/>
            <rFont val="Tahoma"/>
            <family val="2"/>
          </rPr>
          <t xml:space="preserve">
Descuento Mayor permanencia Contrato de Interventoría</t>
        </r>
      </text>
    </comment>
    <comment ref="L235" authorId="2" shapeId="0" xr:uid="{4B68B378-ECF6-4C4F-8E3F-9D17A5F5FC34}">
      <text>
        <r>
          <rPr>
            <b/>
            <sz val="9"/>
            <color indexed="81"/>
            <rFont val="Tahoma"/>
            <family val="2"/>
          </rPr>
          <t>CAROLINA RODRIGUEZ MONTANA:</t>
        </r>
        <r>
          <rPr>
            <sz val="9"/>
            <color indexed="81"/>
            <rFont val="Tahoma"/>
            <family val="2"/>
          </rPr>
          <t xml:space="preserve">
Descuento Mayor permanencia Contrato de Interventoría</t>
        </r>
      </text>
    </comment>
    <comment ref="L236" authorId="2" shapeId="0" xr:uid="{D301784F-B08E-4B4F-B884-16631F55885C}">
      <text>
        <r>
          <rPr>
            <b/>
            <sz val="9"/>
            <color indexed="81"/>
            <rFont val="Tahoma"/>
            <family val="2"/>
          </rPr>
          <t>CAROLINA RODRIGUEZ MONTANA:</t>
        </r>
        <r>
          <rPr>
            <sz val="9"/>
            <color indexed="81"/>
            <rFont val="Tahoma"/>
            <family val="2"/>
          </rPr>
          <t xml:space="preserve">
Descuento Mayor permanencia Contrato de Interventoría</t>
        </r>
      </text>
    </comment>
    <comment ref="L697" authorId="3" shapeId="0" xr:uid="{C94B7E6D-7724-4675-9FEF-15412F4658B1}">
      <text>
        <t>[Comentario encadenado]
Su versión de Excel le permite leer este comentario encadenado; sin embargo, las ediciones que se apliquen se quitarán si el archivo se abre en una versión más reciente de Excel. Más información: https://go.microsoft.com/fwlink/?linkid=870924
Comentario:
    Mayor Permanencia $30.088.713,75
Apremio Ratificado $93.280.875</t>
      </text>
    </comment>
    <comment ref="L698" authorId="4" shapeId="0" xr:uid="{EA503E15-846F-41BB-AA3B-8B1FDE3D823E}">
      <text>
        <t>[Comentario encadenado]
Su versión de Excel le permite leer este comentario encadenado; sin embargo, las ediciones que se apliquen se quitarán si el archivo se abre en una versión más reciente de Excel. Más información: https://go.microsoft.com/fwlink/?linkid=870924
Comentario:
    Apremio Ratificado</t>
      </text>
    </comment>
    <comment ref="K800" authorId="5" shapeId="0" xr:uid="{9332A022-6DFD-4704-9687-881A34DFA4D7}">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Incluye $32.531.977,61 de Descuento impuesto de timbre por Otrosí de Contrato 
</t>
      </text>
    </comment>
    <comment ref="K850" authorId="6" shapeId="0" xr:uid="{651821DC-4C1D-4919-A600-9A26A80F411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Incluye $32.531.977,61 de Descuento impuesto de timbre por Otrosí de Contrato 
</t>
      </text>
    </comment>
  </commentList>
</comments>
</file>

<file path=xl/sharedStrings.xml><?xml version="1.0" encoding="utf-8"?>
<sst xmlns="http://schemas.openxmlformats.org/spreadsheetml/2006/main" count="6567" uniqueCount="1475">
  <si>
    <t xml:space="preserve">INFORME FINANCIERO </t>
  </si>
  <si>
    <t>Contrato:</t>
  </si>
  <si>
    <t>Contrato Interadministrativo No. CO1.PCCNTR.5090635</t>
  </si>
  <si>
    <t>Fecha firma:</t>
  </si>
  <si>
    <t>20 de junio de 2023</t>
  </si>
  <si>
    <t>Cliente:</t>
  </si>
  <si>
    <t>Ministerio de Educación Nacional</t>
  </si>
  <si>
    <t>Peridodo Informe:</t>
  </si>
  <si>
    <t>Anexos:</t>
  </si>
  <si>
    <t>Ficha Técnica</t>
  </si>
  <si>
    <t>Resumen Financiero del Contrato</t>
  </si>
  <si>
    <t>Resumen Presupuestal</t>
  </si>
  <si>
    <t>Ingresos del Contrato</t>
  </si>
  <si>
    <t>Ejecución Financiera Contratación Derivada</t>
  </si>
  <si>
    <t>Pagos Asistencia Ténica</t>
  </si>
  <si>
    <t>Reportes de Pagos</t>
  </si>
  <si>
    <t>Rendimientos Financieros</t>
  </si>
  <si>
    <t>Financiera del Desarrollo S.A.</t>
  </si>
  <si>
    <t>0. FICHA TECNICA</t>
  </si>
  <si>
    <t>No.</t>
  </si>
  <si>
    <t>No. Contrato o Convenio Interadministrativo</t>
  </si>
  <si>
    <t>Objeto del Contrato o Convenio</t>
  </si>
  <si>
    <t xml:space="preserve">Entidad </t>
  </si>
  <si>
    <t>NIT</t>
  </si>
  <si>
    <t xml:space="preserve">Estado del Contrato </t>
  </si>
  <si>
    <t>Sector</t>
  </si>
  <si>
    <t>Fecha de Suscripción</t>
  </si>
  <si>
    <t>Valor Inicial</t>
  </si>
  <si>
    <t>Fecha de Terminación inicial</t>
  </si>
  <si>
    <t xml:space="preserve">Cuenta Bancaria </t>
  </si>
  <si>
    <t>FONDO DE INVERION COLECTIVA - FIC</t>
  </si>
  <si>
    <t>Modificacion No. 1</t>
  </si>
  <si>
    <t>Modificacion No. 2</t>
  </si>
  <si>
    <t>Modificacion No. 3</t>
  </si>
  <si>
    <t>Modificacion No. 4</t>
  </si>
  <si>
    <t>Modificacion No. 5</t>
  </si>
  <si>
    <t>Modificacion No. 6</t>
  </si>
  <si>
    <t>Modificacion No. 7</t>
  </si>
  <si>
    <t>Modificacion No. 8</t>
  </si>
  <si>
    <t>Modificacion No. 9</t>
  </si>
  <si>
    <t>Modificacion No. 10</t>
  </si>
  <si>
    <t>Modificacion No. 11</t>
  </si>
  <si>
    <t>Modificacion No. 12</t>
  </si>
  <si>
    <t>Valor Total Adiciones</t>
  </si>
  <si>
    <t>Valor Final Contrato</t>
  </si>
  <si>
    <t>Fecha de Terminación Final</t>
  </si>
  <si>
    <t>Fecha Liquidación</t>
  </si>
  <si>
    <t>Fecha</t>
  </si>
  <si>
    <t>Objeto Modificación</t>
  </si>
  <si>
    <t>Adición</t>
  </si>
  <si>
    <t>Prórroga</t>
  </si>
  <si>
    <t>CO1.PCCNTR.5090635</t>
  </si>
  <si>
    <t>Administrar recursos y brindar asistencia técnica para la atención de proyectos de infraestructura y dotación de establecimientos educativos que sean priorizados por el Ministerio de Educación Nacional.</t>
  </si>
  <si>
    <t>MINISTERIO DE EDUCACION NACIONAL</t>
  </si>
  <si>
    <t>899.999.001-7</t>
  </si>
  <si>
    <t>VIGENTE</t>
  </si>
  <si>
    <t>EDUCACION</t>
  </si>
  <si>
    <t>BANCO BOGOTA AHORROS 
No. 000-47970-9 (Cancelada)
BANCO OCCIDENTE AHORROS 
No. 256-14436-1</t>
  </si>
  <si>
    <t>FIC 109536 (Cancelado)
FIC 1900014 (Cancelado)
FIC 2000011</t>
  </si>
  <si>
    <t>-</t>
  </si>
  <si>
    <t>N/A</t>
  </si>
  <si>
    <t>1. RESUMEN FINANCIERO DEL CONTRATO</t>
  </si>
  <si>
    <t>FECHA</t>
  </si>
  <si>
    <t>CONTRATO</t>
  </si>
  <si>
    <t>1. DESEMBOLSOS (+)</t>
  </si>
  <si>
    <t>2. PAGOS (-)</t>
  </si>
  <si>
    <t>3. RENDIMIENTOS, VALORACION Y DESVALORIZACION (+)</t>
  </si>
  <si>
    <t>Saldo Extracto
(Cuenta Bancaria + FIC)</t>
  </si>
  <si>
    <t>Partidas Conciliatorias Fiduciaria (*)</t>
  </si>
  <si>
    <t>1.1. DESEMBOLSOS ACUMULADOS 
MES ANTERIOR</t>
  </si>
  <si>
    <t>1.2. DESEMBOLSOS MES ACTUAL</t>
  </si>
  <si>
    <r>
      <t>1.3. SALDO ACUMULADO 
MES ACTUAL</t>
    </r>
    <r>
      <rPr>
        <sz val="11"/>
        <color theme="0"/>
        <rFont val="Calibri"/>
        <family val="2"/>
        <scheme val="minor"/>
      </rPr>
      <t xml:space="preserve">
(1.1  +  1.2 )</t>
    </r>
  </si>
  <si>
    <t>2.1. PAGOS ACUMULADOS 
MES ANTERIOR 
(VALOR NETO)</t>
  </si>
  <si>
    <t>2.2. PAGADO 
MES ACTUAL
(VALOR NETO)</t>
  </si>
  <si>
    <r>
      <t xml:space="preserve">2.3. PAGOS ACUMULADOS 
MES ACTUAL
(VALOR NETO)    
</t>
    </r>
    <r>
      <rPr>
        <sz val="11"/>
        <color theme="0"/>
        <rFont val="Calibri"/>
        <family val="2"/>
        <scheme val="minor"/>
      </rPr>
      <t>(2.1.  +  2.2)</t>
    </r>
  </si>
  <si>
    <t>3.1. RENDIMIENTOS, VALORACION Y DESVALORIZACION  ACUMULADOS  
MES ANTERIOR</t>
  </si>
  <si>
    <t>3.2. RENDIMIENTOS, VALORACION Y DESVALORIZACION  GENERADOS MES ACTUAL</t>
  </si>
  <si>
    <t>3.3. (MENOS) REINTEGRO DE RENDIMIENTOS</t>
  </si>
  <si>
    <r>
      <t xml:space="preserve">3.4. SALDO DE RENDIMIENTOS, VALORACION Y DESVALORIZACION ACUMULADA 
</t>
    </r>
    <r>
      <rPr>
        <sz val="11"/>
        <color theme="0"/>
        <rFont val="Calibri"/>
        <family val="2"/>
        <scheme val="minor"/>
      </rPr>
      <t>(3.1. + 3.2. - 3.3)</t>
    </r>
  </si>
  <si>
    <t>2. RESUMEN PRESUPUESTAL</t>
  </si>
  <si>
    <t>CDP</t>
  </si>
  <si>
    <t>VIGENCIA FISCAL</t>
  </si>
  <si>
    <t>VALOR 
CDP</t>
  </si>
  <si>
    <t xml:space="preserve">ADICION </t>
  </si>
  <si>
    <t>VALOR  PRESUPUESTO 
(A)</t>
  </si>
  <si>
    <t xml:space="preserve">FUENTE </t>
  </si>
  <si>
    <t>ORIGEN DE LOS RECURSOS</t>
  </si>
  <si>
    <t>RECURSOS RECIBIDOS</t>
  </si>
  <si>
    <t>REFORMULACIÓN Y/O ADICIONES AL CONTRATO</t>
  </si>
  <si>
    <t>ASISTENCIA TECNICA COMPROMISOS
(B)</t>
  </si>
  <si>
    <t>NACION</t>
  </si>
  <si>
    <t>TOTAL</t>
  </si>
  <si>
    <t>3. INGRESOS DEL CONTRATO</t>
  </si>
  <si>
    <t xml:space="preserve">ADICION CDP </t>
  </si>
  <si>
    <t xml:space="preserve">VALOR  PRESUPUESTO </t>
  </si>
  <si>
    <t>VALOR 
DESEMBOLSO</t>
  </si>
  <si>
    <t>TRASLADO</t>
  </si>
  <si>
    <t>TOTAL 
DESEMBOLSOS</t>
  </si>
  <si>
    <t>SALDO POR DESEMBOLSAR</t>
  </si>
  <si>
    <t>4. EJECUCION FINANCIERA CONTRATACION DERIVADA</t>
  </si>
  <si>
    <t>ITEM</t>
  </si>
  <si>
    <t>CDR 
(*)</t>
  </si>
  <si>
    <t>LINEA DEL PROYECTO</t>
  </si>
  <si>
    <t>PROYECTO</t>
  </si>
  <si>
    <t>MUNICIPIO</t>
  </si>
  <si>
    <t>DEPARTAMENTO</t>
  </si>
  <si>
    <t>GRUPO</t>
  </si>
  <si>
    <t>CANTIDAD SEDES</t>
  </si>
  <si>
    <t>CONTRATO 
No.</t>
  </si>
  <si>
    <t>FECHA 
SUSCRIPCION</t>
  </si>
  <si>
    <t>TIPO 
CONTRATO</t>
  </si>
  <si>
    <t>CONTRATADO O POR CONTRATAR</t>
  </si>
  <si>
    <t>CONTRATISTA</t>
  </si>
  <si>
    <t>CC / NIT</t>
  </si>
  <si>
    <t xml:space="preserve">VALOR 
ADJUDICADO </t>
  </si>
  <si>
    <t>VALOR POR
ADJUDICAR Y/O LIBERAR</t>
  </si>
  <si>
    <t>ADICIONES / MODIFICACIONES CONTRATO</t>
  </si>
  <si>
    <t>VALOR FINAL CONTRATO</t>
  </si>
  <si>
    <t>SALDO POR PAGAR</t>
  </si>
  <si>
    <t>% AVANCE FINANCIERO</t>
  </si>
  <si>
    <t>Proyectos Estrategicos</t>
  </si>
  <si>
    <t>LA REVISIÓN, AJUSTE Y COMPLEMENTACIÓN DE ESTUDIOS Y DISEÑOS, ASÍ COMO LA AMPLIACIÓN Y MEJORAMIENTO DE LA INSTITUCIÓN EDUCATIVA EUGENIO DIAZ CASTRO SEDE EL CHARQUITO UBICADA EN EL MUNICIPIO DE SOACHA, DEPARTAMENTO CUNDINAMARCA.</t>
  </si>
  <si>
    <t>SOACHA</t>
  </si>
  <si>
    <t>CUNDINAMARCA</t>
  </si>
  <si>
    <t>NA</t>
  </si>
  <si>
    <t>014-2023</t>
  </si>
  <si>
    <t>OBRA</t>
  </si>
  <si>
    <t>CONTRATADO</t>
  </si>
  <si>
    <t>SITTCA CONSTRUCCIONES S.A.S.</t>
  </si>
  <si>
    <t>INTERVENTORÍA TÉCNICA, ADMINISTRATIVA, FINANCIERA, CONTABLE, AMBIENTAL, SOCIAL Y JURÍDICA A LA REVISIÓN, AJUSTE Y COMPLEMENTACIÓN DE ESTUDIOS Y DISEÑOS, ASÍ COMO A LA AMPLIACIÓN Y MEJORAMIENTO DE LA INSTITUCIÓN EDUCATIVA EUGENIO DIAZ CASTRO SEDE EL CHARQUITO UBICADA EN EL MUNICIPIO DE SOACHA, DEPARTAMENTO CUNDINAMARCA</t>
  </si>
  <si>
    <t>003-2023</t>
  </si>
  <si>
    <t>INTERVENTORIA</t>
  </si>
  <si>
    <t>CONSORCIO CHARQUITO ET</t>
  </si>
  <si>
    <t>LA CONSTRUCCIÓN DE LA INSTITUCIÓN EDUCATIVA JOSE ANTONIO RICAURTE UBICADA EN EL MUNICIPIO DE IBAGUE, DEPARTAMENTO DEL TOLIMA.</t>
  </si>
  <si>
    <t>IBAGUE</t>
  </si>
  <si>
    <t>TOLIMA</t>
  </si>
  <si>
    <t>014-2024</t>
  </si>
  <si>
    <t>CONSORCIO BB – IBAGUE</t>
  </si>
  <si>
    <t>INTERVENTORÍA TÉCNICA, ADMINISTRATIVA, FINANCIERA, CONTABLE, AMBIENTAL, SOCIAL Y JURÍDICA A LA CONSTRUCCIÓN DE LA INSTITUCIÓN EDUCATIVA JOSE ANTONIO RICAURTE UBICADA EN EL MUNICIPIO DE IBAGUE, DEPARTAMENTO DEL TOLIMA</t>
  </si>
  <si>
    <t>011-2024</t>
  </si>
  <si>
    <t>CONSORCIO EDIFICACIONES 2024</t>
  </si>
  <si>
    <t>Mejoramientos</t>
  </si>
  <si>
    <t>ELABORACIÓN DE DIAGNÓSTICOS, ESTUDIOS TÉCNICOS, DISEÑOS Y EJECUCIÓN DE OBRAS DE MEJORAMIENTO EN LAS INSTITUCIONES EDUCATIVAS OFICIALES DEL DEPARTAMENTO DE TOLIMA (GRUPO 1), PRIORIZADAS POR EL MINISTERIO DE EDUCACION NACIONAL Y VIABILIZADOS POR FINDETER.</t>
  </si>
  <si>
    <t>RIOBLANCO
CHAPARRAL</t>
  </si>
  <si>
    <t>004-2023</t>
  </si>
  <si>
    <t>CDC INGENIERIA Y ARQUITECTURA S.A.S.</t>
  </si>
  <si>
    <t>INTERVENTORÍA INTEGRAL (TÉCNICA, ADMINISTRATIVA, FINANCIERA, CONTABLE, AMBIENTAL, SOCIAL Y JURÍDICA) PARA LA ELABORACIÓN DE DIAGNÓSTICOS, ESTUDIOS TÉCNICOS, DISEÑOS Y EJECUCIÓN DE OBRAS DE MEJORAMIENTO EN LAS INSTITUCIONES EDUCATIVAS OFICIALES DEL DEPARTAMENTO DE TOLIMA (GRUPO 1), PRIORIZADAS POR EL MINISTERIO DE EDUCACION NACIONAL Y VIABILIZADOS POR FINDETER.</t>
  </si>
  <si>
    <t>007-2023</t>
  </si>
  <si>
    <t>CONSTRUOBRAS C&amp;M SAS</t>
  </si>
  <si>
    <t>ELABORACIÓN DE DIAGNÓSTICOS, ESTUDIOS TÉCNICOS, DISEÑOS Y EJECUCIÓN DE OBRAS DE MEJORAMIENTO EN LAS INSTITUCIONES EDUCATIVAS OFICIALES DEL MUNICIPIO DE TAME, DEPARTAMENTO DE ARAUCA (GRUPO 2), PRIORIZADAS POR EL MINISTERIO DE EDUCACION NACIONAL Y VIABILIZADOS POR FINDETER</t>
  </si>
  <si>
    <t>TAME</t>
  </si>
  <si>
    <t>ARAUCA</t>
  </si>
  <si>
    <t>002-2023</t>
  </si>
  <si>
    <t>CONSORCIO INSTITUCIONES EDUCATIVAS TAME</t>
  </si>
  <si>
    <t>INTERVENTORÍA INTEGRAL (TÉCNICA, ADMINISTRATIVA, FINANCIERA, CONTABLE, AMBIENTAL, SOCIAL Y JURÍDICA) PARA LA ELABORACIÓN DE DIAGNÓSTICOS, ESTUDIOS TÉCNICOS, DISEÑOS Y EJECUCIÓN DE OBRAS DE MEJORAMIENTO EN LAS INSTITUCIONES EDUCATIVAS OFICIALES DEL MUNICIPIO DE TAME, DEPARTAMENTO DE ARAUCA (GRUPO 2), PRIORIZADAS POR EL MINISTERIO DE EDUCACION NACIONAL Y VIABILIZADOS POR FINDETER.</t>
  </si>
  <si>
    <t>001-2023</t>
  </si>
  <si>
    <t>CONSORCIO INTERVENTORES 086</t>
  </si>
  <si>
    <t>ELABORACIÓN DE DIAGNÓSTICOS, ESTUDIOS TÉCNICOS, DISEÑOS Y EJECUCIÓN DE OBRAS DE MEJORAMIENTO EN LAS INSTITUCIONES EDUCATIVAS OFICIALES DE LOS DEPARTAMENTOS DE ARAUCA Y CASANARE (GRUPO 3), PRIORIZADAS POR EL MINISTERIO DE EDUCACION NACIONAL Y VIABILIZADOS POR FINDETER.</t>
  </si>
  <si>
    <t>SARAVENA
FORTUL
HATO COROZAL</t>
  </si>
  <si>
    <t>ARAUCA
CASANARE</t>
  </si>
  <si>
    <t>008-2023</t>
  </si>
  <si>
    <t>INTERVENTORÍA INTEGRAL (TÉCNICA, ADMINISTRATIVA, FINANCIERA, CONTABLE, AMBIENTAL, SOCIAL Y JURÍDICA) PARA LA ELABORACIÓN DE DIAGNÓSTICOS, ESTUDIOS TÉCNICOS, DISEÑOS Y EJECUCIÓN DE OBRAS DE MEJORAMIENTO EN LAS INSTITUCIONES EDUCATIVAS OFICIALES DE LOS DEPARTAMENTOS DE ARAUCA Y CASANARE (GRUPO 3), PRIORIZADAS POR EL MINISTERIO DE EDUCACION NACIONAL Y VIABILIZADOS POR FINDETER.</t>
  </si>
  <si>
    <t>006-2023</t>
  </si>
  <si>
    <t>CONSORCIO SAN JOSUE</t>
  </si>
  <si>
    <t>ESTUDIO PREVIO PARA CONTRATAR LA “ELABORACIÓN DE DIAGNÓSTICOS, ESTUDIOS TÉCNICOS, DISEÑOS Y EJECUCIÓN DE OBRAS DE MEJORAMIENTO EN LAS INSTITUCIONES EDUCATIVAS OFICIALES DEL DEPARTAMENTO DE CAUCA (GRUPO 4), PRIORIZADAS POR EL MINISTERIO DE EDUCACION NACIONAL Y VIABILIZADOS POR FINDETER”.</t>
  </si>
  <si>
    <t>TIMBIQUI</t>
  </si>
  <si>
    <t>CAUCA</t>
  </si>
  <si>
    <t>POR CONTRATAR</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</si>
  <si>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4), PRIORIZADAS POR EL MINISTERIO DE EDUCACION NACIONAL Y VIABILIZADOS POR FINDETER.</t>
  </si>
  <si>
    <t>ELABORACIÓN DE DIAGNÓSTICOS, ESTUDIOS TÉCNICOS, DISEÑOS Y EJECUCIÓN DE OBRAS DE MEJORAMIENTO EN LAS INSTITUCIONES EDUCATIVAS OFICIALES DEL DEPARTAMENTO DE CAUCA (GRUPO 5), PRIORIZADAS POR EL MINISTERIO DE EDUCACION NACIONAL Y VIABILIZADOS POR FINDETER</t>
  </si>
  <si>
    <t>MORALES
PIENDAMO</t>
  </si>
  <si>
    <t>015-2023</t>
  </si>
  <si>
    <t>NATALIA MARCELA ROSERO PALACIOS</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</si>
  <si>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5), PRIORIZADAS POR EL MINISTERIO DE EDUCACION NACIONAL Y VIABILIZADOS POR FINDETER.</t>
  </si>
  <si>
    <t>016-2023</t>
  </si>
  <si>
    <t>CONSORCIO FINDETER G3</t>
  </si>
  <si>
    <t>ELABORACIÓN DE DIAGNÓSTICOS, ESTUDIOS TÉCNICOS, DISEÑOS Y EJECUCIÓN DE OBRAS DE MEJORAMIENTO EN LAS INSTITUCIONES EDUCATIVAS OFICIALES DE LOS MUNICIPIOS DE SUAREZ Y BUENOS AIRES, DEPARTAMENTO DEL CAUCA (GRUPO 6) PRIORIZADAS POR EL MINISTERIO DE EDUCACION NACIONAL Y VIABILIZADOS POR FINDETER</t>
  </si>
  <si>
    <t>SUAREZ
BUENOS AIRES</t>
  </si>
  <si>
    <t>ELABORACIÓN DE DIAGNÓSTICOS, ESTUDIOS TÉCNICOS, DISEÑOS Y EJECUCIÓN DE OBRAS DE MEJORAMIENTO EN LAS INSTITUCIONES EDUCATIVAS OFICIALES DEL DEPARTAMENTO DE CAUCA (GRUPO 7), PRIORIZADAS POR EL MINISTERIO DE EDUCACION NACIONAL Y VIABILIZADOS POR FINDETER</t>
  </si>
  <si>
    <t>LOPEZ</t>
  </si>
  <si>
    <t>INTERVENTORÍA INTEGRAL (TÉCNICA, ADMINISTRATIVA, FINANCIERA, CONTABLE, AMBIENTAL, SOCIAL Y JURÍDICA) PARA LA ELABORACIÓN DE DIAGNÓSTICOS, ESTUDIOS TÉCNICOS, DISEÑOS Y EJECUCIÓN DE OBRAS DE MEJORAMIENTO EN LAS INSTITUCIONES EDUCATIVAS OFICIALES DEL DEPARTAMENTO DE CAUCA (GRUPO 7), PRIORIZADAS POR EL MINISTERIO DE EDUCACION NACIONAL Y VIABILIZADOS POR FINDETER.</t>
  </si>
  <si>
    <t>ELABORACIÓN DE DIAGNÓSTICOS, ESTUDIOS TÉCNICOS, DISEÑOS Y EJECUCIÓN DE OBRAS DE MEJORAMIENTO EN LAS INSTITUCIONES EDUCATIVAS OFICIALES DEL DEPARTAMENTO DE CHOCÓ (GRUPO 8), PRIORIZADAS POR EL MINISTERIO DE EDUCACION NACIONAL Y VIABILIZADOS POR FINDETER</t>
  </si>
  <si>
    <t>RIOSUCIO, QUIBDÓ, Y BAJO BAUDÓ</t>
  </si>
  <si>
    <t>CHOCÓ</t>
  </si>
  <si>
    <t>INTERVENTORÍA INTEGRAL (TÉCNICA, ADMINISTRATIVA, FINANCIERA, CONTABLE, AMBIENTAL, SOCIAL Y JURÍDICA) PARA LA ELABORACIÓN DE DIAGNÓSTICOS, ESTUDIOS TÉCNICOS, DISEÑOS Y EJECUCIÓN DE OBRAS DE MEJORAMIENTO EN LAS INSTITUCIONES EDUCATIVAS OFICIALES DEL DEPARTAMENTO DE CHOCÓ (GRUPO 8), PRIORIZADAS POR EL MINISTERIO DE EDUCACION NACIONAL Y VIABILIZADOS POR FINDETER.</t>
  </si>
  <si>
    <t>BAJO BAUDO
RIOSUCIO
QUIBDO</t>
  </si>
  <si>
    <t>CHOCO</t>
  </si>
  <si>
    <t>ELABORACIÓN DE DIAGNÓSTICOS, ESTUDIOS TÉCNICOS, DISEÑOS Y EJECUCIÓN DE OBRAS DE MEJORAMIENTO EN LAS INSTITUCIONES EDUCATIVAS OFICIALES DEL DEPARTAMENTO DE CESAR (GRUPO 9), PRIORIZADAS POR EL MINISTERIO DE EDUCACION NACIONAL Y VIABILIZADOS POR FINDETER</t>
  </si>
  <si>
    <t>LA JAGUA DE IBIRICO
CURUMANI
CHIRIGUANA
BERRECIL</t>
  </si>
  <si>
    <t>CESAR</t>
  </si>
  <si>
    <t>012-2023</t>
  </si>
  <si>
    <t>CONSORCIO EDUCATIVO CESAR</t>
  </si>
  <si>
    <t>INTERVENTORÍA INTEGRAL (TÉCNICA, ADMINISTRATIVA, FINANCIERA, CONTABLE, AMBIENTAL, SOCIAL Y JURÍDICA) PARA LA ELABORACIÓN DE DIAGNÓSTICOS, ESTUDIOS TÉCNICOS, DISEÑOS Y EJECUCIÓN DE OBRAS DE MEJORAMIENTO EN LAS INSTITUCIONES EDUCATIVAS OFICIALES DEL DEPARTAMENTO DE CESAR (GRUPO 9), PRIORIZADAS POR EL MINISTERIO DE EDUCACION NACIONAL Y VIABILIZADOS POR FINDETER.</t>
  </si>
  <si>
    <t>009-2023</t>
  </si>
  <si>
    <t>INTERVENTORIAS &amp; CONSULTORIAS S.A.S</t>
  </si>
  <si>
    <t>ELABORACIÓN DE DIAGNÓSTICOS, ESTUDIOS TÉCNICOS, DISEÑOS Y EJECUCIÓN DE OBRAS DE MEJORAMIENTO EN LAS INSTITUCIONES EDUCATIVAS OFICIALES DE LOS DEPARTAMENTOS DE CORDOBA Y ANTIOQUIA (GRUPO 10), PRIORIZADAS POR EL MINISTERIO DE EDUCACION NACIONAL Y VIABILIZADOS POR FINDETER</t>
  </si>
  <si>
    <t>VALENCIA
SAN PEDRO DE URABA</t>
  </si>
  <si>
    <t>CORDOBA
ANTIOQUIA</t>
  </si>
  <si>
    <t>005-2023</t>
  </si>
  <si>
    <t>AZUL CONSTRUCCIÓN Y MINERÍA S.A</t>
  </si>
  <si>
    <t>INTERVENTORÍA INTEGRAL (TÉCNICA, ADMINISTRATIVA, FINANCIERA, CONTABLE, AMBIENTAL, SOCIAL Y JURÍDICA) PARA LA ELABORACIÓN DE DIAGNÓSTICOS, ESTUDIOS TÉCNICOS, DISEÑOS Y EJECUCIÓN DE OBRAS DE MEJORAMIENTO EN LAS INSTITUCIONES EDUCATIVAS OFICIALES DE LOS DEPARTAMENTOS DE CÓRDOBA Y ANTIOQUIA (GRUPO 10), PRIORIZADAS POR EL MINISTERIO DE EDUCACION NACIONAL Y VIABILIZADOS POR FINDETER.</t>
  </si>
  <si>
    <t>010-2023</t>
  </si>
  <si>
    <t>CONSTRUOBRAS C&amp;M S.A.S</t>
  </si>
  <si>
    <t>ELABORACIÓN DE DIAGNÓSTICOS, ESTUDIOS TÉCNICOS, DISEÑOS Y EJECUCIÓN DE OBRAS DE MEJORAMIENTO EN LAS INSTITUCIONES EDUCATIVAS OFICIALES DEL MUNICIPIO DE TIERRALTA, DEPARTAMENTO DEL CÓRDOBA (GRUPO 11) PRIORIZADAS POR EL MINISTERIO DE EDUCACION NACIONAL Y VIABILIZADOS POR FINDETER</t>
  </si>
  <si>
    <t>TIERRALTA</t>
  </si>
  <si>
    <t>CORDOBA</t>
  </si>
  <si>
    <t>013-2023</t>
  </si>
  <si>
    <t>CONSORCIO NUEVO HORIZONTE</t>
  </si>
  <si>
    <t>INTERVENTORÍA INTEGRAL (TÉCNICA, ADMINISTRATIVA, FINANCIERA, CONTABLE, AMBIENTAL, SOCIAL Y JURÍDICA) PARA LA ELABORACIÓN DE DIAGNÓSTICOS, ESTUDIOS TÉCNICOS, DISEÑOS Y EJECUCIÓN DE OBRAS DE MEJORAMIENTO EN LAS INSTITUCIONES EDUCATIVAS OFICIALES DEL MUNICIPIO DE TIERRALTA, DEPARTAMENTO DEL CÓRDOBA (GRUPO 11) PRIORIZADAS POR EL MINISTERIO DE EDUCACION NACIONAL Y VIABILIZADOS POR FINDETER</t>
  </si>
  <si>
    <t>011-2023</t>
  </si>
  <si>
    <t>CONSORCIO INTER- EDUCATIVO</t>
  </si>
  <si>
    <t>ELABORACIÓN DE DIAGNÓSTICOS, ESTUDIOS TÉCNICOS, DISEÑOS Y EJECUCIÓN DE OBRAS DE MEJORAMIENTO EN LAS INSTITUCIONES EDUCATIVAS OFICIALES DEL DEPARTAMENTO DE NARIÑO (GRUPO 12), PRIORIZADAS POR EL MINISTERIO DE EDUCACIÓN NACIONAL Y VIABILIZADOS POR FINDETER</t>
  </si>
  <si>
    <t>LA TOLA, MOSQUERA Y SANTA BARBARA</t>
  </si>
  <si>
    <t>NARIÑO</t>
  </si>
  <si>
    <t>INTERVENTORÍA INTEGRAL (TÉCNICA, ADMINISTRATIVA, FINANCIERA, CONTABLE, AMBIENTAL, SOCIAL Y JURÍDICA) PARA LA ELABORACIÓN DE DIAGNÓSTICOS, ESTUDIOS TÉCNICOS, DISEÑOS Y EJECUCIÓN DE OBRAS DE MEJORAMIENTO EN LAS INSTITUCIONES EDUCATIVAS OFICIALES DEL DEPARTAMENTO DE NARIÑO (GRUPO 12), PRIORIZADAS POR EL MINISTERIO DE EDUCACION NACIONAL Y VIABILIZADOS POR FINDETER.</t>
  </si>
  <si>
    <t>LA TOLA
SANTA BARBARA
MOSQUERA</t>
  </si>
  <si>
    <t>ELABORACIÓN DE DIAGNÓSTICOS, ESTUDIOS TÉCNICOS, DISEÑOS Y EJECUCIÓN DE OBRAS DE MEJORAMIENTO EN LAS INSTITUCIONES EDUCATIVAS OFICIALES DEL DEPARTAMENTO DE NARIÑO (GRUPO 13), PRIORIZADAS POR EL MINISTERIO DE EDUCACION NACIONAL Y VIABILIZADOS POR FINDETER</t>
  </si>
  <si>
    <t>BARBACOAS</t>
  </si>
  <si>
    <t>005-2024</t>
  </si>
  <si>
    <t>CONSTRUCCIONES B&amp;M S.A.S</t>
  </si>
  <si>
    <t>INTERVENTORÍA INTEGRAL (TÉCNICA, ADMINISTRATIVA, FINANCIERA, CONTABLE, AMBIENTAL, SOCIAL Y JURÍDICA) PARA LA ELABORACIÓN DE DIAGNÓSTICOS, ESTUDIOS TÉCNICOS, DISEÑOS Y EJECUCIÓN DE OBRAS DE MEJORAMIENTO EN LAS INSTITUCIONES EDUCATIVAS OFICIALES DEL DEPARTAMENTO DE NARIÑO (GRUPO 13), PRIORIZADAS POR EL MINISTERIO DE EDUCACION NACIONAL Y VIABILIZADOS POR FINDETER.</t>
  </si>
  <si>
    <t>006-2024</t>
  </si>
  <si>
    <t>ELABORACIÓN DE DIAGNÓSTICOS, ESTUDIOS TÉCNICOS ,DISEÑOS Y  EJECUCIÓN DE OBRAS DE MEJORAMIENTO EN LAS INSTITUCIONES EDUCATIVAS OFICIALES DE LOS MUNICIPIOS DE PUERTO ASÍS, VALLE GUAMEZ, SAN MIGUEL Y PUERTO CAICEDO DEL DEPARTAMENTO DE PUTUMAYO (GRUPO 14), PRIORIZADAS POR EL MINISTERIO DE EDUCACION NACIONAL Y VIABILIZADOS POR FINDETER</t>
  </si>
  <si>
    <t>PUERTO ASIS
VALLE GUAMEZ
SAN MIGUEL
PUERTO CAICEDO</t>
  </si>
  <si>
    <t>PUTUMAYO</t>
  </si>
  <si>
    <t>INTERVENTORÍA INTEGRAL (TÉCNICA, ADMINISTRATIVA, FINANCIERA, CONTABLE, AMBIENTAL, SOCIAL Y JURÍDICA) PARA LA ELABORACIÓN DE DIAGNÓSTICOS, ESTUDIOS TÉCNICOS ,DISEÑOS Y  EJECUCIÓN DE OBRAS DE MEJORAMIENTO EN LAS INSTITUCIONES EDUCATIVAS OFICIALES DE LOS MUNICIPIOS DE PUERTO ASÍS, VALLE GUAMEZ, SAN MIGUEL Y PUERTO CAICEDO DEL DEPARTAMENTO DE PUTUMAYO (GRUPO 14), PRIORIZADAS POR EL MINISTERIO DE EDUCACION NACIONAL Y VIABILIZADOS POR FINDETER.</t>
  </si>
  <si>
    <t>ELABORACIÓN DE DIAGNÓSTICOS, ESTUDIOS TÉCNICOS ,DISEÑOS Y  EJECUCIÓN DE OBRAS DE MEJORAMIENTO EN LAS INSTITUCIONES EDUCATIVAS OFICIALES  DEL DEPARTAMENTO DE NORTE DE SANTANDER (GRUPO 15), PRIORIZADAS POR EL MINISTERIO DE EDUCACION NACIONAL Y VIABILIZADOS POR FINDETER</t>
  </si>
  <si>
    <t>TIBU
EL TARRA</t>
  </si>
  <si>
    <t>NORTE DE SANTANDER</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</si>
  <si>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15), PRIORIZADAS POR EL MINISTERIO DE EDUCACION NACIONAL Y VIABILIZADOS POR FINDETER</t>
  </si>
  <si>
    <t>ELABORACIÓN DE DIAGNÓSTICOS, ESTUDIOS TÉCNICOS, DISEÑOS Y EJECUCIÓN DE OBRAS DE MEJORAMIENTO EN LAS INSTITUCIONES EDUCATIVAS OFICIALES DEL DEPARTAMENTO DE NORTE DE SANTANDER (GRUPO 16) PRIORIZADAS POR EL MINISTERIO DE EDUCACION NACIONAL Y VIABILIZADOS POR FINDETER</t>
  </si>
  <si>
    <t>EL CARMEN Y COMVENCIÓN</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</si>
  <si>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16) PRIORIZADAS POR EL MINISTERIO DE EDUCACION NACIONAL Y VIABILIZADOS POR FINDETER</t>
  </si>
  <si>
    <t>EL CARMEN
CONVENCION</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</si>
  <si>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17), PRIORIZADAS POR EL MINISTERIO DE EDUCACION NACIONAL Y VIABILIZADOS POR FINDETER</t>
  </si>
  <si>
    <t>TEORAMA
SAN CALIXTO
HACARI</t>
  </si>
  <si>
    <t>ELABORACIÓN DE DIAGNÓSTICOS, ESTUDIOS TÉCNICOS, DISEÑOS Y EJECUCIÓN DE OBRAS DE MEJORAMIENTO EN LAS INSTITUCIONES EDUCATIVAS OFICIALES DEL DEPARTAMENTO DE NORTE DE SANTANDER (GRUPO 17), PRIORIZADAS POR EL MINISTERIO DE EDUCACION NACIONAL Y VIABILIZADOS POR FINDETER</t>
  </si>
  <si>
    <t>TEORAMA, SAN CALIXTO, HACARÍ</t>
  </si>
  <si>
    <t>ELABORACIÓN DE DIAGNÓSTICOS, ESTUDIOS TÉCNICOS, DISEÑOS Y EJECUCIÓN DE OBRAS DE MEJORAMIENTO EN LAS INSTITUCIONES EDUCATIVAS OFICIALES DE LOS MUNICIPIOS DE NECHI Y SEGOVIA, DEPARTAMENTO DE ANTIOQUIA (GRUPO 19) PRIORIZADAS POR EL MINISTERIO DE EDUCACION NACIONAL Y VIABILIZADOS POR FINDETER</t>
  </si>
  <si>
    <t>SEGOVIA
NECHI</t>
  </si>
  <si>
    <t>ANTIOQUIA</t>
  </si>
  <si>
    <t>007-2024</t>
  </si>
  <si>
    <t>008-2024</t>
  </si>
  <si>
    <t>CONSORCIO INESGON</t>
  </si>
  <si>
    <t>ELABORACIÓN DE DIAGNÓSTICOS, ESTUDIOS TÉCNICOS, DISEÑOS Y EJECUCIÓN DE OBRAS DE MEJORAMIENTO EN LAS INSTITUCIONES EDUCATIVAS OFICIALES DEL MUNICIPIO DE URIBIA DEL DEPARTAMENTO DE LA GUAJIRA (GRUPO 21), PRIORIZADAS POR EL MINISTERIO DE EDUCACIÓN NACIONAL Y VIABILIZADOS POR FINDETER</t>
  </si>
  <si>
    <t>URIBIA</t>
  </si>
  <si>
    <t>LA GUAJIRA</t>
  </si>
  <si>
    <t>003-2024</t>
  </si>
  <si>
    <t>INTERVENTORÍA INTEGRAL (TÉCNICA, ADMINISTRATIVA, FINANCIERA, CONTABLE, AMBIENTAL, SOCIAL Y JURÍDICA) PARA LA ELABORACIÓN DE DIAGNÓSTICOS, ESTUDIOS TÉCNICOS, DISEÑOS Y EJECUCIÓN DE OBRAS DE MEJORAMIENTO EN LAS INSTITUCIONES EDUCATIVAS OFICIALES DEL MUNICIPIO DE URIBIA DEL DEPARTAMENTO DE LA GUAJIRA (GRUPO 21), PRIORIZADAS POR EL MINISTERIO DE EDUCACIÓN NACIONAL Y VIABILIZADOS POR FINDETER</t>
  </si>
  <si>
    <t>004-2024</t>
  </si>
  <si>
    <t>CONSORCIO CDG GUAJIRA</t>
  </si>
  <si>
    <t>ELABORACIÓN DE DIAGNÓSTICOS, ESTUDIOS TÉCNICOS ,DISEÑOS Y  EJECUCIÓN DE OBRAS DE MEJORAMIENTO EN LAS INSTITUCIONES EDUCATIVAS OFICIALES DEL MUNICIPIO DE DIBULLA, DEPARTAMENTO DE LA GUAJIRA (GRUPO 22), PRIORIZADAS POR EL MINISTERIO DE EDUCACION NACIONAL Y VIABILIZADOS POR FINDETER</t>
  </si>
  <si>
    <t>DIBULLA</t>
  </si>
  <si>
    <t>001-2024</t>
  </si>
  <si>
    <t>CONSORCIO VERTICE</t>
  </si>
  <si>
    <t>INTERVENTORÍA INTEGRAL (TÉCNICA, ADMINISTRATIVA, FINANCIERA, CONTABLE, AMBIENTAL, SOCIAL Y JURÍDICA) PARA LA ELABORACIÓN DE DIAGNÓSTICOS, ESTUDIOS TÉCNICOS ,DISEÑOS Y  EJECUCIÓN DE OBRAS DE MEJORAMIENTO EN LAS INSTITUCIONES EDUCATIVAS OFICIALES DEL MUNICIPIO DE DIBULLA, DEPARTAMENTO DE LA GUAJIRA (GRUPO 22), PRIORIZADAS POR EL MINISTERIO DE EDUCACION NACIONAL Y VIABILIZADOS POR FINDETER</t>
  </si>
  <si>
    <t>002-2024</t>
  </si>
  <si>
    <t>CAMILO PEDRAZA DÍAZ</t>
  </si>
  <si>
    <t>ELABORACIÓN DE DIAGNÓSTICOS, ESTUDIOS TÉCNICOS, DISEÑOS Y EJECUCIÓN DE OBRAS DE MEJORAMIENTO EN LAS INSTITUCIONES EDUCATIVAS OFICIALES DE LOS DEPARTAMENTOS DE GUAVIARE, CAQUETÁ Y META (GRUPO 24), PRIORIZADAS POR EL MINISTERIO DE EDUCACION NACIONAL Y VIABILIZADOS POR FINDETER</t>
  </si>
  <si>
    <t>EL RETORNO, SA JOSÉ DE GUAVIARE, CALAMAR, SAN VICENTE DE CAGUÁN Y URIBE</t>
  </si>
  <si>
    <t>GUAVIARE, CAQUETÁ Y META</t>
  </si>
  <si>
    <t>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EDUCACION NACIONAL Y VIABILIZADOS POR FINDETERR</t>
  </si>
  <si>
    <t>EL RETORNO
SAN JOSE DEL GUAVIARE
CALAMAR
SAN VICENTE DEL CAGUAN
URIBE</t>
  </si>
  <si>
    <t>GUAVIARE
CAQUETA
META</t>
  </si>
  <si>
    <t>Emergencias</t>
  </si>
  <si>
    <t>ELABORACIÓN DE DIAGNÓSTICOS, ESTUDIOS TÉCNICOS, DISEÑOS Y EJECUCIÓN DE OBRAS DE MEJORAMIENTO Y/U OBRAS REQUERIDAS PARA LA INFRAESTRUCTURA EDUCATIVA Y SUMINISTRO E INSTALACIÓN DE AULAS Y/O BATERÍAS SANITARIAS, EN SEDES AFECTADAS POR EMERGENCIA - GRUPO 3</t>
  </si>
  <si>
    <t>BUENOS AIRES
PUERTO TEJADA
SANTADER DE QUILICHAO
SUAREZ
BUENAVENTURA
FLORIDA
BAJO BAUDO</t>
  </si>
  <si>
    <t>CAUCA
VALLE DE CAUCA
CHOCO</t>
  </si>
  <si>
    <t>013-2024</t>
  </si>
  <si>
    <t>HUGO FRANCISCO HINESTROZA MONTENEGRO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</si>
  <si>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3</t>
  </si>
  <si>
    <t>012-2024</t>
  </si>
  <si>
    <t>UNIÓN TEMPORAL SEDES 24</t>
  </si>
  <si>
    <t>ELABORACIÓN DE DIAGNÓSTICOS, ESTUDIOS TÉCNICOS, DISEÑOS Y EJECUCIÓN DE OBRAS DE MEJORAMIENTO Y/U OBRAS REQUERIDAS PARA LA INFRAESTRUCTURA EDUCATIVA Y SUMINISTRO E INSTALACIÓN DE AULAS Y/O BATERÍAS SANITARIAS, EN SEDES AFECTADAS POR EMERGENCIA - GRUPO 5</t>
  </si>
  <si>
    <t>CONDOTO
ITSMINA
MEDIO BAUDO
RIO IRO
TADO
PUEBLO RICO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</si>
  <si>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t>
  </si>
  <si>
    <t>CHOCO
RISARALDA</t>
  </si>
  <si>
    <t>ELABORACIÓN DE DIAGNÓSTICOS, ESTUDIOS TÉCNICOS, DISEÑOS Y EJECUCIÓN DE OBRAS DE MEJORAMIENTO Y/U OBRAS REQUERIDAS PARA LA INFRAESTRUCTURA EDUCATIVA Y SUMINISTRO E INSTALACIÓN DE AULAS Y/O BATERÍAS SANITARIAS, EN SEDES AFECTADAS POR EMERGENCIA - GRUPO 6</t>
  </si>
  <si>
    <t>ITUANGO
SANTA BARBARA
SEGOVIA
VALDIVIA
CANTAGALLO
PUERTO WILCHES</t>
  </si>
  <si>
    <t>ANTIOQUIA
BOLIVAR
SANTADER</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</si>
  <si>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6</t>
  </si>
  <si>
    <t>ELABORACIÓN DE DIAGNÓSTICOS, ESTUDIOS TÉCNICOS, DISEÑOS Y EJECUCIÓN DE OBRAS DE MEJORAMIENTO Y/U OBRAS REQUERIDAS PARA LA INFRAESTRUCTURA EDUCATIVA Y SUMINISTRO E INSTALACIÓN DE AULAS Y/O BATERÍAS SANITARIAS, EN SEDES AFECTADAS POR EMERGENCIA - GRUPO 7</t>
  </si>
  <si>
    <t>TURBO
SAN PEDRO DE UBALA
UNGUIA
EL CARMEN DE BOLIVAR
MAGANGUE
SAN JACINTO
SAN BENIDO ABAD</t>
  </si>
  <si>
    <t>ANTIOQUIA
CHOCO
BOLIVAR
SUCRE</t>
  </si>
  <si>
    <t>010-2024</t>
  </si>
  <si>
    <t>CONSORCIO MEJORAMIENTOS MEDTEC 2024</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</si>
  <si>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7</t>
  </si>
  <si>
    <t>009-2024</t>
  </si>
  <si>
    <t xml:space="preserve">LUIS GUILLERMO NARVAEZ RICARDO </t>
  </si>
  <si>
    <t>INTERVENTORÍA INTEGRAL, TÉCNICA, ADMINISTRATIVA, FINANCIERA, CONTABLE, AMBIENTAL, SOCIAL Y JURÍDICA A LA REVISIÓN, AJUSTE, COMPLEMENTACIÓN DE ESTUDIOS Y DISEÑOS, ASÍ COMO A LA CONSTRUCCIÓN, AMPLIACIÓN Y MEJORAMIENTO DE LA INSTITUCIÓN EDUCATIVA SAN JUAN BAUTISTA SEDE PRINCIPAL UBICADA EN EL MUNICIPIO DE CAIMITO DEL DEPARTAMENTO DE SUCRE</t>
  </si>
  <si>
    <t>CAIMITO</t>
  </si>
  <si>
    <t>SUCRE</t>
  </si>
  <si>
    <t>016-2024</t>
  </si>
  <si>
    <t>INTEVENTORÍAS Y CONSULTORÍAS S.A.S</t>
  </si>
  <si>
    <t>REVISIÓN, AJUSTE, COMPLEMENTACIÓN DE ESTUDIOS Y DISEÑOS, ASÍ COMO LA CONSTRUCCIÓN, AMPLIACIÓN Y MEJORAMIENTO DE LA INSTITUCIÓN EDUCATIVA SAN JUAN BAUTISTA SEDE PRINCIPAL UBICADA EN EL MUNICIPIO DE CAIMITO, DEPARTAMENTO DE SUCRE</t>
  </si>
  <si>
    <t>ELABORACIÓN DE DIAGNÓSTICOS, ESTUDIOS TÉCNICOS, DISEÑOS Y EJECUCIÓN DE OBRAS DE MEJORAMIENTO Y/U OBRAS REQUERIDAS PARA LA INFRAESTRUCTURA EDUCATIVA Y SUMINISTRO E INSTALACIÓN DE AULAS Y/O BATERÍAS SANITARIAS, EN SEDES AFECTADAS POR EMERGENCIA - GRUPO 10</t>
  </si>
  <si>
    <t>URIBIA/RIOHACHA/MAICAO/MANAURE</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</si>
  <si>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10</t>
  </si>
  <si>
    <t>INTERVENTORÍA TÉCNICA, ADMINISTRATIVA, FINANCIERA, CONTABLE, AMBIENTAL, SOCIAL Y JURÍDICA A LA REVISIÓN, AJUSTE Y COMPLEMENTACIÓN DE ESTUDIOS Y DISEÑOS, DEMOLICIÓN Y CONSTRUCCIÓN DE LA INSTITUCIÓN EDUCATIVA SAN JOSE - SEDE PRINCIPAL UBICADA EN EL MUNICIPIO DE SAN JOSE DEL PALMAR, DEPARTAMENTO DE CHOCÓ</t>
  </si>
  <si>
    <t>SAN JOSÉ DEL PALMAR</t>
  </si>
  <si>
    <t>LA REVISIÓN, AJUSTE Y COMPLEMENTACIÓN DE ESTUDIOS Y DISEÑOS, DEMOLICIÓN Y CONSTRUCCIÓN DE LA INSTITUCIÓN EDUCATIVA SAN JOSE - SEDE PRINCIPAL UBICADA EN EL MUNICIPIO DE SAN JOSE DEL PALMAR, DEPARTAMENTO DE CHOCÓ</t>
  </si>
  <si>
    <t>ELABORACIÓN DE DIAGNÓSTICOS, ESTUDIOS TÉCNICOS, DISEÑOS Y EJECUCIÓN DE OBRAS DE MEJORAMIENTO Y/U OBRAS REQUERIDAS PARA LA INFRAESTRUCTURA EDUCATIVA Y SUMINISTRO E INSTALACIÓN DE AULAS Y/O BATERÍAS SANITARIAS, EN SEDES AFECTADAS POR EMERGENCIA - GRUPO 9</t>
  </si>
  <si>
    <t>AGUSTIN CODAZZI / BOSCONIA / MANAURE BALCÓN DEL CESÁR / VALLEDUPAR /ARACATACA / FUNDACIÓN</t>
  </si>
  <si>
    <t>CESÁR
MAGDALENA</t>
  </si>
  <si>
    <t>018-2024</t>
  </si>
  <si>
    <t>DIARQCO CONSTRUCTORES S.A.S</t>
  </si>
  <si>
    <t>INTERVENTORÍA INTEGRAL (TÉCNICA, ADMINISTRATIVA, FINANCIERA, CONTABLE, AMBIENTAL, SOCIAL Y JURÍDICA)PARA LA ELABORACIÓN DE DIAGNÓSTICOS, ESTUDIOS TÉCNICOS, DISEÑOS Y EJECUCIÓN DE OBRAS DE MEJORAMIENTO Y/U OBRAS REQUERIDAS PARA LA INFRAESTRUCTURA EDUCATIVA Y SUMINISTRO E INSTALACIÓN DE AULAS Y/O BATERÍAS SANITARIAS, EN SEDES AFECTADAS POR EMERGENCIA - GRUPO 9</t>
  </si>
  <si>
    <t>017-2024</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</si>
  <si>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1</t>
  </si>
  <si>
    <t>FLORENCIA / PTO LEGUIZAMO - SAN MIGUEL / SAN JOSE DEL GUAVIARE</t>
  </si>
  <si>
    <t>CAQUETA / PUTUMAYO / GUAVIARE</t>
  </si>
  <si>
    <t>ELABORACIÓN DE DIAGNÓSTICOS, ESTUDIOS TÉCNICOS, DISEÑOS Y EJECUCIÓN DE OBRAS DE MEJORAMIENTO Y/U OBRAS REQUERIDAS PARA LA INFRAESTRUCTURA EDUCATIVA Y SUMINISTRO E INSTALACIÓN DE AULAS Y/O BATERÍAS SANITARIAS, EN SEDES AFECTADAS POR EMERGENCIA - GRUPO 1</t>
  </si>
  <si>
    <t>ELABORACIÓN DE DIAGNÓSTICOS, ESTUDIOS TÉCNICOS, DISEÑOS Y EJECUCIÓN DE OBRAS DE MEJORAMIENTO Y/U OBRAS REQUERIDAS PARA LA INFRAESTRUCTURA EDUCATIVA Y SUMINISTRO E INSTALACIÓN DE AULAS Y/O BATERÍAS SANITARIAS, EN SEDES AFECTADAS POR EMERGENCIA - GRUPO 4</t>
  </si>
  <si>
    <t>MEDIO ATRATO/BOJAYÁ /LLORÓ/QUIBDO/RIO QUITO</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</si>
  <si>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4</t>
  </si>
  <si>
    <t>ROBERTO PAYÁN /EL TAMBO/ LOPEZ DE MICAY/ BALBOA /ARGELIA</t>
  </si>
  <si>
    <t>INTERVENTORÍA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t>
  </si>
  <si>
    <t>ELABORACIÓN DE DIAGNÓSTICOS, ESTUDIOS TÉCNICOS, DISEÑOS Y EJECUCIÓN DE OBRAS DE MEJORAMIENTO EN LAS INSTITUCIONES EDUCATIVAS OFICIALES DEL MUNICIPIO DE MAICAO DEL DEPARTAMENTO DE LA GUAJIRA (GRUPO 23), PRIORIZADAS POR EL MINISTERIO DE EDUCACIÓN NACIONAL Y VIABILIZADOS POR FINDETER</t>
  </si>
  <si>
    <t>MAICAO</t>
  </si>
  <si>
    <t>INTERVENTORÍA INTEGRAL (TÉCNICA, ADMINISTRATIVA, FINANCIERA, CONTABLE, AMBIENTAL, SOCIAL Y JURÍDICA) PARA LA ELABORACIÓN DE DIAGNÓSTICOS, ESTUDIOS TÉCNICOS, DISEÑOS Y EJECUCIÓN DE OBRAS DE MEJORAMIENTO EN LAS INSTITUCIONES EDUCATIVAS OFICIALES DEL MUNICIPIO DE MAICAO DEL DEPARTAMENTO DE LA GUAJIRA (GRUPO 23), PRIORIZADAS POR EL MINISTERIO DE EDUCACIÓN NACIONAL Y VIABILIZADOS POR FINDETER</t>
  </si>
  <si>
    <t>ELABORACIÓN DE DIAGNÓSTICOS, ESTUDIOS TÉCNICOS, DISEÑOS Y EJECUCIÓN DE OBRAS DE MEJORAMIENTO EN LAS INSTITUCIONES EDUCATIVAS OFICIALES DEL DEPARTAMENTO DE NORTE DE SANTANDER (GRUPO 18) PRIORIZADAS POR EL MINISTERIO DE EDUCACION NACIONAL Y VIABILIZADOS POR FINDETER</t>
  </si>
  <si>
    <t>SARDINATA</t>
  </si>
  <si>
    <t>INTERVENTORÍA INTEGRAL (TÉCNICA, ADMINISTRATIVA, FINANCIERA, CONTABLE, AMBIENTAL, SOCIAL Y JURÍDICA) PARA LA ELABORACIÓN DE DIAGNÓSTICOS, ESTUDIOS TÉCNICOS, DISEÑOS Y EJECUCIÓN DE OBRAS DE MEJORAMIENTO EN LAS INSTITUCIONES EDUCATIVAS OFICIALES DEL  DEPARTAMENTO DE NORTE DE SANTANDER (GRUPO 18) PRIORIZADAS POR EL MINISTERIO DE EDUCACION NACIONAL Y VIABILIZADOS POR FINDETER”</t>
  </si>
  <si>
    <t>ELABORACIÓN DE DIAGNÓSTICOS, ESTUDIOS TÉCNICOS, DISEÑOS Y EJECUCIÓN DE OBRAS DE MEJORAMIENTO EN LAS INSTITUCIONES EDUCATIVAS OFICIALES DE LA ETC RISARALDA (GRUPO 2O), PRIORIZADAS POR EL MINISTERIO DE EDUCACION NACIONAL Y VIABILIZADOS POR FINDETER</t>
  </si>
  <si>
    <t>QUINCHÍA, MISTRATÓ, APÍA, MARSELLA, GUÁTICA</t>
  </si>
  <si>
    <t>RISARALDA</t>
  </si>
  <si>
    <t>20 - 3</t>
  </si>
  <si>
    <t>3 - 9</t>
  </si>
  <si>
    <t>INTERVENTORÍA INTEGRAL (TÉCNICA, ADMINISTRATIVA, FINANCIERA, CONTABLE, AMBIENTAL, SOCIAL Y JURÍDICA) PARA LA ELABORACIÓN DE DIAGNÓSTICOS, ESTUDIOS TÉCNICOS, DISEÑOS Y EJECUCIÓN DE OBRAS DE MEJORAMIENTO EN LAS INSTITUCIONES EDUCATIVAS OFICIALES DE LA ETC RISARALDA (GRUPO 20), PRIORIZADAS POR EL MINISTERIO DE EDUCACION NACIONAL Y VIABILIZADOS POR FINDETER</t>
  </si>
  <si>
    <t>ELABORACIÓN DE DIAGNÓSTICOS, ESTUDIOS TÉCNICOS, DISEÑOS Y EJECUCIÓN DE OBRAS DE MEJORAMIENTO EN LAS INSTITUCIONES EDUCATIVAS OFICIALES DE LA ETC RISARALDA (GRUPO 26), PRIORIZADAS POR EL MINISTERIO DE EDUCACIÓN NACIONAL Y VIABILIZADOS POR FINDETER”.</t>
  </si>
  <si>
    <t>PUEBLO RICO</t>
  </si>
  <si>
    <t>26 - 3</t>
  </si>
  <si>
    <t>1 - 11</t>
  </si>
  <si>
    <t>INTERVENTORÍA INTEGRAL (TÉCNICA, ADMINISTRATIVA, FINANCIERA, CONTABLE, AMBIENTAL, SOCIAL Y JURÍDICA) PARA LA ELABORACIÓN DE DIAGNÓSTICOS, ESTUDIOS TÉCNICOS, DISEÑOS Y EJECUCIÓN DE OBRAS DE MEJORAMIENTO EN LAS INSTITUCIONES EDUCATIVAS OFICIALES DE LA ETC RISARALDA (GRUPO 26), PRIORIZADAS POR EL MINISTERIO DE EDUCACIÓN NACIONAL Y VIABILIZADOS POR FINDETER</t>
  </si>
  <si>
    <t>REVISIÓN, AJUSTE, COMPLEMENTACIÓN DE ESTUDIOS Y DISEÑOS Y, LA CONSTRUCCIÓN DE LA INSTITUCIÓN EDUCATIVA PUEBLO TOTOROEZ, SEDE BETÁNIA, UBICADA EN EL MUNICIPIO DE TOTORÓ, DEPARTAMENTO DEL CAUCA</t>
  </si>
  <si>
    <t>TOTORÓ</t>
  </si>
  <si>
    <t>INTERVENTORÍA INTEGRAL, TÉCNICA, ADMINISTRATIVA, FINANCIERA, CONTABLE, AMBIENTAL, SOCIAL Y JURÍDICA A LA REVISIÓN, AJUSTE, COMPLEMENTACIÓN DE ESTUDIOS Y DISEÑOS Y, LA CONSTRUCCIÓN DE LA INSTITUCIÓN EDUCATIVA PUEBLO TOTOROEZ, SEDE BETÁNIA, UBICADA EN EL MUNICIPIO DE TOTORÓ, DEPARTAMENTO DEL CAUCA</t>
  </si>
  <si>
    <t>INTERVENTORÍA INTEGRAL (TÉCNICA, ADMINISTRATIVA, FINANCIERA, CONTABLE, AMBIENTAL, SOCIAL Y JURÍDICA) PARA ELABORACIÓN DE DIAGNÓSTICOS, ESTUDIOS TÉCNICOS, DISEÑOS Y EJECUCIÓN DE OBRAS DE MEJORAMIENTO, REPOSICIÓN Y OBRAS NUEVAS EN LAS INSTITUCIONES EDUCATIVAS OFICIALES DE LA SECRETARÍA DE EDUCACIÓN DEL DEPARTAMENTO DEL CHOCÓ, PRIORIZADAS POR EL MINISTERIO DE EDUCACIÓN NACIONAL Y VIABILIZADOS POR FINDETER</t>
  </si>
  <si>
    <t>MEDIO SAN JUAN Y LITORAL DE SAN JUAN</t>
  </si>
  <si>
    <t>ELABORACIÓN DE DIAGNÓSTICOS, ESTUDIOS TÉCNICOS, DISEÑOS Y EJECUCIÓN DE OBRAS DE MEJORAMIENTO, REPOSICIÓN Y OBRAS NUEVAS EN LAS INSTITUCIONES EDUCATIVAS OFICIALES DE LA SECRETARÍA DE EDUCACIÓN DEL DEPARTAMENTO DEL CHOCÓ, PRIORIZADAS POR EL MINISTERIO DE EDUCACIÓN NACIONAL Y VIABILIZADOS POR FINDETER</t>
  </si>
  <si>
    <t>ELABORACIÓN DE DIAGNÓSTICOS, ESTUDIOS TÉCNICOS, DISEÑOS Y EJECUCIÓN DE OBRAS DE MEJORAMIENTO EN LAS INSTITUCIONES EDUCATIVAS OFICIALES DEL DEPARTAMENTO DEL VALLE DEL CAUCA (GRUPO 25), PRIORIZADAS POR EL MINISTERIO DE EDUCACIÓN NACIONAL Y VIABILIZADOS POR FINDETER</t>
  </si>
  <si>
    <t>BUENAVENTURA</t>
  </si>
  <si>
    <t>VALLE DEL CAUCA</t>
  </si>
  <si>
    <t>INTERVENTORÍA INTEGRAL (TÉCNICA, ADMINISTRATIVA, FINANCIERA, CONTABLE, AMBIENTAL, SOCIAL Y JURÍDICA) PARA LA ELABORACIÓN DE DIAGNÓSTICOS, ESTUDIOS TÉCNICOS, DISEÑOS Y EJECUCIÓN DE OBRAS DE MEJORAMIENTO EN LAS INSTITUCIONES EDUCATIVAS OFICIALES DEL DEPARTAMENTO DEL VALLE DEL CAUCA (GRUPO 25), PRIORIZADAS POR EL MINISTERIO DE EDUCACIÓN NACIONAL Y VIABILIZADOS POR FINDETER</t>
  </si>
  <si>
    <t>INTERVENTORÍA INTEGRAL (TÉCNICA, ADMINISTRATIVA, FINANCIERA, CONTABLE, AMBIENTAL, SOCIAL Y JURÍDICA) PARA LA ELABORACIÓN DE DIAGNÓSTICOS, ESTUDIOS TÉCNICOS, DISEÑOS Y EJECUCIÓN DE OBRAS DE MEJORAMIENTO, REPOSICIÓN Y OBRAS NUEVAS EN LAS INSTITUCIONES EDUCATIVAS OFICIALES DE LA ASOCIACIÓN DE AUTORIDADES TRADICIONALES DEL CONSEJO REGIONAL INDÍGENA DEL HUILA – CRIHU (GRUPO 14), PRIORIZADAS POR EL MINISTERIO DE EDUCACIÓN NACIONAL Y VIABILIZADOS POR FINDETER</t>
  </si>
  <si>
    <t>LA PLATA, LA ARGENTINA Y PALESTINA</t>
  </si>
  <si>
    <t>HUILA</t>
  </si>
  <si>
    <t>ELABORACIÓN DE DIAGNÓSTICOS, ESTUDIOS TÉCNICOS, DISEÑOS Y EJECUCIÓN DE OBRAS DE MEJORAMIENTO, REPOSICIÓN Y OBRAS NUEVAS EN LAS INSTITUCIONES EDUCATIVAS OFICIALES DE LA ASOCIACIÓN DE AUTORIDADES TRADICIONALES DEL CONSEJO REGIONAL INDÍGENA DEL HUILA – CRIHU (GRUPO 14), PRIORIZADAS POR EL MINISTERIO DE EDUCACIÓN NACIONAL Y VIABILIZADOS POR FINDETER</t>
  </si>
  <si>
    <t>ITUANGO / SANTA BARBARA / SEGOVIA / VALDIVIACANTAGALLOPUERTO WILCHES</t>
  </si>
  <si>
    <t>ANTIOQUIA BOLÍVARSANTANDER</t>
  </si>
  <si>
    <t>TOTALES</t>
  </si>
  <si>
    <t>(*) CDR: Constancia de Disponibilidad de Recursos, documento de control interno de Findeter que respalda la disponibilidad para iniciar con la adjudicación de contratos derivados o la adición a los mismos.</t>
  </si>
  <si>
    <t>5. PAGOS ASISTENCIA TECNICA</t>
  </si>
  <si>
    <t>Actividad / Hitos</t>
  </si>
  <si>
    <t>%</t>
  </si>
  <si>
    <t>Valor Total 
(Cláusula Septima Contrato Interadministativo)</t>
  </si>
  <si>
    <t>No. FACTURA</t>
  </si>
  <si>
    <t>VALOR FACTURA</t>
  </si>
  <si>
    <t>VALOR NETO</t>
  </si>
  <si>
    <t>FECHA DE PAGO</t>
  </si>
  <si>
    <t>ETAPA VIABILIDAD</t>
  </si>
  <si>
    <t>Viabilidad Jurídica (400 Viabilidades)</t>
  </si>
  <si>
    <t>Viabilidad Técnica (400 Viabilidades)</t>
  </si>
  <si>
    <t>ETAPA EJECUCIÓN</t>
  </si>
  <si>
    <t>A la adjudicación de los Contratos Derivados</t>
  </si>
  <si>
    <t>A la firma del Acta de Inicio de los Contratos Derivados</t>
  </si>
  <si>
    <t>Al avance de ejecución física del 20% de cada proyecto, certificado por la Interventoría y la Supervisión.</t>
  </si>
  <si>
    <t>Al avance de ejecución física del 40% de cada proyecto, certificado por la Interventoría y la Supervisión.</t>
  </si>
  <si>
    <t>Al avance de ejecución física del 60% de cada proyecto, certificado por la Interventoría y la Supervisión.</t>
  </si>
  <si>
    <t>Al avance de ejecución física del 80% de cada proyecto, certificado por la Interventoría y la Supervisión.</t>
  </si>
  <si>
    <t>Al avance de ejecución física del 100% de cada proyecto, certificado por la Interventoría y la Supervisión.</t>
  </si>
  <si>
    <t>6. REPORTE DE PAGOS</t>
  </si>
  <si>
    <t>RAZON SOCIAL / NOMBRE</t>
  </si>
  <si>
    <t>CTO</t>
  </si>
  <si>
    <t>CONCEPTO</t>
  </si>
  <si>
    <t>FECHA PAGO</t>
  </si>
  <si>
    <t>VALOR BRUTO</t>
  </si>
  <si>
    <t>RETEGARANTIA</t>
  </si>
  <si>
    <t>IMPUESTOS</t>
  </si>
  <si>
    <t>AJUSTE A MIL</t>
  </si>
  <si>
    <t>NETO A PAGAR</t>
  </si>
  <si>
    <t>CC</t>
  </si>
  <si>
    <t>MANUEL ANTONIO MEDINA ESPINOSA</t>
  </si>
  <si>
    <t>Prorroga Licencia de Construcción IE JOSE ANTONIO RICAURTE - Línea Proyectos Estratégicos - Ibagué (Tolima) - Factura No. CUR1 2113 (08/11/23)</t>
  </si>
  <si>
    <t>TOTAL ACUMULADO A 31/DIC/23</t>
  </si>
  <si>
    <t xml:space="preserve">MUNICIPIO DE IBAGUE </t>
  </si>
  <si>
    <t>RETEICA MUNICIPIO DE IBAGUE</t>
  </si>
  <si>
    <t xml:space="preserve">ESTAMPILLA IBAGUE </t>
  </si>
  <si>
    <t xml:space="preserve">DIAN </t>
  </si>
  <si>
    <t>Retención en la Fuente Diciembre 2023</t>
  </si>
  <si>
    <t>TOTAL ENERO/2024</t>
  </si>
  <si>
    <t>TOTAL FEBRERO /2024</t>
  </si>
  <si>
    <t>RESUMEN</t>
  </si>
  <si>
    <t>ASISTENCIA</t>
  </si>
  <si>
    <t>CONTRATOS</t>
  </si>
  <si>
    <t>7. RENDIMIENTOS FINANCIEROS</t>
  </si>
  <si>
    <t>RENDIMIENTOS 
CAUSADOS
CUENTA DE AHORRO</t>
  </si>
  <si>
    <t>VALORACIÓN /DESVALORIZACION 
CAUSADOS 
FONDO DE INVERSION COLECTIVA - FIC</t>
  </si>
  <si>
    <t>TOTAL RENDIMIENTOS, VALORACION DEVALORIZACION CAUSADOS</t>
  </si>
  <si>
    <t>FECHA TRASLADO REINTEGRO RENDIMIENTOS</t>
  </si>
  <si>
    <t>VALOR TRASLADO RENDIMIENTOS</t>
  </si>
  <si>
    <t>AJUSTES /
 RETENCIONES</t>
  </si>
  <si>
    <t>SALDO PENDIENTE POR TRASLADAR RENDIMIENTOS</t>
  </si>
  <si>
    <t>DESVALORIZACION ACUMULADA</t>
  </si>
  <si>
    <t>019-2024</t>
  </si>
  <si>
    <t>021-2024</t>
  </si>
  <si>
    <t>CONSORCIO GUAJIRO 021</t>
  </si>
  <si>
    <t>023-2024</t>
  </si>
  <si>
    <t>ROBERTO JOSÉ CUELLO BUCHAAR</t>
  </si>
  <si>
    <t>TOTAL MARZO /2024</t>
  </si>
  <si>
    <t>TOTAL ABRIL /2024</t>
  </si>
  <si>
    <t xml:space="preserve">TIPO DE PAGO </t>
  </si>
  <si>
    <t>Diseños Proyectos</t>
  </si>
  <si>
    <t>ELABORACIÓN DE LOS ESTUDIOS Y DISEÑOS DEL COLEGIO JOSE MARIA HERNANDEZ EN EL SECTOR LA RAICITA VÍA AL AEROPUERTO EN EL MUNICIPIO DE PUERTO LEGUIZAMO DEPARTAMENTO PUTUMAYO</t>
  </si>
  <si>
    <t>“LA INTERVENTORÍA INTEGRAL (ADMINISTRATIVA, FINANCIERA, CONTABLE, AMBIENTAL, SOCIAL, JURÍDICA Y TÉCNICA) A LA ELABORACIÓN DE LOS ESTUDIOS Y DISEÑOS DEL COLEGIO JOSE MARIA HERNANDEZ EN EL SECTOR LA RAICITA VÍA AL AEROPUERTO EN EL MUNICIPIO DE PUERTO LEGUIZAMO DEPARTAMENTO PUTUMAYO</t>
  </si>
  <si>
    <t>ELABORACIÓN DE DIAGNÓSTICOS, ESTUDIOS TÉCNICOS, DISEÑOS Y EJECUCIÓN DE OBRAS DE MEJORAMIENTO Y/U OBRAS REQUERIDAS PARA LA INFRAESTRUCTURA EDUCATIVA Y SUMINISTRO E INSTALACIÓN DE AULAS Y/O BATERÍAS SANITARIAS, EN SEDES AFECTADAS POR EMERGENCIA - GRUPO 2”.</t>
  </si>
  <si>
    <t xml:space="preserve">¨LA REVISIÓN, AJUSTE Y COMPLEMENTACION DE ESTUDIOS Y DISEÑOS Y LA EJECUCIÓN DE OBRAS DE AMPLIACION Y MEJORAMIENTO EN LA INSTITUCIÓN EDUCATIVA AGROPECUARIA SAN CARLOS UBICADA EN EL MUNICIPIO DE COLÓN, DEPARTAMENTO DE NARIÑO. </t>
  </si>
  <si>
    <t>INTERVENTORÍA INTEGRAL (TÉCNICA, ADMINISTRATIVA, FINANCIERA, CONTABLE, AMBIENTAL, SOCIAL Y JURÍDICA) PARA LA ELABORACIÓN DE DIAGNÓSTICOS, ESTUDIOS TÉCNICOS, DISEÑOS Y EJECUCIÓN DE OBRAS DE MEJORAMIENTO EN LAS INSTITUCIONES EDUCATIVAS OFICIALES LOS MUNICIPIOS DE SUAREZ Y BUENOS AIRES, DEPARTAMENTO DEL CAUCA (GRUPO 6), PRIORIZADAS POR EL MINISTERIO DE EDUCACION NACIONAL Y VIABILIZADOS POR FINDETER.</t>
  </si>
  <si>
    <t>ELABORACIÓN DE LOS ESTUDIOS Y DISEÑOS DEL COMPLEJO EDUCATIVO COLEGIO DEL CATATUMBO EN EL MUNICIPIO DE EL TARRA DEPARTAMENTO NORTE DE SANTANDER</t>
  </si>
  <si>
    <t>LA INTERVENTORÍA INTEGRAL (ADMINISTRATIVA, FINANCIERA, CONTABLE, AMBIENTAL, SOCIAL, JURÍDICA Y TÉCNICA) A LA ELABORACIÓN DE LOS ESTUDIOS Y DISEÑOS DEL COMPLEJO EDUCATIVO COLEGIO DEL CATATUMBO EN EL MUNICIPIO DE EL TARRA DEPARTAMENTO NORTE DE SANTANDER</t>
  </si>
  <si>
    <t>PUERTO LEGUIZAMO</t>
  </si>
  <si>
    <t>PUEBLO RICOISTMINA / MEDIO BAUDO / CONDOTO / RIO IRÓ / TADÓ</t>
  </si>
  <si>
    <t>RISARALDA
CHOCO</t>
  </si>
  <si>
    <t xml:space="preserve">ROBERTO PAYAN / EL TAMBO / LOPEZ DE MICAY / BALBOA / ARGELIA </t>
  </si>
  <si>
    <t xml:space="preserve">NARIÑO CAUCA </t>
  </si>
  <si>
    <t>COLON</t>
  </si>
  <si>
    <t>EL TARRA</t>
  </si>
  <si>
    <t xml:space="preserve">NORTE DE SANTANDER </t>
  </si>
  <si>
    <t xml:space="preserve">ESTUDIOS Y DISEÑOS </t>
  </si>
  <si>
    <t xml:space="preserve">INTERVENTORIA ESTUDIOS Y DISEÑOS </t>
  </si>
  <si>
    <t>022-2024</t>
  </si>
  <si>
    <t>CONSORCIO LA GUAJIRA MEDTEC 2024</t>
  </si>
  <si>
    <t>024-2024</t>
  </si>
  <si>
    <t>CONSORCIO AULAS MAICAO
2024</t>
  </si>
  <si>
    <t>026-2024</t>
  </si>
  <si>
    <t>UNIÓN TEMPORAL MEJORAMIENTO DE ESCUELAS FINDETER</t>
  </si>
  <si>
    <t>025-2024</t>
  </si>
  <si>
    <t>CONSORCIO SAN MARTÍN 109</t>
  </si>
  <si>
    <t>020-2024</t>
  </si>
  <si>
    <t>CONSORCIO PUTUMAYO 2024</t>
  </si>
  <si>
    <t>19
125</t>
  </si>
  <si>
    <t>1/11/2023
18/06/2024</t>
  </si>
  <si>
    <t>ELABORACIÓN DE LOS ESTUDIOS Y DISEÑOS DE LA INFRAESTRUCTURA NUEVA Y DEL INTERNADO, DIAGNÓSTICO Y CONSULTORIA DE LAS AULAS EXISTENTES EN EL COLEGIO KWE SX UMA KIWE “CEFIC”, MUNICIPIO DE CALDONO, DEPARTAMENTO DE CAUCA.</t>
  </si>
  <si>
    <t>CALDONO</t>
  </si>
  <si>
    <t>INTERVENTORÍA INTEGRAL (ADMINISTRATIVA, FINANCIERA, CONTABLE, AMBIENTAL, SOCIAL, JURÍDICA Y TÉCNICA) A LA ELABORACIÓN DE LOS ESTUDIOS Y DISEÑOS DE LA INFRAESTRUCTURA NUEVA Y DEL INTERNADO, DIAGNÓSTICO Y CONSULTORIA DE LAS AULAS EXISTENTES EN EL COLEGIO KWE SX UMA KIWE “CEFIC”, MUNICIPIO DE CALDONO, DEPARTAMENTO DE CAUCA</t>
  </si>
  <si>
    <t>ELABORACIÓN DE LOS ESTUDIOS Y DISEÑOS DE LA AMPLIACIÓN DE LA INSTITUCIÓN EDUCATIVA INTEGRADO CARRASQUILLA INDUSTRIAL DEL MUNICIPIO DE QUIBDÓ, DEPARTAMENTO DEL CHOCÓ</t>
  </si>
  <si>
    <t>INTERVENTORÍA INTEGRAL (ADMINISTRATIVA, FINANCIERA, CONTABLE, AMBIENTAL, SOCIAL, JURÍDICA Y TÉCNICA) A LA ELABORACIÓN DE LOS ESTUDIOS Y DISEÑOS DE LA AMPLIACIÓN DE LA INSTITUCIÓN EDUCATIVA INTEGRADO CARRASQUILLA INDUSTRIAL DEL MUNICIPIO DE QUIBDÓ, DEPARTAMENTO DEL CHOCÓ</t>
  </si>
  <si>
    <t>QUIBDO</t>
  </si>
  <si>
    <t>TOTAL MAYO /2024</t>
  </si>
  <si>
    <t>U A E DIRECCION DE IMPUESTOS Y ADUANAS NACIONALES</t>
  </si>
  <si>
    <t>MINISTERIO DE HACIENDA Y CREDITO PUBLICO</t>
  </si>
  <si>
    <t>MUNICIPIO DE CHIRIGUANA (CESAR)</t>
  </si>
  <si>
    <t>MUNICIPIO DE BECERRIL</t>
  </si>
  <si>
    <t>MUNICIPIO DE MORALES - CAUCA</t>
  </si>
  <si>
    <t>MUNICIPIO DE PIENDAMOCAUCA</t>
  </si>
  <si>
    <t>PAGO RETENCION EN LA FUENTE FACTURAS MES DE MAYO DE 2024</t>
  </si>
  <si>
    <t>PAGO CONTRIBUCIÓN ESPECIAL FACTURAS MAYO DE 2024</t>
  </si>
  <si>
    <t>RETE ICA MENSUAL MES DE MAYO DE 20224</t>
  </si>
  <si>
    <t>028-2024</t>
  </si>
  <si>
    <t>CONSORCIO G25 2024</t>
  </si>
  <si>
    <t>030-2024</t>
  </si>
  <si>
    <t xml:space="preserve">CONSORCIO INTERHUILA 038 </t>
  </si>
  <si>
    <t>038-2024</t>
  </si>
  <si>
    <t>GRUPO TITANIUM S.A.S</t>
  </si>
  <si>
    <t>TOTAL JUNIO /2024</t>
  </si>
  <si>
    <t>ID 255631 FACTURA CO 186, ACTA NO. 1 COMPONENTE II DEL CONTRATO 010-2023, INSTITUCIONES EDUCATIVAS OFICIALES  DEPARTAMENTOS DE CORDOBA Y ANTIOQUIA (GRUPO 10), COSTOS FIJOS PERIODO DEL 16 DE MARZO DE 2024 AL 30 DE MAYO DE 2024 Y AVANCE DE OBRA 19,30%</t>
  </si>
  <si>
    <t>ID 255634 FACTURA AC 79, ACTA NO. 1 COMPONENTE II  AVANCE DE OBRA 19,30% DEL CONTRATO 005-2023, INSTITUCIONES EDUCATIVAS OFICIALES  DEPARTAMENTOS DE CORDOBA Y ANTIOQUIA (GRUPO 10), PERIODO DEL 15 DE MARZO DE 2024 AL 15 DE MAYO DE 2024</t>
  </si>
  <si>
    <t>ID 255658 FACTURA FVE- 6, ACTA NO. 1 COMPONENTE II AVANCE DE OBRA 2,95% DEL CONTRATO 012-2023, INSTITUCIONES EDUCATIVAS OFICIALES  DEPARTAMENTO DEL CESAR (GRUPO 9), PERIODO DEL 26 DE MARZO DE 2024 AL 25 DE MAYO DE 2024</t>
  </si>
  <si>
    <t>ID 255661 FACTURA FVE- 8, ACTA NO. 2 COMPONENTE II AVANCE DE OBRA 5,58% DEL CONTRATO 012-2023, INSTITUCIONES EDUCATIVAS OFICIALES  DEPARTAMENTO DEL CESAR (GRUPO 9), PERIODO DEL 26 DE MAYO DE 2024 AL 25 DE JUNIO DE 2024</t>
  </si>
  <si>
    <t>ID 255664 FACTURA FECH1, ACTA NO. 1 COMPONENTE I DEL CONTRATO 013-2023, INSTITUCIONES EDUCATIVAS OFICIALES  DEPARTAMENTO DEL CÓRDOBA (GRUPO 11), PERIODO DEL 15 DE FEBRERO DE 2024 AL 14 DE MARZO DE 2024</t>
  </si>
  <si>
    <t>ID 255668 FACTURA IC 294, ACTA NO.3 - COMPONENTE 2, DEL CTO NO. 009-2023  INSTITUCIONES EDUCATIVAS OFICIALES  DEPARTAMENTO DEL CESAR (GRUPO 9), COSTOS FIJOS PERIODO DEL 26 DE MAYO DE 2024 AL 25 DE JUNIO DE 2024 Y COSTO VARIABLE AVANCE DE OBRA 5,58%</t>
  </si>
  <si>
    <t>ID 255670 FACTURA FECI 5, ACTA 1. ETAPA 1 CTO 011-2023 INSTITUCIONES EDUCATIVAS OFICIALES DEL MUNICIPIO DE TIERRALTA, DEPARTAMENTO DEL CÓRDOBA (GRUPO 11) DEL 15 DE FEBRERO AL 15 DE MARZO DE 2024</t>
  </si>
  <si>
    <t>ID 255679 FACTURA CIET 3, ACTA NO. 2 COMPONENTE II DEL CONTRATO 002-2023, INSTITUCIONES EDUCATIVAS OFICIALES  DEPARTAMENTO DE ARAUCA (GRUPO 2), PERIODO DEL 01 AL 30 DE JUNIO DE 2024</t>
  </si>
  <si>
    <t>ID 256184 FACTURA CE 1, ACTA NO. 1 COMPONENTE II DEL CONTRATO 001-2023, INSTITUCIONES EDUCATIVAS OFICIALES  MUNICIPIO DE TAME, DEPARTAMENTO DE ARAUCA (GRUPO 2), PERIODO DEL 15 DE ABRIL AL 15 DE JUNIO DE 2024</t>
  </si>
  <si>
    <t>ID 255671 FACTURA CO 187, ACTA NO. 2 COMPONENTE II DEL CONTRATO 010-2023, INSTITUCIONES EDUCATIVAS OFICIALES  DEPARTAMENTOS DE CORDOBA Y ANTIOQUIA (GRUPO 10), COSTOS FIJOS PERIODO DEL 1 AL 30 DE JUNIO DE 2024 Y AVANCE DE OBRA 32,38%</t>
  </si>
  <si>
    <t>ID 255673 FACTURA AC 80, ACTA NO. 2 COMPONENTE II DEL CONTRATO 005-2023, INSTITUCIONES EDUCATIVAS OFICIALES  DEPARTAMENTOS DE CORDOBA Y ANTIOQUIA (GRUPO 10), AVANCE DE OBRA 32,38% PERIODO DEL 16 DE MAYO DE 2024 AL 15 DE JUNIO DE 2024</t>
  </si>
  <si>
    <t>ID 255680 FACTURA CV 6, ACTA NO. 2 COMPONENTE II DEL CONTRATO 001-2024, INSTITUCIONES EDUCATIVAS OFICIALES  DEPARTAMENTO DE LA GUAJIRA (GRUPO 22) AVANCE DE OBRA 6,26%, PERIODO 30 DE MAYO DE 2024 A 3 DE JUNIO DE 2024</t>
  </si>
  <si>
    <t>ID 255683 FACTURA FECH2, ACTA NO. 1 COMPONENTE II DEL AVANCE DE OBRA 29,14% DEL CONTRATO 013-2023, INSTITUCIONES EDUCATIVAS OFICIALES  DEPARTAMENTO DEL CÓRDOBA (GRUPO 11), PERIODO DEL 15 DE MARZO DE 2024 AL 24 DE MAYO DE 2024</t>
  </si>
  <si>
    <t>ID 258043 FACTURA FVE-16, ACTA 3 ETAPA 2  AVANCE DEL 17,07% EN OBRA CTO DE OBRA NO. 015-2023 INSTITUCIONES EDUCATIVAS OFICIALES DEL DEPARTAMENTO DE CAUCA (GRUPO 5) PERIODO DEL 1 AL 16 DE JUNIO DEL 2024</t>
  </si>
  <si>
    <t>ID 258001 FACTURA FE 6, ACTA NO. 3 COMPONENTE II DEL CONTRATO DE INTERVENTORÍA NO. 016-2023 INSTITUCIONES EDUCATIVAS OFICIALES DEL DEPARTAMENTO DE CAUCA (GRUPO 5)  COSTOS FIJOS 1 MES Y COSTOS VARIABLES AVANCE DE OBRA 17,07% PERIODO 1 AL 30 DE JUNIO DE 2024</t>
  </si>
  <si>
    <t>ID 256862 FACTURA FE2, ACTA NO. 1 COMPONENTE I DEL CONTRATO DE OBRA 010-2024,  MEJORAMIENTO Y/U OBRAS REQUERIDAS PARA LA INFRAESTRUCTURA EDUCATIVA Y SUMINISTRO E INSTALACIÓN DE AULAS Y/O BATERÍAS SANITARIAS, EN SEDES AFECTADAS POR EMERGENCIA - GRUPO 7, PERIODO DEL 03 DE ABRIL AL 30 DE JUNIO DE 2024</t>
  </si>
  <si>
    <t>ID 257498 FACTURA FEL 57, ACTA NO. 1 COMPONENTE I DEL CONTRATO DE INTERVENTORIA 009-2024,  MEJORAMIENTO Y/U OBRAS REQUERIDAS PARA LA INFRAESTRUCTURA EDUCATIVA Y SUMINISTRO E INSTALACIÓN DE AULAS Y/O BATERÍAS SANITARIAS, EN SEDES AFECTADAS POR EMERGENCIA - GRUPO 7, PERIODO DEL 03 DE ABRIL AL 30 DE JUNIO DE 2024</t>
  </si>
  <si>
    <t>029-2024</t>
  </si>
  <si>
    <t>CONSORCIO INSTITUCIÓN SAN JUAN BAUTISTA</t>
  </si>
  <si>
    <t>027-2024</t>
  </si>
  <si>
    <t>CONSORCIO OM INGENIEROS</t>
  </si>
  <si>
    <t>032-2024</t>
  </si>
  <si>
    <t>CONSORCIO GRUPO 6 2024</t>
  </si>
  <si>
    <t>031-2024</t>
  </si>
  <si>
    <t>INGENIEROS CONTRATISTAS INGECON S.A.S.</t>
  </si>
  <si>
    <t>033-2024</t>
  </si>
  <si>
    <t>JESUS EDUARDO TORRES CORREDOR</t>
  </si>
  <si>
    <t>034-2024</t>
  </si>
  <si>
    <t>UNIÓN TEMPORAL MARCELLA 6</t>
  </si>
  <si>
    <t>035-2024</t>
  </si>
  <si>
    <t>CONSORCIO 5T INTEROBRAS G20</t>
  </si>
  <si>
    <t>037-2024</t>
  </si>
  <si>
    <t>CONSORCIO 5T INTEROBRAS G26</t>
  </si>
  <si>
    <t>036-2024</t>
  </si>
  <si>
    <t>CARLOS DARÍO RODRÍGUEZ GONZÁLEZ</t>
  </si>
  <si>
    <t>039-2024</t>
  </si>
  <si>
    <t>CONSORCIO INTERVENTORES GC 115</t>
  </si>
  <si>
    <t>INTERVENTORÍA INTEGRAL (TÉCNICA, ADMINISTRATIVA, FINANCIERA, CONTABLE, AMBIENTAL, SOCIAL Y JURÍDICA) A LA REVISIÓN, AJUSTE Y COMPLEMENTACIÓN DE ESTUDIOS Y DISEÑOS Y LA EJECUCIÓN DE LAS OBRAS DE AMPLIACIÓN Y MEJORAMIENTO EN LA INSTITUCIÓN EDUCATIVA AGROPECUARIA SAN CARLOS UBICADA EN EL MUNICIPIO DE COLON, DEPARTAMENTO DE NARIÑO</t>
  </si>
  <si>
    <t>REVISIÓN, AJUSTE Y COMPLEMENTACIÓN DE ESTUDIOS Y DISEÑOS, Y LA CONSTRUCCIÓN DEL CENTRO EDUCATIVO ESMERALDAS SEDE PRINCIPAL, UBICADO EN EL CORREGIMIENTO ESMERALDAS DEL MUNICIPIO MERCADERES, DEPARTAMENTO CAUCA</t>
  </si>
  <si>
    <t xml:space="preserve">MERCADERES </t>
  </si>
  <si>
    <t xml:space="preserve">CONSORCIO INTERVENTORES 086 </t>
  </si>
  <si>
    <t>OP (ID CP)</t>
  </si>
  <si>
    <t xml:space="preserve">
253455</t>
  </si>
  <si>
    <t>ID 247126, FACTURA CO 176, ACTA NO. 1 CORRESPONDIENTE AL 100% DEL COMPONENTE I DEL CONTRATO DE INTERVENTORÍA NO. 007-2023 INSTITUCIONES EDUCATIVAS OFICIALES DEL DEPARTAMENTO DE TOLIMA (GRUPO 1)</t>
  </si>
  <si>
    <t>ID 247737, FACTURA FVE-12, ACTA NO. 1 CORRESPONDIENTE AL 100% DEL COMPONENTE I DEL CONTRATO DE OBRA NO. 015-2023 INSTITUCIONES EDUCATIVAS OFICIALES DEL DEPARTAMENTO DE CAUCA (GRUPO 5)</t>
  </si>
  <si>
    <t>ID 247132, FACTURA FE 2, ACTA NO. 1 CORRESPONDIENTE AL 100% DEL COMPONENTE I DEL CONTRATO DE INTERVENTORÍA NO. 016-2023 INSTITUCIONES EDUCATIVAS OFICIALES DEL DEPARTAMENTO DE CAUCA (GRUPO 5)</t>
  </si>
  <si>
    <t xml:space="preserve">ID 247739, FACTURA FVE-14, ACTA 1 ETAPA 2  AVANCE DEL 31,86% EN OBRA CTO DE OBRA NO. 015-2023 INSTITUCIONES EDUCATIVAS OFICIALES DEL DEPARTAMENTO DE CAUCA (GRUPO 5) PERIODO DEL 20 DE MARZO AL 30 DE ABRIL DEL 2024- </t>
  </si>
  <si>
    <t xml:space="preserve">ID 247804, FACTURA FE 4, ACTA NO. 1 COMPONENTE II DEL CONTRATO DE INTERVENTORÍA NO. 016-2023 INSTITUCIONES EDUCATIVAS OFICIALES DEL DEPARTAMENTO DE CAUCA (GRUPO 5)  COSTOS FIJOS 1 MES Y COSTOS VARIABLES AVANCE DE OBRA 31,86% PERIODO DEL 20 DE MARZO AL 30 DE ABRIL DEL 2024- </t>
  </si>
  <si>
    <t>ID 248957, FACTURA CDE - 142, ACTA 1 ETAPA 2  AVANCE DEL 12,74% EN OBRA CTO DE OBRA NO. 004-2023 INSTITUCIONES EDUCATIVAS OFICIALES DEL DEPARTAMENTO DE TOLIMA (GRUPO 1) PERIODO DEL 1 DE MARZO AL 30 DE ABRIL DEL 2024</t>
  </si>
  <si>
    <t>ID 246577, FACTURA FVE-1, ACTA NO. 1 COMPONENTE I DEL CONTRATO 012-2023, INSTITUCIONES EDUCATIVAS OFICIALES  DEPARTAMENTO DEL CESAR (GRUPO 9), PERIODO DEL 26 DE FEBRERO DE 2024 AL 25 DE MARZO DE 2024</t>
  </si>
  <si>
    <t>ID 246592, FACTURA CI- 268, ACTA PARCIAL NO.1 - COMPONENTE 1, DEL CTO NO. 009-2023  INSTITUCIONES EDUCATIVAS OFICIALES  DEPARTAMENTO DEL CESAR (GRUPO 9), PERIODO DEL 26 DE FEBRERO DE 2024 AL 25 DE MARZO DE 2024</t>
  </si>
  <si>
    <t>ID 247170, FACTURA CI- 273, ACTA PARCIAL NO.1 - COMPONENTE 2, DEL CTO NO. 009-2023  INSTITUCIONES EDUCATIVAS OFICIALES  DEPARTAMENTO DEL CESAR (GRUPO 9), PERIODO DEL 26 DE MARZO DE 2024 AL 25 DE ABRIL DE 2024</t>
  </si>
  <si>
    <t>ID 246929, FACTURA FECI 3, ACTA 1. DEL 15 DE FEBRERO AL 14 DE MARZO. COSTO FIJO DE LA INTERVENTORÍA INTEGRAL CTO 011-2023 INSTITUCIONES EDUCATIVAS OFICIALES DEL MUNICIPIO DE TIERRALTA, DEPARTAMENTO DEL CÓRDOBA (GRUPO 11)</t>
  </si>
  <si>
    <t>ID 247732, FACTURA CDE- 141, ACTA PARCIAL NO.1 - COMPONENTE 1, CORRESPONDIENTE AL 100% DEL COMPONENTE 1 DEL CONTRATO DE OBRA NO. 004-2023 INSTITUCIONES EDUCATIVAS OFICIALES DEL DEPARTAMENTO DE TOLIMA (GRUPO 1)</t>
  </si>
  <si>
    <t>ID 247743, FACTURA CO 178, ACTA PARCIAL NO. 1 DEL COMPONENTE II POR CONCEPTO DE DOS (02) MESES DE COSTO FIJO COMPRENDIDOS ENTRE EL 01 DE MARZO DE 2024 AL 30 DE ABRIL DE 2024 Y UN AVANCE DE OBRA DEL 12,74% (VARIABLES), CORRESPONDIENTES AL CONTRATO DE INTERVENTORIA NO. 007-2023 (PAF-MENPNIE-I-085-2023) INSTITUCIONES EDUCATIVAS OFICIALES DEL DEPARTAMENTO DE TOLIMA (GRUPO 1)</t>
  </si>
  <si>
    <t>ID 251581, FACTURA FECI 4, ACTA 2. ETAPA 2 DEL 15 DE MARZO AL 14 DE MAYO. COSTO FIJO DE LA INTERVENTORÍA INTEGRAL CTO 011-2023 INSTITUCIONES EDUCATIVAS OFICIALES DEL MUNICIPIO DE TIERRALTA, DEPARTAMENTO DEL CÓRDOBA (GRUPO 11)</t>
  </si>
  <si>
    <t>ID 251588, FACTURA IC- 284, ACTA NO.2 - COMPONENTE 2, DEL CTO NO. 009-2023  INSTITUCIONES EDUCATIVAS OFICIALES  DEPARTAMENTO DEL CESAR (GRUPO 9), PERIODO DEL 26 DE ABRIL DE 2024 AL 25 DE MAYO DE 2024</t>
  </si>
  <si>
    <t>ID 253418, FACTURA AC 78, ACTA NO. 1 COMPONENTE I DEL CONTRATO 005-2023, INSTITUCIONES EDUCATIVAS OFICIALES  DEPARTAMENTOS DE CORDOBA Y ANTIOQUIA (GRUPO 10), PERIODO DEL 15 DE FEBRERO DE 2024 AL 15 DE MARZO DE 2024</t>
  </si>
  <si>
    <t>ID 253371, FACTURA CO 182, ACTA NO. 1 COMPONENTE I DEL CONTRATO 010-2023, INSTITUCIONES EDUCATIVAS OFICIALES  DEPARTAMENTOS DE CORDOBA Y ANTIOQUIA (GRUPO 10), PERIODO DEL 15 DE FEBRERO DE 2024 AL 15 DE MARZO DE 2024</t>
  </si>
  <si>
    <t>ID 251592, FACTURA CO 181, ACTAL NO. 2 DEL COMPONENTE II POR CONCEPTO DE COSTO FIJO COMPRENDIDOS ENTRE EL 01 DE MAYO DE 2024 AL 26 DE MAYO DE 2024 Y  UN AVANCE DE OBRA DEL 19,35% VARIABLES), CORRESPONDIENTES AL CONTRATO DE INTERVENTORIA NO. 007-2023 (PAF-MENPNIE-I-085-2023)  INSTITUCIONES EDUCATIVAS OFICIALES DEL DEPARTAMENTO DE TOLIMA (GRUPO 1)</t>
  </si>
  <si>
    <t xml:space="preserve">ID 251602, FACTURA FVE-15, ACTA 2 ETAPA 2  AVANCE DEL 37,46% EN OBRA CTO DE OBRA NO. 015-2023 INSTITUCIONES EDUCATIVAS OFICIALES DEL DEPARTAMENTO DE CAUCA (GRUPO 5) PERIODO DEL 1 AL 31 DE MAYO DEL 2024- </t>
  </si>
  <si>
    <t>ID 251607, FACTURA FE 5, ACTA NO. 2 COMPONENTE II DEL CONTRATO DE INTERVENTORÍA NO. 016-2023 INSTITUCIONES EDUCATIVAS OFICIALES DEL DEPARTAMENTO DE CAUCA (GRUPO 5)  COSTOS FIJOS 1 MES Y COSTOS VARIABLES AVANCE DE OBRA 37,46% PERIODO 1 AL 30 DE MAYO DE 2024</t>
  </si>
  <si>
    <t>ID 253335, FACTURA CV 4, ACTA NO. 1 COMPONENTE I DEL CONTRATO  01-2024, INSTITUCIONES EDUCATIVAS OFICIALES  DEPARTAMENTO DE LA GUAJIRA (GRUPO 22), PERIODO DEL 29 DE FEBRERO DE 2024 AL 29 DE MARZO DE 2024</t>
  </si>
  <si>
    <t>ID 252555, FACTURA FECP 63, ACTA NO. 1 COMPONENTE I DEL CONTRATO 002-2024, INSTITUCIONES EDUCATIVAS OFICIALES  DEPARTAMENTO DE LA GUAJIRA (GRUPO 22), PERIODO DEL 29 DE FEBRERO DE 2024 AL 29 DE MARZO DE 2024</t>
  </si>
  <si>
    <t>ID 252967, FACTURA FECP 65, ACTA NO. 1 COMPONENTE II DEL CONTRATO 002-2024, INSTITUCIONES EDUCATIVAS OFICIALES  DEPARTAMENTO DE LA GUAJIRA (GRUPO 22), COSTOS FIJOS Y VARIABLES AVANCE DE OBRA 7,98% PERIODO DEL 30 DE MARZO DE 2024 A 29 DE MAYO DE 2024</t>
  </si>
  <si>
    <t>ID 251616, FACTURA CDE - 143, ACTA 2 ETAPA 2  AVANCE DEL 19,35% EN OBRA CTO DE OBRA NO. 004-2023 INSTITUCIONES EDUCATIVAS OFICIALES DEL DEPARTAMENTO DE TOLIMA (GRUPO 1) PERIODO DEL 1 DE MAYO AL 26 DE MAYO DEL 2024</t>
  </si>
  <si>
    <t>ID 252924, FACTURA CIET 2, ACTA NO. 1 COMPONENTE II DEL CONTRATO 002-2023, INSTITUCIONES EDUCATIVAS OFICIALES  DEPARTAMENTO DE ARAUCA (GRUPO 2), PERIODO DEL 15 AL 30 DE MAYO DE 2024</t>
  </si>
  <si>
    <t>ID 253455, FACTURA CV 5, ACTA NO. 1 COMPONENTE II DEL CONTRATO 001-2024, INSTITUCIONES EDUCATIVAS OFICIALES  DEPARTAMENTO DE LA GUAJIRA (GRUPO 22) AVANCE DE OBRA 7,98%, PERIODO 30 DE MARZO DE 2024 A 29 DE MAYO DE 2024</t>
  </si>
  <si>
    <t>RETEICA BIMESTRAL PATRIMONIOS</t>
  </si>
  <si>
    <t>RETE ICA BIMESTRAL PATRIMONIOS</t>
  </si>
  <si>
    <t>ESTAMPILLA PROUNIVERSIDAD NACIONAL SUBCTA
PROGRAMA DE INFRAESTRUCTURA Y DOTACIÓN</t>
  </si>
  <si>
    <t>CONTRIBUCION DE OBRA MENSUAL PATRIMONIO
AUTONOMO</t>
  </si>
  <si>
    <t>RETE ICA SEMESTRAL PATRIMONIO AUTÓNOMO</t>
  </si>
  <si>
    <t>RETEFUENTE COMPENSACION PATRIMONIOS</t>
  </si>
  <si>
    <t>RETEFUENTE MENSUAL PATRIMONIO AUTÓNOMO</t>
  </si>
  <si>
    <t>RTEICA MENSUAL PATRIMONIOS</t>
  </si>
  <si>
    <t>RTEICA BIMESTRAL PATRIMONIO AUTÓNOMO</t>
  </si>
  <si>
    <t xml:space="preserve">RETEICA BIMESTRAL PATRIMONIOS AUTONOMOS </t>
  </si>
  <si>
    <t>Liquidación Retención en la fuente Patrimonios
Autónomos JUNIO 2024</t>
  </si>
  <si>
    <t>MUNICIPIO DE RIOBLANCOM
(TOLIMA</t>
  </si>
  <si>
    <t>MUNICIPIO DE CURUMANI</t>
  </si>
  <si>
    <t>MINISTERIO DE EDUCACION
NACIONAL</t>
  </si>
  <si>
    <t>MINISTERIO DE HACIENDA Y
CREDITO PUBLICO</t>
  </si>
  <si>
    <t>MUNICIPIO DE VALENCIA-
CORDOBA</t>
  </si>
  <si>
    <t>MUNICIPIO-SAN PEDRO DE
URABA</t>
  </si>
  <si>
    <t>MUNICIPIO DE TIERRALTA-
CORDOBA</t>
  </si>
  <si>
    <t>MUNICIPIO DE TAME</t>
  </si>
  <si>
    <t>MUNICIPIO DE CHIRIGUANA
(CESAR)</t>
  </si>
  <si>
    <t>MUNICIPIO DE MORALES
CAUCA</t>
  </si>
  <si>
    <t>MUNICIPIO DE PIENDAMO 
CAUCA</t>
  </si>
  <si>
    <t>MUNICIPIO DE CHAPARRAL</t>
  </si>
  <si>
    <t>MUNICIPIO DE LA JAGUA DE
IBIRICO</t>
  </si>
  <si>
    <t>U A E DIRECCION DE
IMPUESTOS Y ADUANAS
NACIONALES</t>
  </si>
  <si>
    <t>MUNICIPIO DE DIBULLA</t>
  </si>
  <si>
    <t>FIDUCIARIA - PA ASISTENCIA TECNICA SUBCUENTA MEN INFRAESTRUCTURA Y DOTACIÓN</t>
  </si>
  <si>
    <t>INTERVENTORÍA TÉCNICA, ADMINISTRATIVA, FINANCIERA, CONTABLE, AMBIENTAL, SOCIAL Y JURÍDICA A LA REVISIÓN, AJUSTE Y COMPLEMENTACIÓN DE ESTUDIOS Y DISEÑOS, Y LA CONSTRUCCIÓN DEL CENTRO EDUCATIVO ESMERALDAS SEDE PRINCIPAL, UBICADO EN EL CORREGIMIENTO ESMERALDAS DEL MUNICIPIO MERCADERES, DEPARTAMENTO CAUCA.</t>
  </si>
  <si>
    <t>22
144</t>
  </si>
  <si>
    <t>1/11/2023
16/08/2024</t>
  </si>
  <si>
    <t>23
145</t>
  </si>
  <si>
    <t>52
148</t>
  </si>
  <si>
    <t>20/12/2023
29/08/2024</t>
  </si>
  <si>
    <t>2
132</t>
  </si>
  <si>
    <t>27/10/2023
02/07/2024</t>
  </si>
  <si>
    <t>3
133</t>
  </si>
  <si>
    <t>TOTAL JULIO/2024</t>
  </si>
  <si>
    <t>CONSTRUOBRAS C&amp;M S.A.S.</t>
  </si>
  <si>
    <t>SITTCA S.A.S.</t>
  </si>
  <si>
    <t>ID 261337, FACTURA FE 8, ACTA NO. 4 COMPONENTE II DEL CONTRATO DE INTERVENTORÍA NO. 016-2023 INSTITUCIONES EDUCATIVAS OFICIALES DEL DEPARTAMENTO DE CAUCA (GRUPO 5)  COSTOS FIJOS 1 MES Y  PERIODO 1 AL 30 DE JULIO DE 2024</t>
  </si>
  <si>
    <t>ID 262059, FACTURA CE 3, ACTA NO. 2 COMPONENTE II DEL CONTRATO 001-2023, INSTITUCIONES EDUCATIVAS OFICIALES  MUNICIPIO DE TAME, DEPARTAMENTO DE ARAUCA (GRUPO 2), COSTOS FIJOS PERIODO DEL 16 DE JUNIO AL 15 DE JULIO DE 2024</t>
  </si>
  <si>
    <t>ID 261339, FACTURA FVE- 9, ACTA NO. 3 COMPONENTE II AVANCE DE OBRA 8,11% DEL CONTRATO 012-2023, INSTITUCIONES EDUCATIVAS OFICIALES  DEPARTAMENTO DEL CESAR (GRUPO 9), PERIODO DEL 26 DE JUNIO DE 2024 AL 25 DE JULIO DE 2024</t>
  </si>
  <si>
    <t>ID 261340, FACTURA IC1- 303, ACTA NO.4 - COMPONENTE 2, DEL CTO NO. 009-2023  INSTITUCIONES EDUCATIVAS OFICIALES  DEPARTAMENTO DEL CESAR (GRUPO 9), COSTOS FIJOS PERIODO DEL 26 DE JUNIO DE 2024 AL 25 DE JULIO DE 2024 Y COSTO VARIABLE AVANCE DE OBRA 8,11%</t>
  </si>
  <si>
    <t>ID 262597, FACTURA CO 188, ACTAL NO. 3 DEL COMPONENTE II POR CONCEPTO DE COSTO FIJO COMPRENDIDOS ENTRE EL 05 DE JULIO DE 2024 AL 31 DE JULIO DE 2024 Y  UN AVANCE DE OBRA DEL 23,71% VARIABLES), CORRESPONDIENTES AL CONTRATO DE INTERVENTORIA NO. 007-2023 (PAF-MENPNIE-I-085-2023)  INSTITUCIONES EDUCATIVAS OFICIALES DEL DEPARTAMENTO DE TOLIMA (GRUPO 1)</t>
  </si>
  <si>
    <t>ID 262060, FACTURA CDE - 145, ACTA 3 ETAPA 2  AVANCE DEL 23,71% EN OBRA CTO DE OBRA NO. 004-2023 INSTITUCIONES EDUCATIVAS OFICIALES DEL DEPARTAMENTO DE TOLIMA (GRUPO 1) PERIODO DEL 5 DE JULIO AL 31 DE JULIO DEL 2024</t>
  </si>
  <si>
    <t>ID 261341, FACTURA AC 83, ACTA NO. 3 COMPONENTE II DEL CONTRATO 005-2023, INSTITUCIONES EDUCATIVAS OFICIALES  DEPARTAMENTOS DE CORDOBA Y ANTIOQUIA (GRUPO 10), AVANCE DE OBRA 28,72% PERIODO DEL 16 DE JUNIO DE 2024 AL 15 DE JULIO DE 2024</t>
  </si>
  <si>
    <t>ID 261344, FACTURA CO 191, ACTA NO. 3 COMPONENTE II DEL CONTRATO 010-2023, INSTITUCIONES EDUCATIVAS OFICIALES  DEPARTAMENTOS DE CORDOBA Y ANTIOQUIA (GRUPO 10), COSTOS FIJOS PERIODO DEL 1 AL 31 DE JULIO DE 2024 Y AVANCE DE OBRA 28,72%</t>
  </si>
  <si>
    <t>ID 261348, FACTURA CV 7, ACTA NO. 3 COMPONENTE II DEL CONTRATO 001-2024, INSTITUCIONES EDUCATIVAS OFICIALES  DEPARTAMENTO DE LA GUAJIRA (GRUPO 22) AVANCE DE OBRA 15,60%, PERIODO 28 DE JUNIO DE 2024 A 21 DE JULIO DE 2024</t>
  </si>
  <si>
    <t>ID 262601, FACTURA FECH3, ACTA NO. 2 COMPONENTE II DEL AVANCE DE OBRA 29,70% DEL CONTRATO 013-2023, INSTITUCIONES EDUCATIVAS OFICIALES  DEPARTAMENTO DEL CÓRDOBA (GRUPO 11), PERIODO DEL 14 DE JUNIO DE 2024 AL 14 DE JULIO DE 2024</t>
  </si>
  <si>
    <t>ID 261353, FACTURA FECP 66, ACTA NO. 2 COMPONENTE II DEL CONTRATO 002-2024, INSTITUCIONES EDUCATIVAS OFICIALES  DEPARTAMENTO DE LA GUAJIRA (GRUPO 22), COSTOS FIJOS Y VARIABLES AVANCE DE OBRA 21,85% PERIODO DEL 30/05/2024 AL 04/06/2024 Y DEL 28/06/2024 21/07/2024</t>
  </si>
  <si>
    <t>ID 262062, FACTURA SIT 3528, ACTA NO. 1 COMPONENTE I DEL CONTRATO DE OBRA 003-2024,  ELABORACION DE DIAGNÓSTICOS, ESTUDIOS TÉCNICOS, DISEÑOS Y EJECUCIÓN DE OBRAS DE MEJORAMIENTO EN LAS INSTITUCIONES EDUCATIVAS OFICIALES DEL MUNICIPIO DE URIBIA DEL DEPARTAMENTO DE LA GUAJIRA (GRUPO 21),  PERIODO DEL 01 DE ABRIL AL 01 DE MAYO DE 2024</t>
  </si>
  <si>
    <t>ID 262063, FACTURA CDG 2, ACTA NO. 1 COMPONENTE I DEL CONTRATO DE INTERVENTORIA 004-2024, EJECUCIÓN DE OBRAS DE MEJORAMIENTO EN LAS INSTITUCIONES EDUCATIVAS OFICIALES DEL MUNICIPIO DE URIBIA, DEL DEPARTAMENTO DE LA GUAJIRA (GRUPO 21),  PERIODO DEL 01 DE ABRIL AL 01 DE MAYO DE 2024</t>
  </si>
  <si>
    <t>ID 262606, FACTURA SIT 3562, ACTA NO. 1 COMPONENTE I DEL CONTRATO DE OBRA 008-2023,  ELABORACION DE DIAGNÓSTICOS, ESTUDIOS TÉCNICOS, DISEÑOS Y EJECUCIÓN DE OBRAS DE MEJORAMIENTO EN LAS INSTITUCIONES EDUCATIVAS OFICIALES DE LOS DEPARTAMENTOS DE ARAUCA Y CASANARE (GRUPO 3),  PERIODO DEL 05/02/2024 AL 05/03/2024</t>
  </si>
  <si>
    <t>ID 262608, FACTURA FVE3, ACTA NO. 1 COMPONENTE I DEL CONTRATO DE INTERVENTORÍA 006-2023,  ELABORACION DE DIAGNÓSTICOS, ESTUDIOS TÉCNICOS, DISEÑOS Y EJECUCIÓN DE OBRAS DE MEJORAMIENTO EN LAS INSTITUCIONES EDUCATIVAS OFICIALES DE LOS DEPARTAMENTOS DE ARAUCA Y CASANARE (GRUPO 3),  PERIODO DEL 05/02/2024 AL 05/03/2024</t>
  </si>
  <si>
    <t>ID 262777, FACTURA SIT 3540, ACTA NO. 1 COMPONENTE II AVANCE 25,70% DEL CONTRATO DE OBRA 008-2023,  ELABORACION DE DIAGNÓSTICOS, ESTUDIOS TÉCNICOS, DISEÑOS Y EJECUCIÓN DE OBRAS DE MEJORAMIENTO EN LAS INSTITUCIONES EDUCATIVAS OFICIALES DE LOS DEPARTAMENTOS DE ARAUCA Y CASANARE (GRUPO 3),  PERIODO DEL 06/03/2024 AL 20/05/2024 Y 22/07/2024 AL 31/07/2024</t>
  </si>
  <si>
    <t>ID 262064, FACTURA FVE4, ACTA NO. 1 COMPONENTE II DEL CONTRATO DE INTERVENTORÍA 006-2023,  ELABORACION DE DIAGNÓSTICOS, ESTUDIOS TÉCNICOS, DISEÑOS Y EJECUCIÓN DE OBRAS DE MEJORAMIENTO EN LAS INSTITUCIONES EDUCATIVAS OFICIALES DE LOS DEPARTAMENTOS DE ARAUCA Y CASANARE (GRUPO 3),  COSTOS FIJO PERIODO DEL 05/02/2024 AL 05/03/2024 COSTOS VARIABLES AVANCE DE OBRA 25,70%</t>
  </si>
  <si>
    <t>ID 262066, FACTURA HHDA - 56, ACTA NO. 1 COMPONENTE 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PERIODO DEL 14/05/2024 AL 29/07/2024</t>
  </si>
  <si>
    <t>ID 261721, FACTURA FE 8, ACTA NO. 1 COMPONENTE II AVANCE 15,17% DEL CONTRATO DE OBRA 010-2024,  MEJORAMIENTO Y/U OBRAS REQUERIDAS PARA LA INFRAESTRUCTURA EDUCATIVA Y SUMINISTRO E INSTALACIÓN DE AULAS Y/O BATERÍAS SANITARIAS, EN SEDES AFECTADAS POR EMERGENCIA - GRUPO 7, PERIODO DEL 01 AL 31 DE JULIO DE 2024</t>
  </si>
  <si>
    <t>ID 261723, FACTURA FE 7, ACTA NO. 2 COMPONENTE I DEL CONTRATO DE OBRA 010-2024,  MEJORAMIENTO Y/U OBRAS REQUERIDAS PARA LA INFRAESTRUCTURA EDUCATIVA Y SUMINISTRO E INSTALACIÓN DE AULAS Y/O BATERÍAS SANITARIAS, EN SEDES AFECTADAS POR EMERGENCIA - GRUPO 7, PERIODO DEL 01/07/2024 – 26/07/2024</t>
  </si>
  <si>
    <t>ID 262067, FACTURA UTS 1, ACTA NO. 1 COMPONENTE 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14/05/2024 AL 29/07/2024</t>
  </si>
  <si>
    <t>ID 263327, FACTURA FREL 61, ACTA NO. 2 COMPONENTE I DEL CONTRATO DE INTERVENTORIA 009-2024,  MEJORAMIENTO Y/U OBRAS REQUERIDAS PARA LA INFRAESTRUCTURA EDUCATIVA Y SUMINISTRO E INSTALACIÓN DE AULAS Y/O BATERÍAS SANITARIAS, EN SEDES AFECTADAS POR EMERGENCIA - GRUPO 7, PERIODO DEL 1 DE JULIO AL 26 DE JULIO DE 2024</t>
  </si>
  <si>
    <t>ID 262068, FACTURA FREL 63, ACTA NO. 1 COMPONENTE II DEL CONTRATO DE INTERVENTORIA 009-2024,  MEJORAMIENTO Y/U OBRAS REQUERIDAS PARA LA INFRAESTRUCTURA EDUCATIVA Y SUMINISTRO E INSTALACIÓN DE AULAS Y/O BATERÍAS SANITARIAS, EN SEDES AFECTADAS POR EMERGENCIA - GRUPO 7, PERIODO DEL01/07/2024 – 31/07/2024</t>
  </si>
  <si>
    <t>MUNICIPIO DE PIENDAMO CAUCA</t>
  </si>
  <si>
    <t>MUNICIPIO DE MORALES CAUCA</t>
  </si>
  <si>
    <t>RETEICA BIMESTRAL PATRIMONIOS AUTONOMOS  MUNICIPIO DE VALENCIA-CORDOBA</t>
  </si>
  <si>
    <t>CONTRIBUCION DE OBRA MENSUAL PATRIMONIO AUTONOMO JULIO 2024</t>
  </si>
  <si>
    <t xml:space="preserve">RETEICA BIMESTRAL PATRIMONIOS AUTONOMOS  MUNICIPIO DE TAME </t>
  </si>
  <si>
    <t>RETEICA BIMESTRAL PATRIMONIOS AUTONOMOS  MUNICIPIO DE CHIRIGUANA (CESAR)</t>
  </si>
  <si>
    <t>RETEICA BIMESTRAL PATRIMONIOS AUTONOMOS  MUNICIPIO DE PIENDAMO CAUCA</t>
  </si>
  <si>
    <t>RETEICA BIMESTRAL PATRIMONIOS AUTONOMOS MUNICIPIO DE MORALES CAUCA</t>
  </si>
  <si>
    <t>RETENCIÓN EN LA FUENTE PATRIMONIOS AUTÓNOMOS JULIO 2024</t>
  </si>
  <si>
    <t>040-2024</t>
  </si>
  <si>
    <t>CONSORCIO GRUPO 12 LA TOLA NARIÑO</t>
  </si>
  <si>
    <t>29
150</t>
  </si>
  <si>
    <t>7/11/2023
02/09/2024</t>
  </si>
  <si>
    <t>9
155</t>
  </si>
  <si>
    <t>042-2024</t>
  </si>
  <si>
    <t>CONSORCIO SAN CARLOS 2024</t>
  </si>
  <si>
    <t>041-2024</t>
  </si>
  <si>
    <t>ARQUITECTOS INGENIEROS CONSTRUCTORES SAS</t>
  </si>
  <si>
    <t>044-2024</t>
  </si>
  <si>
    <t>CONSORCIO INTERVENTORÍA 5T-CCA G4</t>
  </si>
  <si>
    <t>045-2024</t>
  </si>
  <si>
    <t xml:space="preserve"> UNIÓN TEMPORAL OLCE CARIBE</t>
  </si>
  <si>
    <t>TOTAL AGOSTO/2024</t>
  </si>
  <si>
    <t>ID 265560, FACTURA AC 84, ACTA NO. 4 COMPONENTE II DEL CONTRATO 005-2023, INSTITUCIONES EDUCATIVAS OFICIALES  DEPARTAMENTOS DE CORDOBA Y ANTIOQUIA (GRUPO 10), AVANCE DE OBRA 17,48% PERIODO DEL 16 DE JULIO DE 2024 AL 15 DE AGOSTO DE 2024</t>
  </si>
  <si>
    <t>ID 265563, FACTURA CO 194, ACTA NO. 4 COMPONENTE II DEL CONTRATO 010-2023, INSTITUCIONES EDUCATIVAS OFICIALES  DEPARTAMENTOS DE CORDOBA Y ANTIOQUIA (GRUPO 10), COSTOS FIJOS PERIODO DEL 1 AL 31 DE AGOSTO DE 2024 Y AVANCE DE OBRA 17,48%</t>
  </si>
  <si>
    <t>ID 265801, FACTURA CSM 7, ACTA NO. 1 COMPONENTE I DEL CONTRATO DE INTERVENTORIA 025-2024,  ELABORACIÓN DE DIAGNÓSTICOS, ESTUDIOS TÉCNICOS, DISEÑOS Y EJECUCIÓN DE OBRAS DE MEJORAMIENTO EN LAS INSTITUCIONES EDUCATIVAS OFICIALES DEL DEPARTAMENTO DE NORTE DE SANTANDER (GRUPO 15), PERIODO 17/06/2024 AL 16/07/2024</t>
  </si>
  <si>
    <t xml:space="preserve">ID 267223, FACTURA CDG 4, ACTA NO. 1 COMPONENTE II DEL CONTRATO DE INTERVENTORIA 004-2024, EJECUCIÓN DE OBRAS DE MEJORAMIENTO EN LAS INSTITUCIONES EDUCATIVAS OFICIALES DEL MUNICIPIO DE URIBIA, DEL DEPARTAMENTO DE LA GUAJIRA (GRUPO 21),  PERIODO DEL 02 DE MAYO AL 01 DE AGOSTO DE 2024 </t>
  </si>
  <si>
    <t>ID 266880, FACTURA FVE-17, ACTA 4 ETAPA 2  AVANCE DEL 8,95% EN OBRA CTO DE OBRA NO. 015-2023 INSTITUCIONES EDUCATIVAS OFICIALES DEL DEPARTAMENTO DE CAUCA (GRUPO 5) PERIODO 01 DE JULIO DE 2024 AL 31 DE AGOSTO DE 2024</t>
  </si>
  <si>
    <t>ID 265566, FACTURA FE 9, ACTA NO. 5 COMPONENTE II DEL CONTRATO DE INTERVENTORÍA NO. 016-2023 INSTITUCIONES EDUCATIVAS OFICIALES DEL DEPARTAMENTO DE CAUCA (GRUPO 5)  COSTOS FIJOS 1 MES Y  PERIODO 01 DE AGOSTO AL 31 DE AGOSTO DE 2024</t>
  </si>
  <si>
    <t>ID 265802, FACTURA CDE - 146, ACTA 4 ETAPA 2  AVANCE DEL 25,10% EN OBRA CTO DE OBRA NO. 004-2023 INSTITUCIONES EDUCATIVAS OFICIALES DEL DEPARTAMENTO DE TOLIMA (GRUPO 1) PERIODO DEL 1 AL 31 DE AGOSTO DEL 2024</t>
  </si>
  <si>
    <t>ID 265964, FACTURA CO 195, ACTAL NO. 4 DEL COMPONENTE II POR CONCEPTO DE COSTO FIJO COMPRENDIDOS ENTRE EL 01 AL 31 DE AGOSTO DE 2024 Y  UN AVANCE DE OBRA DEL 25,10% VARIABLES), CORRESPONDIENTES AL CONTRATO DE INTERVENTORIA NO. 007-2023 (PAF-MENPNIE-I-085-2023)  INSTITUCIONES EDUCATIVAS OFICIALES DEL DEPARTAMENTO DE TOLIMA (GRUPO 1)</t>
  </si>
  <si>
    <t>ID 265967, FACTURA FVE-10, ACTA NO. 2 COMPONENTE I DEL CONTRATO 012-2023, INSTITUCIONES EDUCATIVAS OFICIALES  DEPARTAMENTO
DEL CESAR (GRUPO 9),
PERIODO DEL 26 DE JUNIO DE 2024 AL 25 DE JULIO DE 2024</t>
  </si>
  <si>
    <t>ID 267232, FACTURA IC1-315, ACTA NO. 5 COMPONENTE II DEL CONTRATO 09-2023, INSTITUCIONES EDUCATIVAS OFICIALES  DEPARTAMENTO DEL CESAR (GRUPO 9), PERIODO DEL 26 DE JULIO AL 25 DE AGOSTO DE 2024</t>
  </si>
  <si>
    <t>ID 266613, FACTURA IC1-311, ACTA NO. 2 COMPONENTE I DEL CONTRATO 09-2023, INSTITUCIONES EDUCATIVAS OFICIALES  DEPARTAMENTO
DEL CESAR (GRUPO 9),
PERIODO DEL 26 DE JUNIO DE 2024 AL 25 DE JULIO DE 2024</t>
  </si>
  <si>
    <t>ID 266883, FACTURA CV 11, ACTA NO. 2 COMPONENTE I DEL CONTRATO  001-2024, INSTITUCIONES EDUCATIVAS OFICIALES  DEPARTAMENTO DE LA GUAJIRA (GRUPO 22), PERIODO DEL 29 DE FEBRERO DE 2024 AL 29 DE MARZO DE 2024</t>
  </si>
  <si>
    <t>ID 265968, FACTURA FVE 11, ACTA NO. 4 COMPONENTE II AVANCE DE OBRA 16,77% DEL CONTRATO 012-2023, INSTITUCIONES EDUCATIVAS OFICIALES  DEPARTAMENTO DEL CESAR (GRUPO 9), PERIODO DEL 26 DE JULIO DE 2024 AL 25 DE AGOSTO DE 2024</t>
  </si>
  <si>
    <t>ID 267451, FACTURA FECI 8, ACTA 3. ETAPA 2 CTO 011-2023 INSTITUCIONES EDUCATIVAS OFICIALES DEL MUNICIPIO DE TIERRALTA, DEPARTAMENTO DEL CÓRDOBA (GRUPO 11) COSTOS FIJOS DEL 15 DE MAYO DE 2024 AL 03 DE AGOSTO DE 2024</t>
  </si>
  <si>
    <t>ID 266272, FACTURA CE 4, ACTA NO. 3 COMPONENTE II DEL CONTRATO DE INTERVENTORIA 001-2023, INSTITUCIONES EDUCATIVAS OFICIALES  MUNICIPIO DE TAME, DEPARTAMENTO DE ARAUCA (GRUPO 2), COSTOS VARIABLES POR AVANCE DEL OBRA DEL 32,11%  PERIODO DEL 15 DE MAYO AL 30 DE JUNIO  DE 2024</t>
  </si>
  <si>
    <t>ID 266621, FACTURA UTES - 4, ACTA NO. 1 COMPONENTE I DEL CONTRATO DE OBRA 026-2024, ELABORACIÓN DE DIAGNÓSTICOS, ESTUDIOS TÉCNICOS, DISEÑOS Y EJECUCIÓN DE OBRAS DE MEJORAMIENTO EN LAS INSTITUCIONES EDUCATIVAS OFICIALES DEL DEPARTAMENTO DE NORTE DE SANTANDER (GRUPO 15),  PERIODO DEL 15/05/2024 – 30/07/2024</t>
  </si>
  <si>
    <t>ID 266627, FACTURA UTES - 6, ACTA NO. 1 COMPONENTE II DEL CONTRATO DE OBRA 026-2024, ELABORACIÓN DE DIAGNÓSTICOS, ESTUDIOS TÉCNICOS, DISEÑOS Y EJECUCIÓN DE OBRAS DE MEJORAMIENTO EN LAS INSTITUCIONES EDUCATIVAS OFICIALES DEL DEPARTAMENTO DE NORTE DE SANTANDER (GRUPO 15),  AVANCE DE OBRA XXX %PERIODO DEL 17/07/2024 AL 31/08/ 2024</t>
  </si>
  <si>
    <t>ID 267235, FACTURA FVE6, ACTA NO. 2 COMPONENTE II DEL CONTRATO DE INTERVENTORÍA 006-2023,  ELABORACION DE DIAGNÓSTICOS, ESTUDIOS TÉCNICOS, DISEÑOS Y EJECUCIÓN DE OBRAS DE MEJORAMIENTO EN LAS INSTITUCIONES EDUCATIVAS OFICIALES DE LOS DEPARTAMENTOS DE ARAUCA Y CASANARE (GRUPO 3),  COSTOS FIJOS PERIODO DEL 5/08/2024 AL 4/09/2024</t>
  </si>
  <si>
    <t>ID 266276, FACTURA CIET 4, ACTA NO. 3 COMPONENTE II DEL CONTRATO DE OBRA  002-2023, INSTITUCIONES EDUCATIVAS OFICIALES  DEPARTAMENTO DE ARAUCA (GRUPO 2), AVANCE DE OBRA 30,61% PERIODO 01 DE JULIO AL 17 DE JULIO DE 2024 Y DEL 17 DE AGOSTO AL 31 DE AGOSTO DE 2024</t>
  </si>
  <si>
    <t>ID 267453, FACTURA FECP 68, ACTA NO. 2 COMPONENTE I DEL CONTRATO 002-2024, INSTITUCIONES EDUCATIVAS OFICIALES  DEPARTAMENTO DE LA GUAJIRA (GRUPO 22), PERIODO DEL 29/02/2024 A 29/03/2024</t>
  </si>
  <si>
    <t>ID 266637, FACTURA CV 10, ACTA NO. 4 COMPONENTE II DEL CONTRATO 001-2024, INSTITUCIONES EDUCATIVAS OFICIALES  DEPARTAMENTO DE LA GUAJIRA (GRUPO 22) AVANCE DE OBRA 14,14%, PERIODO 21 AL 31 DE AGOSTO DE 2024</t>
  </si>
  <si>
    <t>ID 267457, FACTURA FED - 432, ACTA NO. 1 COMPONENTE 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15/05/2024 – 30/07/2024</t>
  </si>
  <si>
    <t>ID 266279, FACTURA FREL 65, ACTA NO. 2 COMPONENTE II DEL CONTRATO DE INTERVENTORIA 009-2024,  MEJORAMIENTO Y/U OBRAS REQUERIDAS PARA LA INFRAESTRUCTURA EDUCATIVA Y SUMINISTRO E INSTALACIÓN DE AULAS Y/O BATERÍAS SANITARIAS, EN SEDES AFECTADAS POR EMERGENCIA - GRUPO 7, COSTO VARIABLE AVANCE DE OBRA 35,07% Y COSTOS FIJOS PERIODO DEL 01 /08/2024 – 31/08/2024</t>
  </si>
  <si>
    <t>ID 267461, FACTURA FREL 64, ACTA NO. 1 COMPONENTE 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15/05/2024 – 30/07/2024</t>
  </si>
  <si>
    <t>ID 265970, FACTURA FE- 9, ACTA NO. 2 COMPONENTE II AVANCE 35,07% DEL CONTRATO DE OBRA 010-2024,  MEJORAMIENTO Y/U OBRAS REQUERIDAS PARA LA INFRAESTRUCTURA EDUCATIVA Y SUMINISTRO E INSTALACIÓN DE AULAS Y/O BATERÍAS SANITARIAS, EN SEDES AFECTADAS POR EMERGENCIA - GRUPO 7, PERIODO DEL 01 AL 31 DE AGOSTO DE 2024</t>
  </si>
  <si>
    <t>ID 267469, FACTURA CE1, ACTA NO. 1 COMPONENTE I DEL CONTRATO DE INTERVENTORIA 021-2024,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</si>
  <si>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267466, FACTURA CG 2, ACTA NO. 1 COMPONENTE 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</si>
  <si>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267531, FACTURA UTS 2, ACTA NO. 1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DEL 30/07/2024 AL 29/08/2024</t>
  </si>
  <si>
    <t>ID 267990, FACTURA FEV 1, ACTA NO. 1 ETAPA II DEL CONTRATO DE OBRA 014-2024,  PARA LA CONSTRUCCIÓN DE LA INSTITUCIÓN EDUCATIVA JOSÉ ANTONIO RICAURTE UBICADA EN EL MUNICIPIO DE IBAGUÉ, DEPARTAMENTO DEL TOLIMA, AVANCE 3,16% PERIODO DEL 29/07/2024 AL 28/08/2024</t>
  </si>
  <si>
    <t>ID 267934, FACTURA CE24-1, ACTA NO. 1 COMPONENTE I DEL CONTRATO DE INTERVENTORIA 011-2024,  PARA LA CONSTRUCCIÓN DE LA INSTITUCIÓN EDUCATIVA JOSÉ ANTONIO RICAURTE UBICADA EN EL MUNICIPIO DE IBAGUÉ, DEPARTAMENTO DEL TOLIMA,  PERIODO DEL 29/07/2024 AL 28/08/2024</t>
  </si>
  <si>
    <t>ID 267247, FACTURA HHDA - 58, ACTA NO. 1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3,92 % PERIODO DEL 30/07/2024 A 31/08/2024</t>
  </si>
  <si>
    <t>RETENCIÓN EN LA FUENTE PATRIMONIOS AUTÓNOMOS AGOSTO 2024</t>
  </si>
  <si>
    <t>PAGO TASA BOMBERIL AGOSTO 2024</t>
  </si>
  <si>
    <t>MUNICIPIO DE FORTUL ARAUCA</t>
  </si>
  <si>
    <t>MUNICIPIO DE SARAVENA</t>
  </si>
  <si>
    <t>PAGO RETEICA</t>
  </si>
  <si>
    <t>MUNICIPIO DE UNGUIA</t>
  </si>
  <si>
    <t>MUNICIPIO DE VALENCIA-CORDOBA</t>
  </si>
  <si>
    <t>MUNICIPIO DE RIOBLANCOM (TOLIMA</t>
  </si>
  <si>
    <t>MUNICIPIO DE LORICA-CORDOBA</t>
  </si>
  <si>
    <t>MUNICIPIO-SAN PEDRO DE URABA</t>
  </si>
  <si>
    <t>MUNICIPIO DE TIERRALTA-CORDOBA</t>
  </si>
  <si>
    <t>MUNICIPIO DE BAJO BAUDO PIZARRO (CHOCO)</t>
  </si>
  <si>
    <t xml:space="preserve">  MUNICIPIO DE SAN JACINTO</t>
  </si>
  <si>
    <t>MUNICIPIO DE HATO COROZAL (CASANARE)</t>
  </si>
  <si>
    <t>MUNICIPIO DE BUENOS AIRES</t>
  </si>
  <si>
    <t>MUNICIPIO DE BUENAVENTURA</t>
  </si>
  <si>
    <t>MUNICIPIO DE SAN BENITO ABAD</t>
  </si>
  <si>
    <t>MUNICIPIO DE FLORIDA VALLE</t>
  </si>
  <si>
    <t>ALCALDIA MUNICIPAL DE URIBIA</t>
  </si>
  <si>
    <t>MUNICIPIO DE LA JAGUA DE IBIRICO</t>
  </si>
  <si>
    <t>MUNICIPIO DE PIENDAMO-CAUCA</t>
  </si>
  <si>
    <t>MUNICIPIO DE VILLARICA</t>
  </si>
  <si>
    <t>MUNICIPIO DE SANTANDER DE QUILICHAO-CAUCA</t>
  </si>
  <si>
    <t>MUNICIPIO DE PUERTO TEJADA</t>
  </si>
  <si>
    <t>MUNICIPIO DE MAGANGUE</t>
  </si>
  <si>
    <t>MUNICIPIO DE SUAREZ</t>
  </si>
  <si>
    <t>VALOR</t>
  </si>
  <si>
    <t>DESCRIPCION</t>
  </si>
  <si>
    <t>SALDO RECURSOS LÍQUIDOS (SALDO CUENTA DE AHORROS  +  SALDO FIC)</t>
  </si>
  <si>
    <t>TOTAL RENDIMIENTOS POR GIRAR</t>
  </si>
  <si>
    <t>CUENTAS X PAGAR PROVEEDORES</t>
  </si>
  <si>
    <t>IMPUESTOS POR PAGAR</t>
  </si>
  <si>
    <t>RETENCIONES EN GARANTÍA PENDIENTES DE GIRO</t>
  </si>
  <si>
    <r>
      <t xml:space="preserve">MAYOR PERMANENCIA
INTERVENTORIA
</t>
    </r>
    <r>
      <rPr>
        <b/>
        <sz val="8"/>
        <color theme="0"/>
        <rFont val="Calibri"/>
        <family val="2"/>
        <scheme val="minor"/>
      </rPr>
      <t>(Asumido por Contratista)</t>
    </r>
  </si>
  <si>
    <t>103
162</t>
  </si>
  <si>
    <t>20/03/2024
07/10/2024</t>
  </si>
  <si>
    <t>102
163</t>
  </si>
  <si>
    <t>043-2024</t>
  </si>
  <si>
    <t>CONSORCIO EDUCATIVO 2024</t>
  </si>
  <si>
    <t>CONSORCIO INTERVENTORIA EDUCATIVA G6</t>
  </si>
  <si>
    <t>046-2024</t>
  </si>
  <si>
    <t>047-2024</t>
  </si>
  <si>
    <t>ESPACIOS URBANOS GRUPO CONSTRUCTOR S.A.S.</t>
  </si>
  <si>
    <t>INGENIEROS CIVILES ESPECIALISTAS S.A.S.</t>
  </si>
  <si>
    <t>051-2024</t>
  </si>
  <si>
    <t>050-2024</t>
  </si>
  <si>
    <t>SERVINGTECH S.A.S</t>
  </si>
  <si>
    <t>TOTAL SEPTIEMBRE/2024</t>
  </si>
  <si>
    <t>ALFA Y OMEGA INGENIEROS S.A.S.</t>
  </si>
  <si>
    <t>CONSTRUCCIONES B&amp;M S.A.S.</t>
  </si>
  <si>
    <t>SITTCA OIL &amp; GAS S.A.S.</t>
  </si>
  <si>
    <t>MUNICIPIO DE EL TARRA</t>
  </si>
  <si>
    <t>MUNICIPIO AGUSTIN CODAZZI</t>
  </si>
  <si>
    <t>MUNICIPIO DE BOSCONIA-CESAR</t>
  </si>
  <si>
    <t>MUNICIPIO DE FUNDACION</t>
  </si>
  <si>
    <t>MUNICIPIO DE VALLEDUPAR</t>
  </si>
  <si>
    <t>DISTRITO ESPECIAL, TURISTICO Y CULTURAL DE RIOHACHA</t>
  </si>
  <si>
    <t>ID 270349, FACTURA IC1-318, ACTA NO. 6 COMPONENTE II DEL CONTRATO INTERVENTORIA 009-2023, INSTITUCIONES EDUCATIVAS OFICIALES  DEPARTAMENTO DEL CESAR (GRUPO 9), COSTO VARIABLE AVANCE DE OBRA 13,23% Y COSTO FIJO PERIODO DEL 26 DE AGOSTO AL 25 DE SEPTIEMBRE DE 2024</t>
  </si>
  <si>
    <t>ID 270864, FACTURA FECH 5, ACTA NO. 3 COMPONENTE II DEL AVANCE DE OBRA 19,23% DEL CONTRATO 013-2023, INSTITUCIONES EDUCATIVAS OFICIALES  DEPARTAMENTO DEL CÓRDOBA (GRUPO 11), PERIODO DEL 16 DE JULIO DE 2024 AL 15 DE SEPTIEMBRE DE 2024</t>
  </si>
  <si>
    <t>ID 272621, FACTURA FECI 9, ACTA 4. ETAPA 2 CTO INTERVENTORIA 011-2023 INSTITUCIONES EDUCATIVAS OFICIALES DEL MUNICIPIO DE TIERRALTA, DEPARTAMENTO DEL CÓRDOBA (GRUPO 11) COSTOS FIJOS DEL 4 DE AGOSTO DE 2024 AL 03 DE SEPTIEMBRE DE 2024</t>
  </si>
  <si>
    <t>ID 271477, FACTURA CE 5, ACTA NO. 4 COMPONENTE II DEL CONTRATO DE INTERVENTORIA 001-2023, INSTITUCIONES EDUCATIVAS OFICIALES  MUNICIPIO DE TAME, DEPARTAMENTO DE ARAUCA (GRUPO 2), COSTOS FIJOS PERIODO DEL 16 DE JULIO AL 15 DE AGOSTO DE 2024</t>
  </si>
  <si>
    <t>ID 270547, FACTURA AC 86, ACTA NO. 5 COMPONENTE II DEL CONTRATO 005-2023, INSTITUCIONES EDUCATIVAS OFICIALES  DEPARTAMENTOS DE CORDOBA Y ANTIOQUIA (GRUPO 10), PERIODO DEL 16 DE JULIO DE 2024 AL 15 DE AGOSTO DE 2024</t>
  </si>
  <si>
    <t>ID 270205, FACTURA CO 197, ACTA NO. 5 COMPONENTE II DEL CONTRATO 010-2023, INSTITUCIONES EDUCATIVAS OFICIALES  DEPARTAMENTOS DE CORDOBA Y ANTIOQUIA (GRUPO 10), COSTOS VARIABLES AVANCE DE OBRA 17,48 % PERIODO DEL 1 AL 30 DE SEPTIEMBREA DE 2024</t>
  </si>
  <si>
    <t>ID 271808, FACTURA CIET 6, ACTA NO. 1 COMPONENTE I DEL CONTRATO DE OBRA  002-2023, INSTITUCIONES EDUCATIVAS OFICIALES  DEPARTAMENTO DE ARAUCA (GRUPO 2),  PERIODO 15 DE ABRIL DE 2024 AL 15 DE MAYO DE 2024</t>
  </si>
  <si>
    <t>ID 272337, FACTURA FE 1337, ACTA 1. COMP II CTO INTERVENTORIA 019-2043 INSTITUCIONES EDUCATIVAS OFICIALES DDE LOS MUNICIPIOS DE PUERTO ASÍS, VALLE GUAMEZ, SAN MIGUEL Y PUERTO CAICEDO DEL DEPARTAMENTO DE PUTUMAYO (GRUPO 14) COSTOS FIJOS DEL 12 DE JUNIO AL 11 DE SEPTIEMBRE DE 2024</t>
  </si>
  <si>
    <t>ID 271814, FACTURA CE 6, ACTA NO. 1 COMPONENTE I DEL CONTRATO DE INTERVENTORIA 001-2023, INSTITUCIONES EDUCATIVAS OFICIALES  DEPARTAMENTO DE ARAUCA (GRUPO 2),  PERIODO 15 DE ABRIL DE 2024 AL 15 DE MAYO DE 2024</t>
  </si>
  <si>
    <t>ID 270356, FACTURA CDE - 147, ACTA 5 ETAPA 2  AVANCE DEL 20,21% EN OBRA CTO DE OBRA NO. 004-2023 INSTITUCIONES EDUCATIVAS OFICIALES DEL DEPARTAMENTO DE TOLIMA (GRUPO 1) PERIODO DEL 01 DE SEPTIEMBRE AL 10 DE SEPTIEMBRE DE 2024</t>
  </si>
  <si>
    <t>ID 270379, FACTURA CO 198, ACTAL NO. 5 DEL COMPONENTE II POR CONCEPTO DE COSTO FIJO COMPRENDIDOS ENTREDEL 01 DE SEPTIEMBRE DE 2024 AL 30 DE SEPTIEMBRE DE 2024 Y  UN AVANCE DE OBRA DEL 20,21% VARIABLES), CORRESPONDIENTES AL CONTRATO DE INTERVENTORIA NO. 007-2023 (PAF-MENPNIE-I-085-2023)  INSTITUCIONES EDUCATIVAS OFICIALES DEL DEPARTAMENTO DE TOLIMA (GRUPO 1)</t>
  </si>
  <si>
    <t>ID 270560, FACTURA FVE-18, ACTA 5 ETAPA 2  AVANCE DEL 4,07% EN OBRA CTO DE OBRA NO. 015-2023 INSTITUCIONES EDUCATIVAS OFICIALES DEL DEPARTAMENTO DE CAUCA (GRUPO 5) PERIODO 01 DE SEPTIEMBRE DE 2024 AL 30 DE SEPTIEMBRE DE 2024</t>
  </si>
  <si>
    <t>ID 270385, FACTURA FE 10, ACTA NO. 6 COMPONENTE II DEL CONTRATO DE INTERVENTORÍA NO. 016-2023 INSTITUCIONES EDUCATIVAS OFICIALES DEL DEPARTAMENTO DE CAUCA (GRUPO 5)  01 DE SEPTIEMBRE AL 30 DE SEPTIEMBRE DE 2024</t>
  </si>
  <si>
    <t>ID 270210, FACTURA FVE- 12, ACTA NO. 5 COMPONENTE II AVANCE DE OBRA 13,23% DEL CONTRATO 012-2023, INSTITUCIONES EDUCATIVAS OFICIALES  DEPARTAMENTO DEL CESAR (GRUPO 9), PERIODO DEL 26 DE AGOSTO DE 2024 AL 25 DE SEPTIEMBRE DE 2024</t>
  </si>
  <si>
    <t>ID 271486, FACTURA CSM11, ACTA NO. 1 COMPONENTE II DEL CONTRATO DE INTERVENTORIA 025-2024,  ELABORACIÓN DE DIAGNÓSTICOS, ESTUDIOS TÉCNICOS, DISEÑOS Y EJECUCIÓN DE OBRAS DE MEJORAMIENTO EN LAS INSTITUCIONES EDUCATIVAS OFICIALES DEL DEPARTAMENTO DE NORTE DE SANTANDER (GRUPO 15), PERIODO 17/07/2024 AL 16/08/2024</t>
  </si>
  <si>
    <t>ID 270389, FACTURA CIET 7, ACTA NO. 4 COMPONENTE II DEL CONTRATO DE OBRA  002-2023, INSTITUCIONES EDUCATIVAS OFICIALES  DEPARTAMENTO DE ARAUCA (GRUPO 2), AVANCE DE OBRA 30,61% PERIODO 01 DE SEPTIEMBRE AL 25 DE SEPTIEMBRE 2024</t>
  </si>
  <si>
    <t>ID 270185, FACTURA C166, ACTA NO. 1 COMPONENTE II AVANCE DE OBRA 18,36% DEL CONTRATO DE OBRA 007-2024, INSTITUCIONES EDUCATIVAS OFICIALES  DE LOS MUNICIPIOS DE SEGOVIA Y NECHÍ DEL DEPARTAMENTO DE ANTIOQUIA (GRUPO 19), PERIODO 24 DE JULIO DE 2024 -27 DE SEPTIEMBRE DE 2024</t>
  </si>
  <si>
    <t>ID 271818, FACTURA CV 12, ACTA NO. 5 COMPONENTE II DEL CONTRATO 001-2024, INSTITUCIONES EDUCATIVAS OFICIALES  DEPARTAMENTO DE LA GUAJIRA (GRUPO 22) AVANCE DE OBRA 24,52%, PERIODO 01 AL 30 DE SEPTIEMBRE DE 2024</t>
  </si>
  <si>
    <t>ID 271489, FACTURA FECP 69, ACTA NO. 3 COMPONENTE II DEL CONTRATO 002-2024, INSTITUCIONES EDUCATIVAS OFICIALES  DEPARTAMENTO DE LA GUAJIRA (GRUPO 22), COSTOS FIJOS 1 MES Y VARIABLES AVANCE DE OBRA ACUMULADO DE 67,05% PERIODO DEL 21/08/2024 A 30/09/2024</t>
  </si>
  <si>
    <t xml:space="preserve">ID 271498, FACTURA CDG 6, ACTA NO. 2 COMPONENTE II DEL CONTRATO DE INTERVENTORIA 004-2024, EJECUCIÓN DE OBRAS DE MEJORAMIENTO EN LAS INSTITUCIONES EDUCATIVAS OFICIALES DEL MUNICIPIO DE URIBIA, DEL DEPARTAMENTO DE LA GUAJIRA (GRUPO 21),  PERIODO DEL 02 DE AGOSTO AL 01 DE OCTUBRE DE 2024 </t>
  </si>
  <si>
    <t>ID 271322, FACTURA SIT 3743, ACTA NO. 1 COMPONENTE II DEL CONTRATO DE OBRA 003-2024 AVANCE 2,12% , ELABORACION DE DIAGNÓSTICOS, ESTUDIOS TÉCNICOS, DISEÑOS Y EJECUCIÓN DE OBRAS DE MEJORAMIENTO EN LAS INSTITUCIONES EDUCATIVAS OFICIALES DEL MUNICIPIO DE URIBIA DEL DEPARTAMENTO DE LA GUAJIRA (GRUPO 21),  PERIODO 2/05/2024 AL 1/10/2024</t>
  </si>
  <si>
    <t>ID 270869, FACTURA HHDA -62 , ACTA NO. 2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17,42 % PERIODO DEL 01/09/2024 A 30/09/2024</t>
  </si>
  <si>
    <t>ID 270875, FACTURA UTS 3, ACTA NO. 2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30/08/2024 AL 30/09/2024</t>
  </si>
  <si>
    <t>ID 270879, FACTURA FE- 10, ACTA NO. 3 COMPONENTE II AVANCE 21,25% DEL CONTRATO DE OBRA 010-2024,  MEJORAMIENTO Y/U OBRAS REQUERIDAS PARA LA INFRAESTRUCTURA EDUCATIVA Y SUMINISTRO E INSTALACIÓN DE AULAS Y/O BATERÍAS SANITARIAS, EN SEDES AFECTADAS POR EMERGENCIA - GRUPO 7, PERIODO DEL 01 AL 30 DE SEPTIEMBRE DE 2024</t>
  </si>
  <si>
    <t>ID 271329, FACTURA CG 7, ACTA NO. 1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31 DE JULIO DE 2024 AL 30 DE SEPTIEMBRE DE 2024</t>
  </si>
  <si>
    <t>ID 271332, FACTURA CE2, ACTA NO. 1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31 DE JULIO DE 2024 AL 30 DE SEPTIEMBRE DE 2024</t>
  </si>
  <si>
    <t>ID 270883, FACTURA FREL 70, ACTA NO. 3 COMPONENTE II DEL CONTRATO DE INTERVENTORIA 009-2024,  MEJORAMIENTO Y/U OBRAS REQUERIDAS PARA LA INFRAESTRUCTURA EDUCATIVA Y SUMINISTRO E INSTALACIÓN DE AULAS Y/O BATERÍAS SANITARIAS, EN SEDES AFECTADAS POR EMERGENCIA - GRUPO 7, COSTO VARIABLE AVANCE DE OBRA 21,25% Y COSTOS FIJOS PERIODO DEL 01/09/2024 – 30/09/2024</t>
  </si>
  <si>
    <t>ID 271335, FACTURA FVE-1, ACTA NO. 1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30 DE JULIO AL 31 DE AGOSTO DE 2024</t>
  </si>
  <si>
    <t xml:space="preserve">ID 271338, FACTURA FVE-3, ACTA NO. 2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SEPTIEMBRE AL 30 DE SEPTIEMBRE DE 2024 Y COSTOS VARIABLES AVANCE 5,09% </t>
  </si>
  <si>
    <t xml:space="preserve">ID 271340, FACTURA FE 126, ACTA NO. 1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SEPTIEMBRE AL 30 DE SEPTIEMBRE DE 2024 AVANCE 5,09% </t>
  </si>
  <si>
    <t xml:space="preserve">ID 272501, FACTURA CE24-3, ACTA NO. 2 COMPONENTE II DEL CONTRATO DE INTERVENTORIA 011-2024,  PARA LA CONSTRUCCIÓN DE LA INSTITUCIÓN EDUCATIVA JOSÉ ANTONIO RICAURTE UBICADA EN EL MUNICIPIO DE IBAGUÉ, DEPARTAMENTO DEL TOLIMA,  COSTOS FIJOS 1 MES Y COSTOS VARIABLES AVANCE DE OBRA 3,16% PERIODO DEL 29/08/2024 AL 07/10/2024. </t>
  </si>
  <si>
    <t>ID 272422, FACTURA FEV 3, ACTA NO. 2 COMPONENTE II DEL CONTRATO DE OBRA 014-2024,  PARA LA CONSTRUCCIÓN DE LA INSTITUCIÓN EDUCATIVA JOSÉ ANTONIO RICAURTE UBICADA EN EL MUNICIPIO DE IBAGUÉ, DEPARTAMENTO DEL TOLIMA, AVANCE 3,16% PERIODO DEL 29/08/2024 AL 07/10/2024</t>
  </si>
  <si>
    <t>PAGO TASA BOMBERIL SEPTIEMBRE 2024</t>
  </si>
  <si>
    <t>PAGO RETENCIÓN AVISOS Y TABLEROS SEPTIEMBRE 2024</t>
  </si>
  <si>
    <t>CONTRIBUCION DE OBRA MENSUAL PATRIMONIO AUTONOMO SEPTIEMBRE 2024</t>
  </si>
  <si>
    <t xml:space="preserve">OTROS DESCUENTOS </t>
  </si>
  <si>
    <t>Instrucción de giro recursos para el pago de la prórroga de la licencia de construcción correspondiente a la ejecución del proyecto Institución Educativa Jose Antonio Ricaurte Sede Principal ubicada en el Municipio de Ibagué, Departamento de Tolima., los cuales se realizarán con cargo a los recursos del CONTRATO INTERADMINISTRATIVO CO1.PCCNTR.5090635 de 2023, que se encuentran en el PATRIMONIO AUTÓNOMO ALIADOS FINDETER PARA LA ASISTENCIA TÉCNICA Y ADMINISTRACIÓN DE RECURSOS –SUBCUENTA MEN PROGRAMA DE INFRAESTRUCTURA Y DOTACIÓN.</t>
  </si>
  <si>
    <t>OTRO- EXPENSAS</t>
  </si>
  <si>
    <t>LICENCIA</t>
  </si>
  <si>
    <t>TOTAL OCTUBRE/2024</t>
  </si>
  <si>
    <t>MUNICIPIO DE PUERTO CAICEDO</t>
  </si>
  <si>
    <t>MUNICIPIO DE IBAGUE</t>
  </si>
  <si>
    <t>MUNICIPIO TIBU TESORERIA MUNICIPAL</t>
  </si>
  <si>
    <t>MUNICIPIO DE NECHI</t>
  </si>
  <si>
    <t>MUNICIPIO DE PALESTINA</t>
  </si>
  <si>
    <t>MUNICIPIO DE LA ARGENTINA</t>
  </si>
  <si>
    <t>MUNICIPIO DE PUERTO ASIS</t>
  </si>
  <si>
    <t>MUNICIPIO DE LA PLATA HUILA</t>
  </si>
  <si>
    <t>MUNICIPIO DE ARACATACA</t>
  </si>
  <si>
    <t>MUNICIPIO DE MANAURE - GUAJIRA</t>
  </si>
  <si>
    <t>FIDUFES MR-207 MUNICIPIO DE MAICAO</t>
  </si>
  <si>
    <t>MUNICIPIO SAN MIGUEL</t>
  </si>
  <si>
    <t>MUNICIPIO VALLE DEL GUAMUEZ</t>
  </si>
  <si>
    <t>ID 274751, FACTURA FE-11 , ACTA NO. 4 COMPONENTE II AVANCE 16,17% DEL CONTRATO DE OBRA 010-2024,  MEJORAMIENTO Y/U OBRAS REQUERIDAS PARA LA INFRAESTRUCTURA EDUCATIVA Y SUMINISTRO E INSTALACIÓN DE AULAS Y/O BATERÍAS SANITARIAS, EN SEDES AFECTADAS POR EMERGENCIA - GRUPO 7, PERIODO DEL 01 AL 31 DE OCTUBRE DE 2024</t>
  </si>
  <si>
    <t>ID 274527, FACTURA CE3, ACTA NO. 2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1 AL 31 DE OCTUBRE DE 2024</t>
  </si>
  <si>
    <t>ID 274531, FACTURA CG 9, ACTA NO. 2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28,00% PERIODO DEL 31 DE JULIO DE 2024 AL 30 DE SEPTIEMBRE DE 2024</t>
  </si>
  <si>
    <t>ID 274536, FACTURA FREL 75, ACTA NO. 4 COMPONENTE II DEL CONTRATO DE INTERVENTORIA 009-2024,  MEJORAMIENTO Y/U OBRAS REQUERIDAS PARA LA INFRAESTRUCTURA EDUCATIVA Y SUMINISTRO E INSTALACIÓN DE AULAS Y/O BATERÍAS SANITARIAS, EN SEDES AFECTADAS POR EMERGENCIA - GRUPO 7, COSTO VARIABLE AVANCE DE OBRA 16,17% Y COSTOS FIJOS PERIODO DEL 01/10/2024 – 31/10/2024</t>
  </si>
  <si>
    <t>ID 274552, FACTURA FED - 449, ACTA NO. 2 COMPONENTE 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31/07/2024 – 30/09/2024</t>
  </si>
  <si>
    <t>ID 274752, FACTURA FREL 73, ACTA NO. 2 COMPONENTE 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31/07/24 – 30/09/24</t>
  </si>
  <si>
    <t>ID 274918, FACTURA FREL 74, ACTA NO. 1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31/07/2024 Y EL 31/10/2024</t>
  </si>
  <si>
    <t>ID 275249, FACTURA HHDA - 66, ACTA NO. 3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16,53 % PERIODO DEL 01/10/2024 A 31/10/2024</t>
  </si>
  <si>
    <t>ID 274754, FACTURA FED - 450, ACTA NO. 1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 31 DE JULIO 2024 – 31 DE OCTUBRE DE 2024</t>
  </si>
  <si>
    <t>ID 274539, FACTURA UTS 4, ACTA NO. 3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01/10/2024 AL 31/10/2024</t>
  </si>
  <si>
    <t xml:space="preserve">ID 274920, FACTURA FVE-5, ACTA NO. 3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OCTUBRE AL 31 DE OCTUBRE DE 2024 Y COSTOS VARIABLES AVANCE OBRA 15,75% </t>
  </si>
  <si>
    <t xml:space="preserve">ID 274755, FACTURA FE 128, ACTA NO. 2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14),01 DE OCTUBRE AL 31 DE OCTUBRE DE 2024 AVANCE 5,09% </t>
  </si>
  <si>
    <t>ID 275256, FACTURA FEV 2 , ACTA NO. 1 ETAPA I DEL CONTRATO DE OBRA 029-2024,  PARA LA CONSTRUCCIÓN DE LA INSTITUCIÓN EDUCATIVA SAN JUAN BAUTISTA SEDE PRINCIPAL UBICADA EN EL MUNICIPIO DE CAIMITO, DEPARTAMENTO DE SUCRE PERIODO DEL 19/07/2024 AL 31/10/2024</t>
  </si>
  <si>
    <t>ID 275262, FACTURA IC1 327, ACTA NO. 1 ETAPA I DEL CONTRATO DE INTERVENTORIA 016-2024,  PARA LA CONSTRUCCIÓN DE LA INSTITUCIÓN EDUCATIVA SAN JUAN BAUTISTA SEDE PRINCIPAL UBICADA EN EL MUNICIPIO DE CAIMITO, DEPARTAMENTO DE SUCRE PERIODO DEL 19/07/2024 AL 31/10/2024</t>
  </si>
  <si>
    <t>ID 276518, FACTURA FEV 4, ACTA NO. 3 COMPONENTE II DEL CONTRATO DE OBRA 014-2024,  PARA LA CONSTRUCCIÓN DE LA INSTITUCIÓN EDUCATIVA JOSÉ ANTONIO RICAURTE UBICADA EN EL MUNICIPIO DE IBAGUÉ, DEPARTAMENTO DEL TOLIMA, AVANCE 5,15% PERIODO DEL 08/10/2024 AL 31/10/2024</t>
  </si>
  <si>
    <t>ID 276519, FACTURA CE24-5, ACTA NO. 3 COMPONENTE II DEL CONTRATO DE INTERVENTORIA 011-2024,  PARA LA CONSTRUCCIÓN DE LA INSTITUCIÓN EDUCATIVA JOSÉ ANTONIO RICAURTE UBICADA EN EL MUNICIPIO DE IBAGUÉ, DEPARTAMENTO DEL TOLIMA,  COSTOS FIJOS 1 MES Y COSTOS VARIABLES AVANCE DE OBRA 5,15% PERIODO DEL 08/10/2024 AL 31/10/2024.</t>
  </si>
  <si>
    <t>ID 274756, FACTURA FVE 13, ACTA NO. 3 COMPONENTE DEL CONTRATO DE OBRA 012-2023, INSTITUCIONES EDUCATIVAS OFICIALES  DEPARTAMENTO DEL CESAR (GRUPO 9), PERIODO 28 DE AGOSTO DE 2024 AL 27 DE SEPTIEMBRE DE 2024</t>
  </si>
  <si>
    <t>ID 274927, FACTURA IC1-324, ACTA NO. 3 COMPONENTE I DEL CONTRATO INTERVENTORIA 009-2023, INSTITUCIONES EDUCATIVAS OFICIALES  DEPARTAMENTO DEL CESAR (GRUPO 9), PERIODO DEL 28 DE AGOSTO AL 27 DE SEPTIEMBRE DE 2024</t>
  </si>
  <si>
    <t>ID 276639, FACTURA UT 3, ACTA NO. 1 COMPONENTE II DEL CONTRATO DE OBRA 034-2024, ELABORACIÓN DE DIAGNÓSTICOS, ESTUDIOS TÉCNICOS, DISEÑOS Y EJECUCIÓN DE OBRAS DE MEJORAMIENTO EN LAS INSTITUCIONES EDUCATIVAS OFICIALES DE LA ETC RISARALDA (GRUPO 20), PERIODO DEL 11 DE SEPTIEMBRE A 21 DE OCTUBRE DE 2024.</t>
  </si>
  <si>
    <t>ID 275773, FACTURA FE 1, ACTA NO. 1 COMPONENTE I DEL CONTRATO DE INTERVENTORIA 035-2024, ELABORACIÓN DE DIAGNÓSTICOS, ESTUDIOS TÉCNICOS, DISEÑOS Y EJECUCIÓN DE OBRAS DE MEJORAMIENTO EN LAS INSTITUCIONES EDUCATIVAS OFICIALES DE LA ETC RISARALDA (GRUPO 20), PERIODO DEL 16 DE AGOSTO AL 15 DE SEPTIEMBRE DE 2024</t>
  </si>
  <si>
    <t>ID 276690, FACTURA FE 3, ACTA NO. 1 COMPONENTE II DEL CONTRATO DE INTERVENTORIA 035-2024, ELABORACIÓN DE DIAGNÓSTICOS, ESTUDIOS TÉCNICOS, DISEÑOS Y EJECUCIÓN DE OBRAS DE MEJORAMIENTO EN LAS INSTITUCIONES EDUCATIVAS OFICIALES DE LA ETC RISARALDA (GRUPO 20), PERIODO DEL 11 DE SEPTIEMBRE AL 21 DE OCTUBRE DE 2024</t>
  </si>
  <si>
    <t>ID 276646, FACTURA CE7, ACTA NO. 5 COMPONENTE II DEL CONTRATO DE INTERVENTORIA 001-2023, INSTITUCIONES EDUCATIVAS OFICIALES  MUNICIPIO DE TAME, DEPARTAMENTO DE ARAUCA (GRUPO 2), COSTOS FIJOS PERIODO DEL 17 DE AGOSTO DE 2024 AL 25 DE SEPTIEMBRE DE 2024 Y AVANCE POR EL TOTAL DE EJECUCIÓN DE OBRA</t>
  </si>
  <si>
    <t>ID 276463, FACTURA FVE7, ACTA NO. 3 COMPONENTE II DEL CONTRATO DE INTERVENTORÍA 006-2023,  ELABORACION DE DIAGNÓSTICOS, ESTUDIOS TÉCNICOS, DISEÑOS Y EJECUCIÓN DE OBRAS DE MEJORAMIENTO EN LAS INSTITUCIONES EDUCATIVAS OFICIALES DE LOS DEPARTAMENTOS DE ARAUCA Y CASANARE (GRUPO 3),  COSTOS FIJOS PERIODO 5/09/2024 AL 4/10/2024 Y DEL 5/10/2024 AL 4/11/2024 Y AVANCE OBRA 31,91%</t>
  </si>
  <si>
    <t>ID 274757, FACTURA FVE 14, ACTA NO. 6 COMPONENTE II AVANCE DE OBRA 17,46% DEL CONTRATO 012-2023, INSTITUCIONES EDUCATIVAS OFICIALES  DEPARTAMENTO DEL CESAR (GRUPO 9), PERIODO DEL 26 DE SEPTIEMBRE DE 2024 AL 25 DE OCTUBRE DE 2024</t>
  </si>
  <si>
    <t>ID 275782, FACTURA UT 1, ACTA NO. 1 COMPONENTE I DEL CONTRATO DE OBRA 034-2024, ELABORACIÓN DE DIAGNÓSTICOS, ESTUDIOS TÉCNICOS, DISEÑOS Y EJECUCIÓN DE OBRAS DE MEJORAMIENTO EN LAS INSTITUCIONES EDUCATIVAS OFICIALES DE LA ETC RISARALDA (GRUPO 20), PERIODO DEL  16 DE AGOSTO AL 16 DE SEPTIEMBRE DE 2024</t>
  </si>
  <si>
    <t>ID 275787, FACTURA IC1-325, ACTA NO. 7 COMPONENTE II DEL CONTRATO INTERVENTORIA 009-2023, INSTITUCIONES EDUCATIVAS OFICIALES  DEPARTAMENTO DEL CESAR (GRUPO 9), COSTO VARIABLE AVANCE DE OBRA 17,46% Y COSTO FIJO PERIODO DEL DEL 26 DE SEPTIEMBRE AL 25 DE OCTUBRE DE 2024</t>
  </si>
  <si>
    <t>ID 276650, FACTURA FVE-19, ACTA 6 ETAPA 2  AVANCE DEL 8,38% EN OBRA CTO DE OBRA NO. 015-2023 INSTITUCIONES EDUCATIVAS OFICIALES DEL DEPARTAMENTO DE CAUCA (GRUPO 5) PERIODO 01 DE OCTUBRE DE 2024 AL 31 DE OCTUBRE DE 2024</t>
  </si>
  <si>
    <t>ID 275792, FACTURA FE 11, ACTA NO. 7 COMPONENTE II DEL CONTRATO DE INTERVENTORÍA NO. 016-2023 INSTITUCIONES EDUCATIVAS OFICIALES DEL DEPARTAMENTO DE CAUCA (GRUPO 5)  01 DE OCTUBRE AL 31 DE OCTUBRE DE 2024</t>
  </si>
  <si>
    <t>ID 275802, FACTURA CO 203, ACTAL NO. 6 DEL COMPONENTE II POR CONCEPTO DE COSTO FIJO COMPRENDIDOS ENTRE DEL 01 DE OCTUBRE DE 2024 AL 31 DE OCTUBRE DE 2024 Y SALDO COSTO VARIABLE POR EJECUCIÓN OBRA 100% CORRESPONDIENTES AL CONTRATO DE INTERVENTORIA NO. 007-2023 (PAF-MENPNIE-I-085-2023)  INSTITUCIONES EDUCATIVAS OFICIALES DEL DEPARTAMENTO DE TOLIMA (GRUPO 1)</t>
  </si>
  <si>
    <t>ID 276807, FACTURA SIT 3802, ACTA NO. 2 COMPONENTE II AVANCE 31,91% DEL CONTRATO DE OBRA 008-2023,  ELABORACION DE DIAGNÓSTICOS, ESTUDIOS TÉCNICOS, DISEÑOS Y EJECUCIÓN DE OBRAS DE MEJORAMIENTO EN LAS INSTITUCIONES EDUCATIVAS OFICIALES DE LOS DEPARTAMENTOS DE ARAUCA Y CASANARE (GRUPO 3),  01/08/2024 AL 03/10/2024</t>
  </si>
  <si>
    <t>ID 275821, FACTURA CV 13, ACTA NO. 6 COMPONENTE II DEL CONTRATO 001-2024, INSTITUCIONES EDUCATIVAS OFICIALES  DEPARTAMENTO DE LA GUAJIRA (GRUPO 22) AVANCE DE OBRA 19,99%, PERIODO 31 DE OCTUBRE AL 06 DE NOVIEMBRE DE 2024</t>
  </si>
  <si>
    <t>ID 275832, FACTURA SIT 3817, ACTA NO. 2 COMPONENTE II DEL CONTRATO DE OBRA 003-2024 AVANCE 4,29% , ELABORACION DE DIAGNÓSTICOS, ESTUDIOS TÉCNICOS, DISEÑOS Y EJECUCIÓN DE OBRAS DE MEJORAMIENTO EN LAS INSTITUCIONES EDUCATIVAS OFICIALES DEL MUNICIPIO DE URIBIA DEL DEPARTAMENTO DE LA GUAJIRA (GRUPO 21),  PERIODO 2/10/2024 AL 28/10/2024</t>
  </si>
  <si>
    <t>ID 276652, FACTURA UTES -7, ACTA NO. 2 COMPONENTE II DEL CONTRATO DE OBRA 026-2024, ELABORACIÓN DE DIAGNÓSTICOS, ESTUDIOS TÉCNICOS, DISEÑOS Y EJECUCIÓN DE OBRAS DE MEJORAMIENTO EN LAS INSTITUCIONES EDUCATIVAS OFICIALES DEL DEPARTAMENTO DE NORTE DE SANTANDER (GRUPO 15),  AVANCE DE OBRA 20,02% PERIODO DEL 01/09/2024 AL 16/10/2024</t>
  </si>
  <si>
    <t>ID 276897, FACTURA FE 1, ACTA NO. 1 COMPONENTE I DEL CONTRATO DE OBRA 028-2024, ELABORACIÓN DE DIAGNÓSTICOS, ESTUDIOS TÉCNICOS, DISEÑOS Y EJECUCIÓN DE OBRAS DE MEJORAMIENTO EN LAS INSTITUCIONES EDUCATIVAS OFICIALES DEL DEPARTAMENTO DEL VALLE DEL CAUCA (GRUPO 25), PERIODO DEL  21 DE AGOSTO AL 21 DE SEPTIEMBRE DEL 2024</t>
  </si>
  <si>
    <t>ID 276520, FACTURA CSM 12, ACTA NO. 2 COMPONENTE II DEL CONTRATO DE INTERVENTORIA 025-2024,  ELABORACIÓN DE DIAGNÓSTICOS, ESTUDIOS TÉCNICOS, DISEÑOS Y EJECUCIÓN DE OBRAS DE MEJORAMIENTO EN LAS INSTITUCIONES EDUCATIVAS OFICIALES DEL DEPARTAMENTO DE NORTE DE SANTANDER (GRUPO 15), PERIODO 17/08/2024 AL 16/09/2024</t>
  </si>
  <si>
    <t>ID 277150, FACTURA CDG 8, ACTA NO. 3 COMPONENTE II DEL CONTRATO DE INTERVENTORIA 004-2024, EJECUCIÓN DE OBRAS DE MEJORAMIENTO EN LAS INSTITUCIONES EDUCATIVAS OFICIALES DEL MUNICIPIO DE URIBIA, DEL DEPARTAMENTO DE LA GUAJIRA (GRUPO 21),  PERIODO DEL 2/10/2024 A 28/10/2024</t>
  </si>
  <si>
    <t>ID 276667, FACTURA FECH 6, ACTA NO. 4 COMPONENTE II DEL AVANCE DE OBRA 8,62% Y ACTA 2 DEL COMPONENTE I DEL CONTRATO 013-2023, INSTITUCIONES EDUCATIVAS OFICIALES  DEPARTAMENTO DEL CÓRDOBA (GRUPO 11), PERIODO DEL 16 DE SEPTIEMBRE DE 2024 -28 DE OCTUBRE DE 2024</t>
  </si>
  <si>
    <t>ID 276659, FACTURA FE 288, ACTA NO. 1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SEPTIEMBRE DE 2024 AL 15 DE OCTUBRE DE 2024</t>
  </si>
  <si>
    <t>ID 276668, FACTURA FE 1, ACTA NO. 1 COMPONENTE 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16 DE AGOSTO DE 2024 AL 15 DE SEPTIEMBRE DE 2024</t>
  </si>
  <si>
    <t>ID 276787, FACTURA FE 4, ACTA NO. 1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13 DE SEPTIEMBRE AL 21 DE OCTUBRE DE 2024</t>
  </si>
  <si>
    <t>ID 276803, FACTURA FEIN-2, ACTA NO. 1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22/07/2024 A 27/09/2024</t>
  </si>
  <si>
    <t>ID 276661, FACTURA FE 287, ACTA NO. 1 COMPONENTE 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AGOSTO DE 2024 AL 15 DE SEPTIEMBRE DE 2024</t>
  </si>
  <si>
    <t>PAGO RETENCIÓN AVISOS Y TABLEROS</t>
  </si>
  <si>
    <t>PAGO TASA BOMBERIL</t>
  </si>
  <si>
    <t>CONTRIBUCION DE OBRA MENSUAL PATRIMONIO AUTONOMO OCTUBRE 2024</t>
  </si>
  <si>
    <t>RETENCIÓN EN LA FUENTE PATRIMONIOS AUTÓNOMOS OCTUBRE 2024</t>
  </si>
  <si>
    <t>MUNICIPIO DE MANAURE BALCON DEL CESAR</t>
  </si>
  <si>
    <t>COMPENSACION BIMESTRAL PATRIMONIOS RETEICA</t>
  </si>
  <si>
    <t>INTERVENTORÍA INTEGRAL (ADMINISTRATIVA, FINANCIERA, CONTABLE, AMBIENTAL, SOCIAL, JURÍDICA Y TÉCNICA) A LA ELABORACIÓN DE DIAGNÓSTICOS Y EJECUCIÓN DE LAS OBRAS DE MANTENIMIENTO Y/O REPARACIONES LOCATIVAS EN LA INSTITUCIÓN EDUCATIVA TÉCNICA COLEGIO NACIONAL PINILLOS DEL MUNICIPIO DE MOMPOX, DEPARTAMENTO DE BOLÍVAR</t>
  </si>
  <si>
    <t>MOMPOX</t>
  </si>
  <si>
    <t>BOLIVAR</t>
  </si>
  <si>
    <t>“ELABORACIÓN DE DIAGNÓSTICOS Y EJECUCIÓN DE LAS OBRAS DE MANTENIMIENTO Y/O REPARACIONES LOCATIVAS EN LA INSTITUCIÓN EDUCATIVA TÉCNICA COLEGIO NACIONAL PINILLOS DEL MUNICIPIO DE MOMPOX, DEPARTAMENTO DE BOLÍVAR”</t>
  </si>
  <si>
    <t>34
172</t>
  </si>
  <si>
    <t>049-2024</t>
  </si>
  <si>
    <t xml:space="preserve"> CONSORCIO PRO-INSTITUCIONES CHOCO</t>
  </si>
  <si>
    <t>048-2024</t>
  </si>
  <si>
    <t>CONSORCIO PRO-INSTITUCIONES CHOCO-INDIGENA</t>
  </si>
  <si>
    <t>053-2024</t>
  </si>
  <si>
    <t>CONSORCIO CONSTRUSISCO</t>
  </si>
  <si>
    <t>055-2024</t>
  </si>
  <si>
    <t xml:space="preserve">CONSORCIO CENTRO EDUCATIVO ESMERALDAS </t>
  </si>
  <si>
    <t>057-2024</t>
  </si>
  <si>
    <t xml:space="preserve">ADICIÓN Y PRORROGA DEL CONTRATO </t>
  </si>
  <si>
    <t>TOTAL NOVIEMBRE/2024</t>
  </si>
  <si>
    <t>13
127
146
173</t>
  </si>
  <si>
    <t>30/10/2023
24/06/2024
23/08/2024
02/12/2024</t>
  </si>
  <si>
    <t>20
126
174</t>
  </si>
  <si>
    <t>1/11/2023
18/06/2024
02/12/2024</t>
  </si>
  <si>
    <t>53
176</t>
  </si>
  <si>
    <t>21/12/2023
19/12/2024</t>
  </si>
  <si>
    <t>87
178</t>
  </si>
  <si>
    <t>7/02/2024
27/12/2025</t>
  </si>
  <si>
    <t>86
179</t>
  </si>
  <si>
    <t>5/02/2024
27/12/2024</t>
  </si>
  <si>
    <t>7/11/2023
14/11/2024</t>
  </si>
  <si>
    <t>052-2024</t>
  </si>
  <si>
    <t>CONSORCIO INTERVENTORES GC91</t>
  </si>
  <si>
    <t>054-2024</t>
  </si>
  <si>
    <t>CONSORCIO ESMERALDAS</t>
  </si>
  <si>
    <t>056-2024</t>
  </si>
  <si>
    <t>CONSORCIO I.E SAN JOSÉ CHOCÓ 2024</t>
  </si>
  <si>
    <t>059-2024</t>
  </si>
  <si>
    <t>SOLIUN S.A.S</t>
  </si>
  <si>
    <t>058-2024</t>
  </si>
  <si>
    <t>CONSORCIO TRIPTICO 2024</t>
  </si>
  <si>
    <t>060-2024</t>
  </si>
  <si>
    <t>CONSORCIO I.E. CAUCA-NARIÑO 2024</t>
  </si>
  <si>
    <t>064-2024</t>
  </si>
  <si>
    <t>065-2024</t>
  </si>
  <si>
    <t>Adición 
(Cláusula Septima Contrato Interadministativo)</t>
  </si>
  <si>
    <t>CONSORCIO AULAS MAICAO 2024</t>
  </si>
  <si>
    <t>MUNICIPIO DE MARSELLA</t>
  </si>
  <si>
    <t>MUNICIPIO DE QUINCHIA-RISARALDA</t>
  </si>
  <si>
    <t xml:space="preserve">ID 278731, FACTURA FVE-6, ACTA NO. 4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NOVIEMBRE AL 30 DE NOVIEMBRE DE 2024 Y COSTOS VARIABLES AVANCE OBRA 24,50% </t>
  </si>
  <si>
    <t xml:space="preserve">ID 278734, FACTURA FE 132, ACTA NO. 3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NOVIEMBRE AL 30 DE NOVIEMBRE DE 2024 AVANCE 24,50% </t>
  </si>
  <si>
    <t>ID 281470, FACTURA FEV 7, ACTA NO. 4 COMPONENTE II DEL CONTRATO DE OBRA 014-2024,  PARA LA CONSTRUCCIÓN DE LA INSTITUCIÓN EDUCATIVA JOSÉ ANTONIO RICAURTE UBICADA EN EL MUNICIPIO DE IBAGUÉ, DEPARTAMENTO DEL TOLIMA, AVANCE 5,39% PERIODO DEL 01/11/2024 AL 30/11//2024</t>
  </si>
  <si>
    <t>ID 281476, FACTURA CE24-6, ACTA NO. 4 COMPONENTE II DEL CONTRATO DE INTERVENTORIA 011-2024,  PARA LA CONSTRUCCIÓN DE LA INSTITUCIÓN EDUCATIVA JOSÉ ANTONIO RICAURTE UBICADA EN EL MUNICIPIO DE IBAGUÉ, DEPARTAMENTO DEL TOLIMA,  COSTOS FIJOS 1 MES Y COSTOS VARIABLES AVANCE DE OBRA 5,39% PERIODO DEL 01/11/2024 AL 30/11/2024.</t>
  </si>
  <si>
    <t>ID 281478, FACTURA FEV 6, ACTA NO. 1 COMPONENTE I DEL CONTRATO DE OBRA 014-2024,  PARA LA CONSTRUCCIÓN DE LA INSTITUCIÓN EDUCATIVA JOSÉ ANTONIO RICAURTE UBICADA EN EL MUNICIPIO DE IBAGUÉ, DEPARTAMENTO DEL TOLIMA, PERIODO DEL 30/04/2024 AL 30/09/2024</t>
  </si>
  <si>
    <t>ID 281482, FACTURA CE24-7, ACTA NO. 1 COMPONENTE I DEL CONTRATO DE INTERVENTORIA 011-2024,  PARA LA CONSTRUCCIÓN DE LA INSTITUCIÓN EDUCATIVA JOSÉ ANTONIO RICAURTE UBICADA EN EL MUNICIPIO DE IBAGUÉ, DEPARTAMENTO DEL TOLIMA,  PERIODO DEL 30/04/2024 AL 30/09/2024.</t>
  </si>
  <si>
    <t>ID 280041, FACTURA UTES -10, ACTA NO. 3 COMPONENTE II DEL CONTRATO DE OBRA 026-2024, ELABORACIÓN DE DIAGNÓSTICOS, ESTUDIOS TÉCNICOS, DISEÑOS Y EJECUCIÓN DE OBRAS DE MEJORAMIENTO EN LAS INSTITUCIONES EDUCATIVAS OFICIALES DEL DEPARTAMENTO DE NORTE DE SANTANDER (GRUPO 15),  AVANCE DE OBRA 20,10% PERIODO DEL 17/10/2024 AL 30/11/2024</t>
  </si>
  <si>
    <t>ID 280045, FACTURA FVE 15, ACTA NO. 7 COMPONENTE II AVANCE DE OBRA 13,14% DEL CONTRATO 012-2023, INSTITUCIONES EDUCATIVAS OFICIALES  DEPARTAMENTO DEL CESAR (GRUPO 9), PERIODO DEL 26 DE OCTUBRE DE 2024 AL 25 DE NOVIEMBRE DE 2024</t>
  </si>
  <si>
    <t>ID 279356, FACTURA CE 8, ACTA NO. 6 COMPONENTE II DEL CONTRATO DE INTERVENTORIA 001-2023, INSTITUCIONES EDUCATIVAS OFICIALES  MUNICIPIO DE TAME, DEPARTAMENTO DE ARAUCA (GRUPO 2), COSTOS FIJOS PERIODO DEL 25 OCTUBRE DE 2024 AL 25 DE NOVIEMBRE DE 2024 Y AVANCE POR EL TOTAL DE EJECUCIÓN DE OBRA</t>
  </si>
  <si>
    <t>ID 280049, FACTURA CIET 9, ACTA NO. 5 COMPONENTE II DEL CONTRATO DE OBRA  002-2023, INSTITUCIONES EDUCATIVAS OFICIALES  DEPARTAMENTO DE ARAUCA (GRUPO 2), AVANCE DE OBRA 4,30% PERIODO 01 DE SEPTIEMBRE AL 25 DE SEPTIEMBRE 2024</t>
  </si>
  <si>
    <t>ID 281574, FACTURA CSM 16, ACTA NO. 3 COMPONENTE II DEL CONTRATO DE INTERVENTORIA 025-2024,  ELABORACIÓN DE DIAGNÓSTICOS, ESTUDIOS TÉCNICOS, DISEÑOS Y EJECUCIÓN DE OBRAS DE MEJORAMIENTO EN LAS INSTITUCIONES EDUCATIVAS OFICIALES DEL DEPARTAMENTO DE NORTE DE SANTANDER (GRUPO 15), PERIODO  DEL 17/09/2024 AL 16/10/2024</t>
  </si>
  <si>
    <t>ID 280053, FACTURA FE 2, ACTA NO. 1 COMPONENTE II DEL CONTRATO DE OBRA 028-2024, ELABORACIÓN DE DIAGNÓSTICOS, ESTUDIOS TÉCNICOS, DISEÑOS Y EJECUCIÓN DE OBRAS DE MEJORAMIENTO EN LAS INSTITUCIONES EDUCATIVAS OFICIALES DEL DEPARTAMENTO DEL VALLE DEL CAUCA (GRUPO 25), PERIODO DEL  21 DE AGOSTO AL 21 DE SEPTIEMBRE DEL 2024</t>
  </si>
  <si>
    <t>ID 280512, FACTURA FE 24, ACTA 1. COMPONENTE I CTO INTERVENTORIA 023-2024 NSTITUCIONES EDUCATIVAS OFICIALES DEL MUNICIPIO DE MAICAO DEL DEPARTAMENTO DE LA GUAJIRA (GRUPO 23)PERIODO DEL 2 DE JULIO DEL 2024 AL 31 DE JULIO DEL 2024</t>
  </si>
  <si>
    <t>ID 280520, FACTURA FE 27, ACTA 1. COMPONENTE II  CTO INTERVENTORIA 023-2024 NSTITUCIONES EDUCATIVAS OFICIALES DEL MUNICIPIO DE MAICAO DEL DEPARTAMENTO DE LA GUAJIRA (GRUPO 23) COSTOS FIJOS PERIODO DEL 01 DE AGOSTO DE 2024 AL 31 DE AGOSTO DE 2024</t>
  </si>
  <si>
    <t>ID 280059, FACTURA FECO-2, ACTA NO. 1 COMPONENTE I DEL CONTRATO DE INTERVENTORIA 027-2024, INSTITUCIONES EDUCATIVAS OFICIALES DEL DEPARTAMENTO DEL VALLE DEL CAUCA (GRUPO 25), PERIODO DEL DEL 21 DE AGOSTO AL 21 DE SEPTIEMBRE 2024</t>
  </si>
  <si>
    <t>ID 280627, FACTURA FE 5, ACTA NO. 1 COMPONENTE I DEL CONTRATO DE OBRA 024-2024, ELABORACIÓN DE DIAGNÓSTICOS, ESTUDIOS TÉCNICOS, DISEÑOS Y EJECUCIÓN DE OBRAS DE MEJORAMIENTO EN LAS INSTITUCIONES EDUCATIVAS OFICIALES DEL MUNICIPIO DE MAICAO DEL DEPARTAMENTO DE LA GUAJIRA (GRUPO 23), PERIODO DEL 2 DE JULIO DEL 2024 AL 01 DE AGOSTO DEL 2024</t>
  </si>
  <si>
    <t xml:space="preserve">ID 280636, FACTURA FE 6, ACTA NO. 1 COMPONENTE II DEL CONTRATO DE OBRA 024-2024, ELABORACIÓN DE DIAGNÓSTICOS, ESTUDIOS TÉCNICOS, DISEÑOS Y EJECUCIÓN DE OBRAS DE MEJORAMIENTO EN LAS INSTITUCIONES EDUCATIVAS OFICIALES DEL MUNICIPIO DE MAICAO DEL DEPARTAMENTO DE LA GUAJIRA (GRUPO 23), PERIODO DEL 2 DE AGOSTO AL 17 DE NOVIEMBRE DEL 2024. AVANCE DE OBRA </t>
  </si>
  <si>
    <t>ID 280063, FACTURA UT 4, ACTA NO. 2 COMPONENTE II DEL CONTRATO DE OBRA 034-2024, ELABORACIÓN DE DIAGNÓSTICOS, ESTUDIOS TÉCNICOS, DISEÑOS Y EJECUCIÓN DE OBRAS DE MEJORAMIENTO EN LAS INSTITUCIONES EDUCATIVAS OFICIALES DE LA ETC RISARALDA (GRUPO 20), PERIODO DEL 22 DE OCTUBRE AL 21 DE NOVIEMBRE DE 2024. AVANCE DE OBRA 6,91%</t>
  </si>
  <si>
    <t>ID 280188, FACTURA FE 4, ACTA NO. 2 COMPONENTE II DEL CONTRATO DE INTERVENTORIA 035-2024, ELABORACIÓN DE DIAGNÓSTICOS, ESTUDIOS TÉCNICOS, DISEÑOS Y EJECUCIÓN DE OBRAS DE MEJORAMIENTO EN LAS INSTITUCIONES EDUCATIVAS OFICIALES DE LA ETC RISARALDA (GRUPO 20), PERIODO DEL 22/10/2024 AL 21/11/2024</t>
  </si>
  <si>
    <t>ID 280151, FACTURA IC1 343, ACTA NO. 8 COMPONENTE II DEL CONTRATO INTERVENTORIA 009-2023, INSTITUCIONES EDUCATIVAS OFICIALES  DEPARTAMENTO DEL CESAR (GRUPO 9), COSTO VARIABLE AVANCE DE OBRA Y COSTO FIJO PERIODO DEL DEL 26 DE OCTUBRE AL 25 DE NOVIEMBRE DE 2024</t>
  </si>
  <si>
    <t>ID 280800, FACTURA FECO-4, ACTA NO. 1 COMPONENTE II DEL CONTRATO DE INTERVENTORIA 027-2024, INSTITUCIONES EDUCATIVAS OFICIALES DEL DEPARTAMENTO DEL VALLE DEL CAUCA (GRUPO 25), PERIODO DEL 21 DE SEPTIEMBRE AL 21 DE NOVIEMBRE 2024</t>
  </si>
  <si>
    <t>ID 279360, FACTURA CV 14, ACTA NO. 7 COMPONENTE II DEL CONTRATO 001-2024, INSTITUCIONES EDUCATIVAS OFICIALES  DEPARTAMENTO DE LA GUAJIRA (GRUPO 22) AVANCE DE OBRA 11,91%, PERIODO 07 AL 30 DE NOVIEMBRE DE 2024</t>
  </si>
  <si>
    <t>ID 280152, FACTURA FVE-22, ACTA 7 ETAPA 2  AVANCE DEL 6,08% EN OBRA CTO DE OBRA NO. 015-2023 INSTITUCIONES EDUCATIVAS OFICIALES DEL DEPARTAMENTO DE CAUCA (GRUPO 5) PERIODO 01 DE NOVIEMBRE DE 2024 AL 30 DE NOVIEMBRE DE 2024</t>
  </si>
  <si>
    <t>ID 279491, FACTURA FE 12, ACTA NO. 8 COMPONENTE II DEL CONTRATO DE INTERVENTORÍA NO. 016-2023 INSTITUCIONES EDUCATIVAS OFICIALES DEL DEPARTAMENTO DE CAUCA (GRUPO 5)  01 DE NOVIEMBRE AL 30 DE NOVIEMBRE DE 2024</t>
  </si>
  <si>
    <t>ID 280154, FACTURA FE 308 , ACTA NO. 2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OCTUBRE DE 2024 AL 15 DE NOVIEMBRE DE 2024. AVANCE DE OBRA 3,24%</t>
  </si>
  <si>
    <t>ID 280805, FACTURA FE 5, ACTA NO. 2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PERIODO DEL 22 DE OCTUBRE AL 15 DE NOVIEMBRE DE 2024</t>
  </si>
  <si>
    <t>ID 280155, FACTURA FECP 71, ACTA NO. 4 COMPONENTE II DEL CONTRATO 002-2024, INSTITUCIONES EDUCATIVAS OFICIALES  DEPARTAMENTO DE LA GUAJIRA (GRUPO 22), COSTOS FIJOS 1 MES Y VARIABLES AVANCE DE OBRA ACUMULADO DE 31,90% PERIODO DEL 31/10/2024 A 30/11/2024</t>
  </si>
  <si>
    <t>ID 280160, FACTURA FE-12, ACTA NO. 5 COMPONENTE II AVANCE 4,90% DEL CONTRATO DE OBRA 010-2024,  MEJORAMIENTO Y/U OBRAS REQUERIDAS PARA LA INFRAESTRUCTURA EDUCATIVA Y SUMINISTRO E INSTALACIÓN DE AULAS Y/O BATERÍAS SANITARIAS, EN SEDES AFECTADAS POR EMERGENCIA - GRUPO 7, PERIODO DEL 01/11/2024 – 30/11/2024</t>
  </si>
  <si>
    <t>ID 280524, FACTURA UTS 5, ACTA NO. 4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01/11/2024 AL 30/11/2024</t>
  </si>
  <si>
    <t>ID 280165, FACTURA HHDA - 70, ACTA NO. 4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20,17% PERIODO DEL 01/11/2024 A 30/11/2024</t>
  </si>
  <si>
    <t>ID 280166, FACTURA FREL 77, ACTA NO. 5 COMPONENTE II DEL CONTRATO DE INTERVENTORIA 009-2024,  MEJORAMIENTO Y/U OBRAS REQUERIDAS PARA LA INFRAESTRUCTURA EDUCATIVA Y SUMINISTRO E INSTALACIÓN DE AULAS Y/O BATERÍAS SANITARIAS, EN SEDES AFECTADAS POR EMERGENCIA - GRUPO 7, COSTO VARIABLE AVANCE DE OBRA 4,90% Y COSTOS FIJOS PERIODO DEL 01/11/2024 – 30/11/2024</t>
  </si>
  <si>
    <t>ID 281310, FACTURA FED - 462, ACTA NO. 2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PERIODO DEL01/11/2024 – 30/11/2024. AVANCE DE OBRA 45,28%</t>
  </si>
  <si>
    <t>ID 281492, FACTURA FREL 80, ACTA NO. 2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PERIODO DEL 01/11/2024 AL 30/11/2024. AVANCE DE OBRA 45,28% Y COSTOS FIJOS TRES MESES</t>
  </si>
  <si>
    <t>ID 280189, FACTURA CE 4, ACTA NO. 3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NOVIEMBRE DE 2024 AL 30 DE NOVIEMBRE DE 2024</t>
  </si>
  <si>
    <t>ID 280192, FACTURA CG 12, ACTA NO. 2 COMPONENTE 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PERIODO DEL 30 DE MAYO DE 2024 AL 30 DE JULIO DE 2024</t>
  </si>
  <si>
    <t>ID 280197, FACTURA CG 11, ACTA NO. 3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34,60% PERIODO DEL 01 DE NOVIEMBRE DE 2024 AL 30 DE NOVIEMBRE DE 2024</t>
  </si>
  <si>
    <t>PAGO ICA</t>
  </si>
  <si>
    <t>PAGO ESTAMPILLA CONTRIBUCIÓN DE OBRA PUBLICA MES DE NOVIEMBRE 2024</t>
  </si>
  <si>
    <t>PAGO RETEFUENTE MES DE NOVIEMBRE DE 2024</t>
  </si>
  <si>
    <t>TOTAL DICIEMBRE/2024</t>
  </si>
  <si>
    <t>MUNICIPIO DE APIA</t>
  </si>
  <si>
    <t>MUNICIPIO DE CAIMITO</t>
  </si>
  <si>
    <t>MUNICIPIO DE PUEBLO RICO - RISARALDA</t>
  </si>
  <si>
    <t>MUNICIPIO DE SEGOVIA</t>
  </si>
  <si>
    <t>MUNICIPIO DE GUATICA</t>
  </si>
  <si>
    <t>MUNCIPIO DE MISTRATO</t>
  </si>
  <si>
    <t>ID 284681, FACTURA FVE-23, ACTA 8 ETAPA 2  AVANCE DEL 8,59% EN OBRA CTO DE OBRA NO. 015-2023 INSTITUCIONES EDUCATIVAS OFICIALES DEL DEPARTAMENTO DE CAUCA (GRUPO 5) PERIODO 01 DE DICIEMBRE DE 2024 AL 31 DE DICIEMBRE DE 2024</t>
  </si>
  <si>
    <t>ID 283280, FACTURA FE -13, ACTA NO. 9 COMPONENTE II DEL CONTRATO DE INTERVENTORÍA NO. 016-2023 INSTITUCIONES EDUCATIVAS OFICIALES DEL DEPARTAMENTO DE CAUCA (GRUPO 5)  01 DE DICIEMBRE AL 31 DE DICIEMBRE DE 2024</t>
  </si>
  <si>
    <t>ID 284693, FACTURA C174, ACTA NO. 2 COMPONENTE II AVANCE DE OBRA 15,50% DEL CONTRATO DE OBRA 007-2024, INSTITUCIONES EDUCATIVAS OFICIALES  DE LOS MUNICIPIOS DE SEGOVIA Y NECHÍ DEL DEPARTAMENTO DE ANTIOQUIA (GRUPO 19), PERIODO 28/09/2024 A 29/09/2024 - 24/10/2024 A 31/10/2024 - 22/11/2024 A 21/12/2024</t>
  </si>
  <si>
    <t>ID 283414, FACTURA FEIN-3, ACTA NO. 2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28/09/2024 A 29/09/2024, 24/10/2024 A 31/10/2024 Y DEL 22/11/24 S 21/12/2024</t>
  </si>
  <si>
    <t>ID 283282, FACTURA UT 5, ACTA NO. 3 COMPONENTE II DEL CONTRATO DE OBRA 034-2024, ELABORACIÓN DE DIAGNÓSTICOS, ESTUDIOS TÉCNICOS, DISEÑOS Y EJECUCIÓN DE OBRAS DE MEJORAMIENTO EN LAS INSTITUCIONES EDUCATIVAS OFICIALES DE LA ETC RISARALDA (GRUPO 20), PERIODO DEL 22 DE NOVIEMBRE AL 21 DE DICIEMBRE DE 2024. AVANCE DE OBRA 15,99%</t>
  </si>
  <si>
    <t>ID 283288, FACTURA FE 6, ACTA NO. 3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16 DE NOVIEMBRE AL 15 DE DICIEMBRE DE 2024. COSTO VARIABLE AVANCE OBRA 7,40%</t>
  </si>
  <si>
    <t>ID 283294, FACTURA FVE 16, ACTA NO. 8 COMPONENTE II AVANCE DE OBRA 10,98% DEL CONTRATO 012-2023, INSTITUCIONES EDUCATIVAS OFICIALES  DEPARTAMENTO DEL CESAR (GRUPO 9), PERIODO DEL 26 DE NOVIEMBRE DE 2024 AL 25 DE DICIEMBRE DE 2024</t>
  </si>
  <si>
    <t>ID 283298, FACTURA IC1 352, ACTA NO. 9 COMPONENTE II DEL CONTRATO INTERVENTORIA 009-2023, INSTITUCIONES EDUCATIVAS OFICIALES  DEPARTAMENTO DEL CESAR (GRUPO 9), COSTO VARIABLE AVANCE DE OBRA 10,98%  Y COSTO FIJO PERIODO DEL DEL 26 DE NOVIEMBRE AL 25 DE DICIEMBRE DE 2024</t>
  </si>
  <si>
    <t>ID 283301, FACTURA FE 340, ACTA NO. 3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NOVIEMBRE DE 2024 AL 15 DE DICIEMBRE DE 2024. AVANCE DE OBRA 7,40%</t>
  </si>
  <si>
    <t>ID 283304, FACTURA FE 5, ACTA NO. 3 COMPONENTE II DEL CONTRATO DE INTERVENTORIA 035-2024, ELABORACIÓN DE DIAGNÓSTICOS, ESTUDIOS TÉCNICOS, DISEÑOS Y EJECUCIÓN DE OBRAS DE MEJORAMIENTO EN LAS INSTITUCIONES EDUCATIVAS OFICIALES DE LA ETC RISARALDA (GRUPO 20), COSTOS FIJOS PERIODO DEL 22/11/2024 AL 21/12/2024 COSTO VARIABLE AVANCE DE OBRA 15.99%</t>
  </si>
  <si>
    <t>ID 283418, FACTURA UTES 12, ACTA NO. 4 COMPONENTE II DEL CONTRATO DE OBRA 026-2024, ELABORACIÓN DE DIAGNÓSTICOS, ESTUDIOS TÉCNICOS, DISEÑOS Y EJECUCIÓN DE OBRAS DE MEJORAMIENTO EN LAS INSTITUCIONES EDUCATIVAS OFICIALES DEL DEPARTAMENTO DE NORTE DE SANTANDER (GRUPO 15),  AVANCE DE OBRA 12,22% PERIODO DEL 01/12/2024 AL 16/12/2024</t>
  </si>
  <si>
    <t>ID 283305, FACTURA FECO 5, ACTA NO. 2 COMPONENTE II DEL CONTRATO DE INTERVENTORIA 027-2024, INSTITUCIONES EDUCATIVAS OFICIALES DEL DEPARTAMENTO DEL VALLE DEL CAUCA (GRUPO 25), COSTOS FIJOS PERIODO DEL 21 DE NOVIEMBRE AL 21 DE DICIEMBRE 2024</t>
  </si>
  <si>
    <t xml:space="preserve">ID 283742, FACTURA CSM 19, ACTA NO. 4 COMPONENTE II DEL CONTRATO DE INTERVENTORIA 025-2024,  ELABORACIÓN DE DIAGNÓSTICOS, ESTUDIOS TÉCNICOS, DISEÑOS Y EJECUCIÓN DE OBRAS DE MEJORAMIENTO EN LAS INSTITUCIONES EDUCATIVAS OFICIALES DEL DEPARTAMENTO DE NORTE DE SANTANDER (GRUPO 15), COSTOS FIJOS PERIODO DEL 17/10/2024 AL 16/12/2024. COSTOS VARIABLES AVANCE DE OBRA 12,22% </t>
  </si>
  <si>
    <t>ID 284197, FACTURA FEV 8, ACTA NO. 5 COMPONENTE II DEL CONTRATO DE OBRA 014-2024,  PARA LA CONSTRUCCIÓN DE LA INSTITUCIÓN EDUCATIVA JOSÉ ANTONIO RICAURTE UBICADA EN EL MUNICIPIO DE IBAGUÉ, DEPARTAMENTO DEL TOLIMA, AVANCE 6,67% PERIODO DEL 01/12/2024 AL 31/12//2024</t>
  </si>
  <si>
    <t xml:space="preserve">ID 283744, FACTURA FE 135, ACTA NO. 4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DICIEMBRE AL 31 DE DICIEMBRE DE 2024 AVANCE 16,28% </t>
  </si>
  <si>
    <t xml:space="preserve">ID 284021, FACTURA FVE 9, ACTA NO. 5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DICIEMBRE AL 31 DE DICIEMBRE DE 2024 Y COSTOS VARIABLES AVANCE OBRA 16,28% </t>
  </si>
  <si>
    <t>ID 284250, FACTURA CE24-8, ACTA NO. 5 COMPONENTE II DEL CONTRATO DE INTERVENTORIA 011-2024,  PARA LA CONSTRUCCIÓN DE LA INSTITUCIÓN EDUCATIVA JOSÉ ANTONIO RICAURTE UBICADA EN EL MUNICIPIO DE IBAGUÉ, DEPARTAMENTO DEL TOLIMA,  COSTOS FIJOS 1 MES Y COSTOS VARIABLES AVANCE DE OBRA 6,67% PERIODO DEL 01/12/2024 AL 31/12/2024.</t>
  </si>
  <si>
    <t>ID 283924, FACTURA FE 134, ACTA NO. 1 COMPONENTE 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30 DE JULIO AL 12 DE DICIEMBRE DE 2024</t>
  </si>
  <si>
    <t>ID 284207, FACTURA FVE 10, ACTA NO. 1 COMPONENTE 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PERIODO DEL 30 DE JULIO DE 2024 AL 12 DE DICIEMBRE DE 2024</t>
  </si>
  <si>
    <t>ID 284211, FACTURA HHDA - 71, ACTA NO. 2 COMPONENTE 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PERIODO DEL 01/12/2024 A 23/12/2024</t>
  </si>
  <si>
    <t>ID 283928, FACTURA HHDA - 77, ACTA NO. 5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DEL CONTRATO 7,39% PERIODO DEL 01/12/2024 A 23/12/2024</t>
  </si>
  <si>
    <t>ID 283930, FACTURA UTS 6, ACTA NO. 2 COMPONENTE 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PERIODO DEL 01/12/2024 AL 23/12/2024</t>
  </si>
  <si>
    <t>ID 284215, FACTURA UTS 7, ACTA NO. 5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01/12/2024 AL 23/12/2024 Y COSTOS VARIABLES AVANCE DE OBRA 8,56%</t>
  </si>
  <si>
    <t>ID 284697, FACTURA FE 1, ACTA NO. 1 COMPONENTE 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17 DE OCTUBRE DE 2024 AL 01 DE ENERO DE 2025</t>
  </si>
  <si>
    <t>ID 284699, FACTURA OCFV-3, ACTA NO. 1 COMPONENTE I DEL CONTRATO DE OBRA 045-2024,  ELABORACIÓN DE DIAGNÓSTICOS, ESTUDIOS TÉCNICOS, DISEÑOS Y EJECUCIÓN DE OBRAS DE MEJORAMIENTO Y/U OBRAS REQUERIDAS PARA LA INFRAESTRUCTURA EDUCATIVA Y SUMINISTRO E INSTALACIÓN DE AULAS Y/O BATERÍAS SANITARIAS, EN SEDES AFECTADAS POR EMERGENCIA – GRUPO 4, PERIODO DEL 17 DE OCTUBRE DE 2024 AL 01 DE ENERO DE 2025</t>
  </si>
  <si>
    <t>ID 284373, FACTURA CE 5, ACTA NO. 4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DICIEMBRE DE 2024 AL 31 DE DICIEMBRE DE 2024</t>
  </si>
  <si>
    <t>PAGO RETENCION AVISOS Y TABLEROS</t>
  </si>
  <si>
    <t>PAGO ESTAMPILLA CONTRIBUCIÓN DE OBRA PUBLICA DICIEMBRE DE 2024</t>
  </si>
  <si>
    <t>PAGO ESTAMPILLA PRO UNIVERSIDAD NACIONAL SEGUNDO SEMESTRE 2024</t>
  </si>
  <si>
    <t>PAGO RETEFUENTE MES DE DICIEMBRE DE 2024</t>
  </si>
  <si>
    <t>(*)CUENTAS X COBRAR</t>
  </si>
  <si>
    <t>063-2024</t>
  </si>
  <si>
    <t>CONSORCIO CCA CONSTRUVALORES</t>
  </si>
  <si>
    <t>062-2024</t>
  </si>
  <si>
    <t>CONSORCIO GRUPO 2</t>
  </si>
  <si>
    <t>ESTADO</t>
  </si>
  <si>
    <t>12/03/2024
17/02/2025</t>
  </si>
  <si>
    <t>99
184</t>
  </si>
  <si>
    <t>100
185</t>
  </si>
  <si>
    <t>TOTAL ENERO/2025</t>
  </si>
  <si>
    <r>
      <t xml:space="preserve">4. SALDO DISPONIBLE EN CUENTAS CONTRATO Y/O CONVENIO    
</t>
    </r>
    <r>
      <rPr>
        <sz val="11"/>
        <color theme="0"/>
        <rFont val="Calibri"/>
        <family val="2"/>
        <scheme val="minor"/>
      </rPr>
      <t>(1.3 - 2.3 + 3.4)</t>
    </r>
  </si>
  <si>
    <t>SALDO PATRIMONIO  CONTRATO INTER ADMINISTRATIVO</t>
  </si>
  <si>
    <t>CONSORCIO SANTA MARIA 116</t>
  </si>
  <si>
    <t>067-2024</t>
  </si>
  <si>
    <t>001-2025</t>
  </si>
  <si>
    <t>INGESCOR LTDA</t>
  </si>
  <si>
    <t>CAMILO PEDRAZA DIAZ</t>
  </si>
  <si>
    <t>ROBERTO JOSE CUELLO BUCHAAR</t>
  </si>
  <si>
    <t>MUNICIPIO DE BOJAYA</t>
  </si>
  <si>
    <t>ID 287895, FACTURA FEV 9, ACTA NO. 6 COMPONENTE II DEL CONTRATO DE OBRA 014-2024,  PARA LA CONSTRUCCIÓN DE LA INSTITUCIÓN EDUCATIVA JOSÉ ANTONIO RICAURTE UBICADA EN EL MUNICIPIO DE IBAGUÉ, DEPARTAMENTO DEL TOLIMA, AVANCE 9,54% PERIODO DEL 01/01/2025 AL 31/01//2025</t>
  </si>
  <si>
    <t xml:space="preserve">ID 287077, FACTURA FVE 11, ACTA NO. 6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ENERO AL 31 DE ENERO DE 2025 Y COSTOS VARIABLES AVANCE OBRA 25,54% </t>
  </si>
  <si>
    <t xml:space="preserve">ID 287083, FACTURA FE 138, ACTA NO. 5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01 DE ENERO AL 29 DE ENERO DE 2025 AVANCE 25,54% </t>
  </si>
  <si>
    <t>ID 288398, FACTURA CE24-10, ACTA NO. 6 COMPONENTE II DEL CONTRATO DE INTERVENTORIA 011-2024,  PARA LA CONSTRUCCIÓN DE LA INSTITUCIÓN EDUCATIVA JOSÉ ANTONIO RICAURTE UBICADA EN EL MUNICIPIO DE IBAGUÉ, DEPARTAMENTO DEL TOLIMA,  COSTOS FIJOS 1 MES Y COSTOS VARIABLES AVANCE DE OBRA 9,54% PERIODO DEL 01/01/2025 AL 31/01/2025.</t>
  </si>
  <si>
    <t>ID 287087, FACTURA FREL 92, ACTA NO. 3 COMPONENTE I DEL CONTRATO DE INTERVENTORIA 009-2024,  MEJORAMIENTO Y/U OBRAS REQUERIDAS PARA LA INFRAESTRUCTURA EDUCATIVA Y SUMINISTRO E INSTALACIÓN DE AULAS Y/O BATERÍAS SANITARIAS, EN SEDES AFECTADAS POR EMERGENCIA - GRUPO 7, PERIODO 01/12/2024 –31/01/2025</t>
  </si>
  <si>
    <t>ID 287089, FACTURA FE 13, ACTA NO. 3 COMPONENTE I DEL CONTRATO DE OBRA 010-2024,  MEJORAMIENTO Y/U OBRAS REQUERIDAS PARA LA INFRAESTRUCTURA EDUCATIVA Y SUMINISTRO E INSTALACIÓN DE AULAS Y/O BATERÍAS SANITARIAS, EN SEDES AFECTADAS POR EMERGENCIA - GRUPO 7, PERIODO DE 01/12/2024 – 31/01/2025</t>
  </si>
  <si>
    <t>ID 288182, FACTURA HHDA - 78, ACTA NO. 6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DEL CONTRATO 1,62% PERIODO DEL 24 - 29 DE DICIEMBRE 2024 Y DEL 19 AL 31 DE ENERO 2025</t>
  </si>
  <si>
    <t>ID 287383, FACTURA FED - 478, ACTA NO. 3 COMPONENTE II DEL CONTRATO DE OBRA 018-2024,  ELABORACIÓN DE DIAGNÓSTICOS, ESTUDIOS TÉCNICOS, DISEÑOS Y EJECUCIÓN DE OBRAS DE MEJORAMIENTO Y/U OBRAS REQUERIDAS PARA LA INFRAESTRUCTURA EDUCATIVA Y SUMINISTRO E INSTALACIÓN DE AULAS Y/O BATERÍAS SANITARIAS, EN SEDES AFECTADAS POR EMERGENCIA - GRUPO 9, AVANCE DE OBRA 17,46% PERIODO DEL 01/12/2024 – 30/12/2024</t>
  </si>
  <si>
    <t>ID 287386, FACTURA SERV NO. 518, ACTA NO. 1 COMPONENTE 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13/11/2024 AL 28/01/2025</t>
  </si>
  <si>
    <t>ID 287390, FACTURA FREL 97, ACTA NO. 3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COSTOS FIJOS - COMPONENTE II 01/12/2024 A 31/01/2025 COSTOS VARIABLES - COMPONENTE II 01/12/2024 A 30/12/2024 AVANCE DE OBRA 17,46%</t>
  </si>
  <si>
    <t>ID 288115, FACTURA FEET NO. 30, ACTA NO. 1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DICIEMBRE DE 2024 AL 28 DE ENERO DE 2025</t>
  </si>
  <si>
    <t xml:space="preserve">ID 287391, FACTURA FE 1935, ACTA NO. 1 COMPONENTE I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13/11/2024 AL 28/01/2025 </t>
  </si>
  <si>
    <t>ID 287798, FACTURA FE 3, ACTA NO. 1 COMPONENTE II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02 DE ENERO AL 31 DE ENERO DE 2025</t>
  </si>
  <si>
    <t>ID 287392, FACTURA 3, ACTA NO. 1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DICIEMBRE DE 2024 AL 28 DE ENERO DE 2025</t>
  </si>
  <si>
    <t xml:space="preserve">ID 288020, FACTURA FEIE3, ACTA NO. 1 COMPONENTE I DEL CONTRATO DE INTERVENTORIA 046-2024,  CUYO OBJETO ES INTERVENTORÍA INTEGRAL (TÉCNICA, ADMINISTRATIVA, FINANCIERA, CONTABLE, AMBIENTAL, SOCIAL Y JURÍDICA) PARA LA ELABORACIÓN DE DIAGNÓSTICOS, ESTUDIOS TÉCNICOS, DISEÑOS Y EJECUCIÓN DE OBRAS DE MEJORAMIENTO EN LAS INSTITUCIONES EDUCATIVAS OFICIALES DE LOS MUNICIPIOS DE SUÁREZ Y BUENOS AIRES, DEPARTAMENTO DEL CAUCA (GRUPO 6), PERIODO DEL 02/12/2024 – 02/01/2025 </t>
  </si>
  <si>
    <t xml:space="preserve">ID 287803, FACTURA FECE7, ACTA NO. 1 COMPONENTE I DEL CONTRATO DE OBRA 043-2024,  CUYO OBJETO ES ELABORACIÓN DE DIAGNÓSTICOS, ESTUDIOS TÉCNICOS, DISEÑOS Y EJECUCIÓN DE OBRAS DE MEJORAMIENTO EN LAS INSTITUCIONES EDUCATIVAS OFICIALES DE LOS MUNICIPIOS DE SUÁREZ Y BUENOS AIRES, DEPARTAMENTO DEL CAUCA (GRUPO 6), PERIODO DEL 02/12/2024 – 02/01/2025 </t>
  </si>
  <si>
    <t>ID 287805, FACTURA FEV 1, ACTA NO. 1 COMPONENTE 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26 DE SEPTIEMBRE DEL 2024 AL 26 DE OCTUBRE DEL 2024</t>
  </si>
  <si>
    <t>ID 288220, FACTURA UT 7, ACTA NO. 4 COMPONENTE II DEL CONTRATO DE OBRA 034-2024, ELABORACIÓN DE DIAGNÓSTICOS, ESTUDIOS TÉCNICOS, DISEÑOS Y EJECUCIÓN DE OBRAS DE MEJORAMIENTO EN LAS INSTITUCIONES EDUCATIVAS OFICIALES DE LA ETC RISARALDA (GRUPO 20), PERIODO DEL 22 DE DICIEMBRE DE 2024 AL 21 DE ENERO DE 2025. AVANCE DE OBRA 18,22%</t>
  </si>
  <si>
    <t>ID 288007, FACTURA FE 7, ACTA NO. 4 COMPONENTE II DEL CONTRATO DE INTERVENTORIA 035-2024, ELABORACIÓN DE DIAGNÓSTICOS, ESTUDIOS TÉCNICOS, DISEÑOS Y EJECUCIÓN DE OBRAS DE MEJORAMIENTO EN LAS INSTITUCIONES EDUCATIVAS OFICIALES DE LA ETC RISARALDA (GRUPO 20), COSTOS FIJOS PERIODO DEL 22/12/2024 AL 21/01/2025 COSTO VARIABLE AVANCE DE OBRA 18.22%</t>
  </si>
  <si>
    <t>ID 287396, FACTURA CV 15, ACTA NO. 8 COMPONENTE II DEL CONTRATO 001-2024, INSTITUCIONES EDUCATIVAS OFICIALES  DEPARTAMENTO DE LA GUAJIRA (GRUPO 22) AVANCE DE OBRA 1,05%, PERIODO 01 AL 20 DE DICIEMBRE DE 2024</t>
  </si>
  <si>
    <t>ID 288403, FACTURA IC1 356, ACTA NO. 10 COMPONENTE II DEL CONTRATO INTERVENTORIA 009-2023, INSTITUCIONES EDUCATIVAS OFICIALES  DEPARTAMENTO DEL CESAR (GRUPO 9), COSTO VARIABLE AVANCE DE OBRA 8,66%  Y COSTO FIJO PERIODO DEL DEL 26 DE DICIEMBRE DE 2024 AL 15 DE ENERO DE 2025</t>
  </si>
  <si>
    <t>ID 287398, FACTURA FVE 17, ACTA NO. 9 COMPONENTE II AVANCE DE OBRA 8,66% DEL CONTRATO 012-2023, INSTITUCIONES EDUCATIVAS OFICIALES  DEPARTAMENTO DEL CESAR (GRUPO 9), PERIODO DEL 26 DE DICIEMBRE DE 2024 AL 15 DE ENERO DE 2025</t>
  </si>
  <si>
    <t>ID 288119, FACTURA FE 344, ACTA NO. 4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DEL  16 DE DICIEMBRE DE 2024 AL 16 DE ENERO DE 2025. AVANCE DE OBRA 13,78%</t>
  </si>
  <si>
    <t>ID 287809, FACTURA FE 7, ACTA NO. 4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16 DE DICIEMBRE AL 16 DE ENERO DE 2025. COSTO VARIABLE AVANCE OBRA 13,78%</t>
  </si>
  <si>
    <t>ID 288607, FACTURA FECI 19, ACTA 5 COMPONENTE I Y II CTO INTERVENTORIA 011-2023 INSTITUCIONES EDUCATIVAS OFICIALES DEL MUNICIPIO DE TIERRALTA, DEPARTAMENTO DEL CÓRDOBA (GRUPO 11) COSTOS FIJOS DEL 04 DE SEPTIEMBRE AL 04 DE NOVIEMBRE DE 2024</t>
  </si>
  <si>
    <t>ID 287810, FACTURA FECP 76, ACTA NO. 5 COMPONENTE II DEL CONTRATO 002-2024, INSTITUCIONES EDUCATIVAS OFICIALES  DEPARTAMENTO DE LA GUAJIRA (GRUPO 22), COSTOS FIJOS 1 MES Y VARIABLES AVANCE DE OBRA RESTANTE POR 100% DE EJECUCIÓN PERIODO DEL 01/12/2024 A 20/12/2024</t>
  </si>
  <si>
    <t>ID 288402, FACTURA FE 29, ACTA 2 COMPONENTE II  CTO INTERVENTORIA 023-2024 NSTITUCIONES EDUCATIVAS OFICIALES DEL MUNICIPIO DE MAICAO DEL DEPARTAMENTO DE LA GUAJIRA (GRUPO 23) COSTOS FIJOS PERIODO DEL 01 DE AGOSTO DE 2024 AL 17 DE NOVIEMBRE DE 2024</t>
  </si>
  <si>
    <t xml:space="preserve">ID 287814, FACTURA FE 8, ACTA NO. 2 COMPONENTE II DEL CONTRATO DE OBRA 024-2024, ELABORACIÓN DE DIAGNÓSTICOS, ESTUDIOS TÉCNICOS, DISEÑOS Y EJECUCIÓN DE OBRAS DE MEJORAMIENTO EN LAS INSTITUCIONES EDUCATIVAS OFICIALES DEL MUNICIPIO DE MAICAO DEL DEPARTAMENTO DE LA GUAJIRA (GRUPO 23), PERIODO DEL DEL 16 AL 31 DE ENERO DEL 2025. AVANCE DE OBRA </t>
  </si>
  <si>
    <t>ID 288005, FACTURA FECE 6, ACTA NO. 1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03/01/2025 – 02/02/2025. AVANCE DE OBRA 18,69 %</t>
  </si>
  <si>
    <t>ID 287900, FACTURA FE -14, ACTA NO. 10 COMPONENTE II DEL CONTRATO DE INTERVENTORÍA NO. 016-2023 INSTITUCIONES EDUCATIVAS OFICIALES DEL DEPARTAMENTO DE CAUCA (GRUPO 5)  COSTOS FIJOS 01 DE ENERO AL 31 DE ENERO DE 2025. COSTOS VARIABLE AVANCE DE OBRA 3,52%</t>
  </si>
  <si>
    <t>ID 288608, FACTURA FVE 25, ACTA 9 ETAPA 2  AVANCE DEL 3,52% EN OBRA CTO DE OBRA NO. 015-2023 INSTITUCIONES EDUCATIVAS OFICIALES DEL DEPARTAMENTO DE CAUCA (GRUPO 5) PERIODO 01 DE ENERO AL 04 DE ENERO DE 2025</t>
  </si>
  <si>
    <t>ID 287815, FACTURA 5214, ACTA NO. 1 COMPONENTE 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26 DE SEPTIEMBRE DEL 2024 AL 26 DE OCTUBRE DEL 2024</t>
  </si>
  <si>
    <t>ID 288609, FACTURA FECE 6, ACTA NO. 1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03/01/2025 – 02/02/2025. AVANCE DE OBRA 18,69 %</t>
  </si>
  <si>
    <t>ID 287905, FACTURA FVE 24, ACTA 2 ETAPA 1 CTO DE OBRA NO. 015-2023 INSTITUCIONES EDUCATIVAS OFICIALES DEL DEPARTAMENTO DE CAUCA (GRUPO 5) PERIODO 20 DE JUNIO DE 2024 AL 20 DE JULIO DE 2024</t>
  </si>
  <si>
    <t>PAGO ESTAMPILLA CONTRIBUCIÓN DE OBRA PUBLICA ENERO DE 2025</t>
  </si>
  <si>
    <t>PAGO RETEFUENTE MES DE ENERO DE 2025</t>
  </si>
  <si>
    <t xml:space="preserve">COMPROMISOS -CDR
(C) </t>
  </si>
  <si>
    <t>LIBERACIONES ACTAS DE LIQUIDACION CONTRATOS
(F)</t>
  </si>
  <si>
    <t>SALDO DISPONIBLE POR COMPROMETER
(G) = (A)-(B)-(C)-(E)+(F)</t>
  </si>
  <si>
    <t>PAGOS ADJUDICACIONES Y/O COMPROMISOS
(H)</t>
  </si>
  <si>
    <t>SALDO POR PAGAR ADJUDICACIONES Y/O COMPROMISOS
(I) = ((B)+(D))-((H)+(F))</t>
  </si>
  <si>
    <t>GASTOS REEMBOLSABLES CONTRATO DE OBRA No. 014-PAF-MENPNIE-O-127-2023 CONFORME CON LOS DOCUMENTOS CONTRACTUALES</t>
  </si>
  <si>
    <t xml:space="preserve">TOLIMA </t>
  </si>
  <si>
    <t>LICENCIA 014-2024</t>
  </si>
  <si>
    <t>TOTAL FEBRERO/2025</t>
  </si>
  <si>
    <t xml:space="preserve">CONTRATOS FIRMADOS Y ADICIONES
(D) </t>
  </si>
  <si>
    <t>LIBERACIONES SALDOS CDR CONTRATOS FIRMADOS
(E)</t>
  </si>
  <si>
    <t>MUNICIPIO DE ITUANGO</t>
  </si>
  <si>
    <t>MUNICIPIO TIBUTESORERIA MUNICIPAL</t>
  </si>
  <si>
    <t>MUNICIPO DE ISTMINA</t>
  </si>
  <si>
    <t>MUNICIPIO DE URIBE</t>
  </si>
  <si>
    <t>MUNICIPIO DE UNION PANAMERICANA</t>
  </si>
  <si>
    <t>MUNICIPIO DE PUEBLO RICO -
RISARALDA</t>
  </si>
  <si>
    <t>MUNICIPIO DE CALAMAR</t>
  </si>
  <si>
    <t>MINISTERIO DE HACIENDA Y CREDITO
PUBLICO</t>
  </si>
  <si>
    <t>MUNICIPIO DE VALDIVIA</t>
  </si>
  <si>
    <t>MUNICIPIO DE BALBOA (RISARALDA) .</t>
  </si>
  <si>
    <t>MUNICIPIO DE SANTA BARBARA</t>
  </si>
  <si>
    <t>MUNICIPIO DE CANTAGALLO</t>
  </si>
  <si>
    <t>MUNICIPIO MEDIO BAUDO</t>
  </si>
  <si>
    <t>MUNICIPIO DE MANAURE BALCON DEL
CESAR</t>
  </si>
  <si>
    <t>MUNICIPIO DEL RIO QUITO</t>
  </si>
  <si>
    <t>MUNICIPIO DE SAN ONOFRE - SUCRE</t>
  </si>
  <si>
    <t>MUNICIPIO DE BAJO BAUDO PIZARRO
(CHOCO)</t>
  </si>
  <si>
    <t>MUNICIPIO MEDIO ATRATO</t>
  </si>
  <si>
    <t>MUNICIPIO EL CARMEN DE BOLIVAR
DPTO DE BOLIVAR</t>
  </si>
  <si>
    <t>MUNICIPIO DE PUERTO WILCHES-</t>
  </si>
  <si>
    <t>MUNICIPIO DE TADO</t>
  </si>
  <si>
    <t>MUNICIPIO DE SANTANDER DE
QUILICHAO-CAUCA</t>
  </si>
  <si>
    <t>MUNICIPIO DE BELEN DE UMBRIA</t>
  </si>
  <si>
    <t>MUNICIPIO DE QUIBDO</t>
  </si>
  <si>
    <t>MUNICIPIO DE SAN JOSE DE GUAVIARE</t>
  </si>
  <si>
    <t>MUNICIPIO DEL RIO IRO</t>
  </si>
  <si>
    <t>MUNICIPIO DE CONDOTO 0</t>
  </si>
  <si>
    <t>MUNICIPIO DE SAN VICENTE DEL
CAGUAN</t>
  </si>
  <si>
    <t>MUNICIPIO-EL RETORNO</t>
  </si>
  <si>
    <t>FIDUFES MR-207 MUNICIPIO DE
MAICAO</t>
  </si>
  <si>
    <t xml:space="preserve">ID 290164, FACTURA FVE 12, ACTA NO. 7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FEBRERO AL 28 DE FEBRERO DE 2025 </t>
  </si>
  <si>
    <t>ID 291712, FACTURA CE24-11, ACTA NO. 7 COMPONENTE II DEL CONTRATO DE INTERVENTORIA 011-2024,  PARA LA CONSTRUCCIÓN DE LA INSTITUCIÓN EDUCATIVA JOSÉ ANTONIO RICAURTE UBICADA EN EL MUNICIPIO DE IBAGUÉ, DEPARTAMENTO DEL TOLIMA,  COSTOS FIJOS 1 MES Y COSTOS VARIABLES AVANCE DE OBRA 15,33% PERIODO DEL 01/02/2025 AL 28/02/2025.</t>
  </si>
  <si>
    <t>ID 291675, FACTURA FEV 11, ACTA NO. 7 COMPONENTE II DEL CONTRATO DE OBRA 014-2024,  PARA LA CONSTRUCCIÓN DE LA INSTITUCIÓN EDUCATIVA JOSÉ ANTONIO RICAURTE UBICADA EN EL MUNICIPIO DE IBAGUÉ, DEPARTAMENTO DEL TOLIMA, AVANCE 15,33% PERIODO DEL 01/02/2025 AL 28/02/2025</t>
  </si>
  <si>
    <t>ID 291785, FACTURA CC NO. 2, GASTOS REEMBOLSABLES CONTRATO DE OBRA 014-2024,  PARA LA CONSTRUCCIÓN DE LA INSTITUCIÓN EDUCATIVA JOSÉ ANTONIO RICAURTE UBICADA EN EL MUNICIPIO DE IBAGUÉ, DEPARTAMENTO DEL TOLIMA. PERIODO DEL 30/04/2024 AL 28/02/2025</t>
  </si>
  <si>
    <t>ID 290413, FACTURA FVE 18, ACTA NO. 10 COMPONENTE II AVANCE DE OBRA 3,04% DEL CONTRATO 012-2023, INSTITUCIONES EDUCATIVAS OFICIALES  DEPARTAMENTO DEL CESAR (GRUPO 9), PERIODO DEL 31 DE ENERO DE 2025 AL 17 DE FEBRERO DE 2025</t>
  </si>
  <si>
    <t>ID 290832, FACTURA IC1 360, ACTA NO. 11 COMPONENTE II DEL CONTRATO INTERVENTORIA 009-2023, INSTITUCIONES EDUCATIVAS OFICIALES  DEPARTAMENTO DEL CESAR (GRUPO 9), COSTO VARIABLE AVANCE DE OBRA 3,04%  Y COSTO FIJO PERIODO DEL 31 DE ENERO AL 01 DE MARZO DE 2025</t>
  </si>
  <si>
    <t>ID 290833, FACTURA UT 8, ACTA NO. 5 COMPONENTE II DEL CONTRATO DE OBRA 034-2024, ELABORACIÓN DE DIAGNÓSTICOS, ESTUDIOS TÉCNICOS, DISEÑOS Y EJECUCIÓN DE OBRAS DE MEJORAMIENTO EN LAS INSTITUCIONES EDUCATIVAS OFICIALES DE LA ETC RISARALDA (GRUPO 20), PERIODO DEL 22 DE ENERO DE 2025 AL 21 DE FEBRERO DE 2025. AVANCE DE OBRA 18,55%</t>
  </si>
  <si>
    <t>ID 290561, FACTURA FE 8, ACTA NO. 5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ENERO AL 16 DE FEBRERO DE 2025. COSTO VARIABLE AVANCE OBRA 24,76%</t>
  </si>
  <si>
    <t>ID 290563, FACTURA FE 346, ACTA NO. 5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ENERO DE 2025 AL 16 DE FEBRERO DE 2025. AVANCE DE OBRA 24,76%</t>
  </si>
  <si>
    <t>ID 290182, FACTURA SIT 4152, ACTA NO. 3 COMPONENTE II AVANCE 37,06% DEL CONTRATO DE OBRA 008-2023,  ELABORACION DE DIAGNÓSTICOS, ESTUDIOS TÉCNICOS, DISEÑOS Y EJECUCIÓN DE OBRAS DE MEJORAMIENTO EN LAS INSTITUCIONES EDUCATIVAS OFICIALES DE LOS DEPARTAMENTOS DE ARAUCA Y CASANARE (GRUPO 3), PERIODO DEL 04 AL 20 DE OCTUBRE DE 2024</t>
  </si>
  <si>
    <t>ID 290949, FACTURA FEIN-5, ACTA NO. 3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22/12/2024 A 29/12/2024 AL 13/02/2025 - 28/02/2025. COSTO VARIABLE AVANCE DE OBRA 15,34%</t>
  </si>
  <si>
    <t>ID 290564, FACTURA FEV 2 , ACTA NO. 1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OCTUBRE DEL 2024 AL 25 DE FEBRERO DEL 2025</t>
  </si>
  <si>
    <t>ID 290834, FACTURA FE 3, ACTA NO. 2 COMPONENTE II DEL CONTRATO DE OBRA 028-2024, ELABORACIÓN DE DIAGNÓSTICOS, ESTUDIOS TÉCNICOS, DISEÑOS Y EJECUCIÓN DE OBRAS DE MEJORAMIENTO EN LAS INSTITUCIONES EDUCATIVAS OFICIALES DEL DEPARTAMENTO DEL VALLE DEL CAUCA (GRUPO 25), PERIODO 27/11/2024 AL 26/12/2024 Y 26/01/2025 AL 31/01/2025. AVANCE DE OBRA 29,13%</t>
  </si>
  <si>
    <t>ID 290836, FACTURA FE 8, ACTA NO. 5 COMPONENTE II DEL CONTRATO DE INTERVENTORIA 035-2024, ELABORACIÓN DE DIAGNÓSTICOS, ESTUDIOS TÉCNICOS, DISEÑOS Y EJECUCIÓN DE OBRAS DE MEJORAMIENTO EN LAS INSTITUCIONES EDUCATIVAS OFICIALES DE LA ETC RISARALDA (GRUPO 20), COSTOS FIJOS PERIODO DEL  22 DE ENERO DE 2025 AL 21 DE FEBRERO DE 2025. COSTO VARIABLE AVANCE DE OBRA 18.55%</t>
  </si>
  <si>
    <t>ID 291846, FACTURA OM 2, ACTA NO. 3  COMPONENTE II DEL CONTRATO DE INTERVENTORIA 027-2024, INSTITUCIONES EDUCATIVAS OFICIALES DEL DEPARTAMENTO DEL VALLE DEL CAUCA (GRUPO 25), COSTOS FIJOS PERIODO DEL 22 DE DICIEMBRE AL 26 DE DICIEMBRE DE 2024 Y 26 DE ENERO AL 26 DE FEBRERO DE 2025.</t>
  </si>
  <si>
    <t>ID 290837, FACTURA FECE 8, ACTA NO. 2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03/02/2025 – 02/03/2025. AVANCE DE OBRA 36,83 %</t>
  </si>
  <si>
    <t>ID 291111, FACTURA FEIE 5, ACTA NO. 2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03/02/2025 – 02/03/2025. COSTOS VARIABLE AVANCE DE OBRA 36.83%</t>
  </si>
  <si>
    <t>ID 292238, FACTURA C178, ACTA NO. 3 COMPONENTE II AVANCE DE OBRA 15,34% DEL CONTRATO DE OBRA 007-2024, INSTITUCIONES EDUCATIVAS OFICIALES  DE LOS MUNICIPIOS DE SEGOVIA Y NECHÍ DEL DEPARTAMENTO DE ANTIOQUIA (GRUPO 19), PERIODO 22/12/2024 A 29/12/2024 AL 13/02/2025 - 28/02/2025</t>
  </si>
  <si>
    <t>ID 290839, FACTURA FE 9, ACTA NO. 3 COMPONENTE II DEL CONTRATO DE OBRA 024-2024, ELABORACIÓN DE DIAGNÓSTICOS, ESTUDIOS TÉCNICOS, DISEÑOS Y EJECUCIÓN DE OBRAS DE MEJORAMIENTO EN LAS INSTITUCIONES EDUCATIVAS OFICIALES DEL MUNICIPIO DE MAICAO DEL DEPARTAMENTO DE LA GUAJIRA (GRUPO 23), PERIODO DELDEL 01 AL 28 DE FEBRERO DEL 2025. AVANCE DE OBRA 15,29% SOBRE TOTAL CTO</t>
  </si>
  <si>
    <t>ID 290856, FACTURA FREL 101 , ACTA NO. 4 COMPONENTE II DEL CONTRATO DE INTERVENTORIA 017-2024,  ELABORACIÓN DE DIAGNÓSTICOS, ESTUDIOS TÉCNICOS, DISEÑOS Y EJECUCIÓN DE OBRAS DE MEJORAMIENTO Y/U OBRAS REQUERIDAS PARA LA INFRAESTRUCTURA EDUCATIVA Y SUMINISTRO E INSTALACIÓN DE AULAS Y/O BATERÍAS SANITARIAS, EN SEDES AFECTADAS POR EMERGENCIA - GRUPO 9,  COSTOS FIJOS - COMPONENTE II 01/02/2025 A 02/03/2025.</t>
  </si>
  <si>
    <t>ID 290952, FACTURA CE6, ACTA NO. 5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01 DE ENERO DE 2025 AL 30 DE ENERO DE 2025</t>
  </si>
  <si>
    <t>ID 291334, FACTURA UTS 10, ACTA NO. 6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24/12/2024 AL 29/12/2024 Y DEL 19/01/2025 AL 28/02/2025 Y COSTOS VARIABLES AVANCE DE OBRA 1,62%</t>
  </si>
  <si>
    <t>ID 290857, FACTURA FE-14, ACTA NO. 6 COMPONENTE II AVANCE 13,33% DEL CONTRATO DE OBRA 010-2024,  MEJORAMIENTO Y/U OBRAS REQUERIDAS PARA LA INFRAESTRUCTURA EDUCATIVA Y SUMINISTRO E INSTALACIÓN DE AULAS Y/O BATERÍAS SANITARIAS, EN SEDES AFECTADAS POR EMERGENCIA - GRUPO 7, PERIODO DEL 01/12/2024 – 28/02/2025</t>
  </si>
  <si>
    <t xml:space="preserve">ID 291172, FACTURA GC-15, ACTA NO. 4 COMPONENTE II DEL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AVANCE DE OBRA 1,44% DEL COMP II </t>
  </si>
  <si>
    <t>ID 291614, FACTURA FREL 102, ACTA NO. 6 COMPONENTE II DEL CONTRATO DE INTERVENTORIA 009-2024,  MEJORAMIENTO Y/U OBRAS REQUERIDAS PARA LA INFRAESTRUCTURA EDUCATIVA Y SUMINISTRO E INSTALACIÓN DE AULAS Y/O BATERÍAS SANITARIAS, EN SEDES AFECTADAS POR EMERGENCIA - GRUPO 7, COSTO VARIABLE AVANCE DE OBRA 13,33% Y COSTOS FIJOS PERIODO DEL 01/12/2024 –28/02/2025</t>
  </si>
  <si>
    <t>ID 291326, FACTURA SERV NO. 530, ACTA NO. 1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29/01/2025 AL 28/02/2025 AVANCE DE OBRA 10,44%</t>
  </si>
  <si>
    <t>ID 290978, FACTURA HHDA - 81, ACTA NO. 7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5,58% PERIODO DEL 1/02/2025 A 28/02/2025</t>
  </si>
  <si>
    <t>ID 291328, FACTURA FEET NO. 31, ACTA NO. 2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29 DE ENERO AL 28 DE FEBRERO DE 2025. COSTOS VARIABLES AVANCE DE OBRA 15,40%</t>
  </si>
  <si>
    <t>ID 291336, FACTURA 5, ACTA NO. 2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29 DE ENERO AL 28 DE FEBRERO DE 2025. AVANCE DE OBRA 15,40%</t>
  </si>
  <si>
    <t>RAD 4 - 03/04 RETEICA BIMESTRAL PATRIMONIO
AUTÓNOMO</t>
  </si>
  <si>
    <t>RAD 21 - 03/05 RETE ICA BIMESTRAL PATRIMONIOS</t>
  </si>
  <si>
    <t>RAD 34 -03/05 RETEICA BIMESTRAL PATRIMONIO
AUTÓNOMO</t>
  </si>
  <si>
    <t>RAD 52 -03/05 AVISOS Y TABLEROS BIMESTRAL
PATRIMONIO AUTÓNOMO</t>
  </si>
  <si>
    <t>RAD 54 -03/05 RETE ICA BIMESTRAL PATRIMONIOS</t>
  </si>
  <si>
    <t>RAD 51 - 03/05 RETEICA BIMESTRAL PATRIMONIO
AUTÓNOMO</t>
  </si>
  <si>
    <t>RAD 40 -03/05 RETEICA BIMESTRAL PATRIMONIO
AUTÓNOMO</t>
  </si>
  <si>
    <t>RAD 58 - 03/05 RETE ICA MENSUAL PATRIMONIOS</t>
  </si>
  <si>
    <t>RAD 31 -03/05 RETE ICA BIMESTRAL PATRIMONIOS</t>
  </si>
  <si>
    <t>RAD 16 - 03/06 RETE ICA MENSUAL PATRIMONIO
AUTÓNOMO</t>
  </si>
  <si>
    <t>RAD 17 - 03/06 RETEICA BIMESTRAL PATRIMONIO
AUTÓNOMO</t>
  </si>
  <si>
    <t>RAD 22 - 03/06 RETE ICA BIMESTRAL PATRIMONIOS</t>
  </si>
  <si>
    <t>RAD 6 -03/06 CONTRIBUCION DE OBRA MENSUAL
PATRIMONIO AUTÓNOMO</t>
  </si>
  <si>
    <t>RAD 25 - 03/06 RETEICA MENSUAL PATRIMONIO AUTÓNOMO</t>
  </si>
  <si>
    <t>RAD 27 - 03/06 RETEICA BIMESTRAL PATRIMONIO
AUTÓNOMO</t>
  </si>
  <si>
    <t>RAD 40 -03/06 RETE ICA BIMESTRAL PATRIMONIOS</t>
  </si>
  <si>
    <t>RAD 41 -03/06 RETE ICA MENSUAL PATRIMONIO AUTÓNOMO</t>
  </si>
  <si>
    <t>RAD 44 -03/06 RETEICA MENSUAL PATRIMONIO</t>
  </si>
  <si>
    <t>RAD 3 - 03/07 RETE ICA BIMESTRAL PATRIMONIOS</t>
  </si>
  <si>
    <t>RAD 4 - 03/07 RETEICA MENSUAL PATRIMONIO AUTÓNOMO</t>
  </si>
  <si>
    <t>RAD 8 - 03/07 RETEICA MENSUAL PATRIMONIO AUTÓNOMO</t>
  </si>
  <si>
    <t>RAD 3 -03/10 RETEICAMENSUAL PATRIMONIO AUTÓNOMO</t>
  </si>
  <si>
    <t>RAD 6 -03/10 RETEICA BIMESTRAL PATRIMONIO AUTÓNOMO</t>
  </si>
  <si>
    <t>RAD 28 - 03/10 RETEICA MENSUAL PATRIMONIOS</t>
  </si>
  <si>
    <t>RAD 17 - 03/10 RETEICA MENSUAL PATRIMONIO AUTÓNOMO</t>
  </si>
  <si>
    <t>RAD 29 - 03/10 RETEICA MENSUAL PATRIMONIOS</t>
  </si>
  <si>
    <t>RAD 26 - 03/10 RETEICA BIMESTRAL PATRIMONIO
AUTÓNOMO</t>
  </si>
  <si>
    <t>RAD 27 - 03/10 SOBRETASA BOMBERIL BIMESTRAL
PATRIMONIO AUTÓNOMO</t>
  </si>
  <si>
    <t>RAD 33 - 03/10 RETEICA BIMESTRAL PATRIMONIO
AUTÓNOMO</t>
  </si>
  <si>
    <t>RAD 1 - 03/11 RETEICA MENSUAL PATRIMONIO AUTÓNOMO</t>
  </si>
  <si>
    <t>RAD 8 -03/12 RETEICABIMESTRAL PATRIMONIO AUTÓNOMO</t>
  </si>
  <si>
    <t>RAD 20 - 03/12 RETE ICA BIMESTRAL PATRIMONIOS</t>
  </si>
  <si>
    <t>RAD 29 - 03/12 RETE ICA BIMESTRAL PATRIMONIOS</t>
  </si>
  <si>
    <t>RAD 4 -03/12 RETE ICA BIMESTRAL PATRIMONIOS</t>
  </si>
  <si>
    <t>RAD 8 - 03/13 RETE ICA BIMESTRAL PATRIMONIOS</t>
  </si>
  <si>
    <t>RAD 9 - 03/13 RETEICA BIMESTRAL PATRIMONIOS</t>
  </si>
  <si>
    <t>RAD 22 - 03/13 RETEICA BIMESTRAL PATRIMONIO
AUTÓNOMO</t>
  </si>
  <si>
    <t>RAD 32 - 03/13 RETE ICA BIMESTRAL PATRIMONIOS</t>
  </si>
  <si>
    <t>RAD 27 - 03/13 RETE ICA MENSUAL PATRIMONIOS</t>
  </si>
  <si>
    <t>RAD 49 -03/13 RETEICA MENSUAL PATRIMONIO AUTÓNOMO</t>
  </si>
  <si>
    <t>RAD 56 -03/13 RETEICAMENSUAL PATRIMONIO AUTÓNOMO</t>
  </si>
  <si>
    <t>RAD 65 - 03/13 RETEICA BIMESTRAL PATRIMONIO
AUTÓNOMO</t>
  </si>
  <si>
    <t>RAD 71 - 03/13 RETE ICA BIMESTRAL PATRIMONIOS</t>
  </si>
  <si>
    <t>RAD 20 - 03/14 RETEICA MENSUAL PATRIMONIO AUTÓNOMO</t>
  </si>
  <si>
    <t>RAD 21 - 03/14 AVISOS Y TABLEROS MENSUAL PATRIMONIO
AUTÓNOMO</t>
  </si>
  <si>
    <t>RAD 22 - 03/14 SOBRETASA BOMBERIL MENSUAL
PATRIMONIO AUTÓNOMO</t>
  </si>
  <si>
    <t>RAD 27 -03/14 RETEICA BIMENSUAL PATRIMONIO
AUTÓNOMO</t>
  </si>
  <si>
    <t>RAD 39 -03/14 RETEICA BIMESTRAL PATRIMONIO
AUTÓNOMO</t>
  </si>
  <si>
    <t>RAD 40 -03/14 AVISOS Y TABLEROS BIMESTRAL
PATRIMONIO AUTÓNOMO</t>
  </si>
  <si>
    <t>RAD 41 -03/14 SOBRETASA BIMESTRAL PATRIMONIO
AUTÓNOMO</t>
  </si>
  <si>
    <t>RAD 8 - 03/17 RETEICA BIMESTRAL PATRIMONIOS</t>
  </si>
  <si>
    <t>RAD 22 -03/17 RETEICA BIMESTRAL PATRIMONIO
AUTÓNOMO</t>
  </si>
  <si>
    <t>RAD 32 - 03/17 RETEICA BIMESTRAL PATRIMONIO
AUTÓNOMO</t>
  </si>
  <si>
    <t>RAD 37 - 03/17 RETEICA BIMESTRAL PATRIMONIO
AUTÓNOMO</t>
  </si>
  <si>
    <t>RAD 44 -03/17 RETEICA BIMESTRAL PATRIMONIO
AUTÓNOMO</t>
  </si>
  <si>
    <t>RAD 48 -03/17 RETEICA MENSUAL PATRIMONIO AUTÓNOMO</t>
  </si>
  <si>
    <t>RAD 49 -03/17 RETE ICA MENSUAL PATRIMONIOS</t>
  </si>
  <si>
    <t>RAD 56 -03/17 RETE ICA MENSUAL PATRIMONIOS</t>
  </si>
  <si>
    <t>RAD 53 -03/17 RETEICAMENSUAL PATRIMONIO AUTÓNOMO</t>
  </si>
  <si>
    <t>RAD 52 -03/17 RETEICAMENSUAL PATRIMONIO AUTÓNOMO</t>
  </si>
  <si>
    <t>RAD 23 - 03/18 RETEICA MENSUAL PATRIMONIO AUTONOMO</t>
  </si>
  <si>
    <t>RAD 16 - 03/19 RETEICA BIMESTRAPATRIMONIO
AUTÓNOMO</t>
  </si>
  <si>
    <t>RAD 28 -03/19 RETEICAMENSUAL PATRIMONIO AUTÓNOMO</t>
  </si>
  <si>
    <t>RAD 11 -03/20 RETEICA BIMESTRAL PATRIMONIO
AUTÓNOMO</t>
  </si>
  <si>
    <t>RAD 7 - 03/20 RETEICA MENSUAL PATRIMONIO</t>
  </si>
  <si>
    <t>RAD 84 - 03/21 RETENCIÓN EN LA FUENTE MENSUAL</t>
  </si>
  <si>
    <t>004-2025</t>
  </si>
  <si>
    <t>CONSORCIO INTER TARRA</t>
  </si>
  <si>
    <t>066-2024</t>
  </si>
  <si>
    <t>CONSORCIO GRUPO SANTANDER</t>
  </si>
  <si>
    <t>003-2025</t>
  </si>
  <si>
    <t>CONSORCIO DISEÑOS EL TARRA</t>
  </si>
  <si>
    <t>006-2025</t>
  </si>
  <si>
    <t>CONSORCIO INTERVENTORÍA QUIBDÓ</t>
  </si>
  <si>
    <t>061-2024</t>
  </si>
  <si>
    <t>CONVOCATORIA
No.</t>
  </si>
  <si>
    <t>PAF-MENPNIE-O-101-2023</t>
  </si>
  <si>
    <t>PAF-MENPNIE-I-096-2023</t>
  </si>
  <si>
    <t>PAF-MENPNIE-O-127-2023</t>
  </si>
  <si>
    <t>PAF-MENPNIE-I-125-2023</t>
  </si>
  <si>
    <t>PAF-MENPNIE-O-090-2023</t>
  </si>
  <si>
    <t>PAF-MENPNIE-I-085-2023</t>
  </si>
  <si>
    <t>PAF-MENPNIE-O-091-2023</t>
  </si>
  <si>
    <t>PAF-MENPNIE-I-086-2023</t>
  </si>
  <si>
    <t>PAF-MENPNIE-O-092-2023</t>
  </si>
  <si>
    <t>PAF-MENPNIE-I-087-2023</t>
  </si>
  <si>
    <t>PAF-MENPNIE-O-154-2024</t>
  </si>
  <si>
    <t>PAF-MENPNIE-I-088-2023</t>
  </si>
  <si>
    <t>PAF-MENPNIE-O-094-2023</t>
  </si>
  <si>
    <t>PAF-MENPNIE-I-089-2023</t>
  </si>
  <si>
    <t>PAF-MENPNIE-O-103-2024</t>
  </si>
  <si>
    <t>PAF-MENPNIE-I-098-2024</t>
  </si>
  <si>
    <t>PAF-MENPNIE-O-151-2024</t>
  </si>
  <si>
    <t>PAF-MENPNIE-I-090-2023</t>
  </si>
  <si>
    <t>PAF-MENPNIE-O-125-2024</t>
  </si>
  <si>
    <t>PAF-MENPNIE-I-091-2023</t>
  </si>
  <si>
    <t>PAF-MENPNIE-O-097-2023</t>
  </si>
  <si>
    <t>PAF-MENPNIE-I-092-2023</t>
  </si>
  <si>
    <t>PAF-MENPNIE-O-098-2023</t>
  </si>
  <si>
    <t>PAF-MENPNIE-I-093-2023</t>
  </si>
  <si>
    <t>PAF-MENPNIE-O-099-2023</t>
  </si>
  <si>
    <t>PAF-MENPNIE-I-094-2023</t>
  </si>
  <si>
    <t>PAF-MENPNIE-0-088-2024</t>
  </si>
  <si>
    <t>PAF-MENPNIE-I-115-2024</t>
  </si>
  <si>
    <t>PAF-MENPNIE-O-115-2023</t>
  </si>
  <si>
    <t>PAF-MENPNIE-I-113-2023</t>
  </si>
  <si>
    <t>PAF-MENPNIE-O-026-2024</t>
  </si>
  <si>
    <t>PAF-MENPNIE-I-104-2023</t>
  </si>
  <si>
    <t>PAF-MENPNIE-O-034-2024</t>
  </si>
  <si>
    <t>PAF-MENPNIE-I-109-2023</t>
  </si>
  <si>
    <t>PAF-MENPNIE-O-160-2024</t>
  </si>
  <si>
    <t>PAF-MENPNIE-I-116-2023</t>
  </si>
  <si>
    <t>PAF-MENPNIE-I-100-2023</t>
  </si>
  <si>
    <t>PAF-MENPNIE-O-123-2024</t>
  </si>
  <si>
    <t>PAF-MENPNIE-O-116-2023</t>
  </si>
  <si>
    <t>PAF-MENPNIE-I-114-2023</t>
  </si>
  <si>
    <t>PAF-MENPNIE-O-120-2023</t>
  </si>
  <si>
    <t>PAF-MENPNIE-I-117-2023</t>
  </si>
  <si>
    <t>PAF-MENPNIE-O-113-2023</t>
  </si>
  <si>
    <t>PAF-MENPNIE-I-108-2023</t>
  </si>
  <si>
    <t>PAF-MENPNIE-O-073-2024</t>
  </si>
  <si>
    <t>PAF-MENPNIE-I-115-2023</t>
  </si>
  <si>
    <t>PAF-MENPNIE-O-009-2024</t>
  </si>
  <si>
    <t>PAF-MENPNIE-I-009-2024</t>
  </si>
  <si>
    <t>PAF-MENPNIE-O-124-2024</t>
  </si>
  <si>
    <t>PAF-MENPNIE-I-010-2024</t>
  </si>
  <si>
    <t>PAF-MENPNIE-I-122-2023</t>
  </si>
  <si>
    <t>PAF-MENPNIE-O-004-2024</t>
  </si>
  <si>
    <t>PAF-MENPNIE-I-004-2024</t>
  </si>
  <si>
    <t>PAF-MENPNIE-I-007-2024</t>
  </si>
  <si>
    <t>PAF-MENPNIE-O-006-2024</t>
  </si>
  <si>
    <t>PAF-MENPNIE-O-023-2024</t>
  </si>
  <si>
    <t>PAF-MENPNIE-I-021-2024</t>
  </si>
  <si>
    <t>PAF-MENPNIE-I-011-2024</t>
  </si>
  <si>
    <t>PAF-MENPNIE-O-114-2024</t>
  </si>
  <si>
    <t>PAF-MENPNIE-O-021-2024</t>
  </si>
  <si>
    <t>PAF-MENPNIE-I-019-2024</t>
  </si>
  <si>
    <t>PAF-MENPNIE-O-098-2024</t>
  </si>
  <si>
    <t>PAF-MENPNIE-I-016-2024</t>
  </si>
  <si>
    <t>PAF-MENPNIE-O-153-2024</t>
  </si>
  <si>
    <t>PAF-MENPNIE-I-015-2024</t>
  </si>
  <si>
    <t>PAF-MENPNIE-O-022-2024</t>
  </si>
  <si>
    <t>PAF-MENPENIE-I-020-2024</t>
  </si>
  <si>
    <t>PAF-MENPNIE-O-051-2024</t>
  </si>
  <si>
    <t>PAF-MENPNIE-I-017-2024</t>
  </si>
  <si>
    <t>PAF-MENPNIE-I-018-2024</t>
  </si>
  <si>
    <t>PAF-MENPNIE-O-050-2024</t>
  </si>
  <si>
    <t>PAF-MENPNIE-I-032-2024</t>
  </si>
  <si>
    <t>PAF-MENPNIE-O-126-2024</t>
  </si>
  <si>
    <t>PAF-MENPNIE-O-043-2024</t>
  </si>
  <si>
    <t>PAF-MENPNIE-I-034-2024</t>
  </si>
  <si>
    <t>PAF-MENPNIE-I-038-2024</t>
  </si>
  <si>
    <t>PAF-MENPNIE-O-045-2024</t>
  </si>
  <si>
    <t>PAF-MENPNIE-O-054-2024</t>
  </si>
  <si>
    <t>PAF-MENPNIE-O-067-2024</t>
  </si>
  <si>
    <t>PAF-MENPNIE-I-079-2024</t>
  </si>
  <si>
    <t>PAF-MENPNIE-C-003-2025</t>
  </si>
  <si>
    <t>PAF-MENPNIE-I-006-2025</t>
  </si>
  <si>
    <t>PAF-MENPNIE-I-014-2025</t>
  </si>
  <si>
    <t>PAF-MENPNIE-O-106-2024</t>
  </si>
  <si>
    <t>PAF-MENPNIE-I-095-2024</t>
  </si>
  <si>
    <t>PAF-MENPNIE-I-138-2024</t>
  </si>
  <si>
    <t>UNION TEMPORAL INTERVENTORÍA SUR DE COLOMBIA</t>
  </si>
  <si>
    <t>UT INTERVENTORIA SUR DE COLOMBIA</t>
  </si>
  <si>
    <t>LIQUIDADO ABRIL 2025</t>
  </si>
  <si>
    <t xml:space="preserve">Vigente </t>
  </si>
  <si>
    <t xml:space="preserve">En Liquidación </t>
  </si>
  <si>
    <t>TOTAL MARZO/2025</t>
  </si>
  <si>
    <t>UNIÓN TEMPORAL MEJORAMIENTO DE ESCUELAS FINDETER GRUPO 15</t>
  </si>
  <si>
    <t>MUNICIPIO DE SAN VICENTE DEL CAGUAN</t>
  </si>
  <si>
    <t>MUNICIPIO EL CARMEN DE BOLIVAR DPTO DE BOLIVAR</t>
  </si>
  <si>
    <t>MUNICIPIO DE PUERTO WILCHES-SANTANDER</t>
  </si>
  <si>
    <t xml:space="preserve">ID 293825, FACTURA FVE 13, ACTA NO. 8 COMPONENTE II DEL CONTRATO DE INTERVENTORIA 030-2024,  ELABORACIÓN DE DIAGNÓSTICOS, ESTUDIOS TÉCNICOS, DISEÑOS Y EJECUCIÓN DE OBRAS DE MEJORAMIENTO, REPOSICIÓN Y OBRAS NUEVAS EN LAS INSTITUCIONES EDUCATIVAS OFICIALES DE LA ASOCIACIÓN DE AUTORIDADES TRADICIONALES DEL CONSEJO REGIONAL INDÍGENA DEL HUILA – CRIHU (GRUPO 14), COSTO FIJOS PERIODO DEL 01 DE MARZO AL 29 DE MARZO DE 2025 Y COSTOS VARIABLES AVANCE OBRA 13,98% </t>
  </si>
  <si>
    <t xml:space="preserve">ID 293829, FACTURA FE 141, ACTA NO. 6 COMPONENTE II DEL CONTRATO DE OBRA 031-2024,  ELABORACIÓN DE DIAGNÓSTICOS, ESTUDIOS TÉCNICOS, DISEÑOS Y EJECUCIÓN DE OBRAS DE MEJORAMIENTO, REPOSICIÓN Y OBRAS NUEVAS EN LAS INSTITUCIONES EDUCATIVAS OFICIALES DE LA ASOCIACIÓN DE AUTORIDADES TRADICIONALES DEL CONSEJO REGIONAL INDÍGENA DEL HUILA – CRIHU (GRUPO 14), ACTA FINAL AVANCE 13,98% </t>
  </si>
  <si>
    <t>ID 294856, FACTURA CE24-12, ACTA NO. 7 COMPONENTE II DEL CONTRATO DE INTERVENTORIA 011-2024,  PARA LA CONSTRUCCIÓN DE LA INSTITUCIÓN EDUCATIVA JOSÉ ANTONIO RICAURTE UBICADA EN EL MUNICIPIO DE IBAGUÉ, DEPARTAMENTO DEL TOLIMA,  COSTOS FIJOS 1 MES Y COSTOS VARIABLES AVANCE DE OBRA 9,73% PERIODO DEL 01/03/2025 AL 31/03/2025.</t>
  </si>
  <si>
    <t>ID 294842, FACTURA FEV 13, ACTA NO. 8 COMPONENTE II DEL CONTRATO DE OBRA 014-2024,  PARA LA CONSTRUCCIÓN DE LA INSTITUCIÓN EDUCATIVA JOSÉ ANTONIO RICAURTE UBICADA EN EL MUNICIPIO DE IBAGUÉ, DEPARTAMENTO DEL TOLIMA, AVANCE 9,73% PERIODO DEL 01/03/2025 AL 31/03/2025</t>
  </si>
  <si>
    <t>ID 293610, FACTURA SERV NO. 541, ACTA NO. 2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01/03/2025 AL 30/03/2025. AVANCE DE OBRA 25,49%</t>
  </si>
  <si>
    <t>ID 293611, FACTURA FE-15, ACTA NO. 7 COMPONENTE II AVANCE 12,31% DEL CONTRATO DE OBRA 010-2024,  MEJORAMIENTO Y/U OBRAS REQUERIDAS PARA LA INFRAESTRUCTURA EDUCATIVA Y SUMINISTRO E INSTALACIÓN DE AULAS Y/O BATERÍAS SANITARIAS, EN SEDES AFECTADAS POR EMERGENCIA - GRUPO 7, PERIODO DEL 01/03/2025 – 31/03/2025</t>
  </si>
  <si>
    <t>ID 293832, FACTURA UTS 11, ACTA NO. 7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01/03/2025 AL 21/03/2025</t>
  </si>
  <si>
    <t>ID 293997, FACTURA 7, ACTA NO. 3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01 AL 31 DE MARZO DE 2025. AVANCE DE OBRA 6,94%</t>
  </si>
  <si>
    <t>ID 293999, FACTURA FEET NO. 32, ACTA NO. 3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01 AL 31 DE MARZO DE 2025. COSTOS VARIABLES AVANCE DE OBRA 6,94%</t>
  </si>
  <si>
    <t>ID 293834, FACTURA CE 7, ACTA NO. 2 COMPONENTE 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PERIODO DEL 30 DE MAYO DE 2024 AL 30 DE JULIO DE 2024</t>
  </si>
  <si>
    <t>ID 294003, FACTURA FREL 107, ACTA NO. 7 COMPONENTE II DEL CONTRATO DE INTERVENTORIA 009-2024,  MEJORAMIENTO Y/U OBRAS REQUERIDAS PARA LA INFRAESTRUCTURA EDUCATIVA Y SUMINISTRO E INSTALACIÓN DE AULAS Y/O BATERÍAS SANITARIAS, EN SEDES AFECTADAS POR EMERGENCIA - GRUPO 7, COSTO VARIABLE AVANCE DE OBRA 12,31% Y COSTOS FIJOS PERIODO DEL 01/03/2025 –31/03/2025</t>
  </si>
  <si>
    <t>ID 293394, FACTURA FE 10, ACTA NO. 4 COMPONENTE II DEL CONTRATO DE OBRA 024-2024, ELABORACIÓN DE DIAGNÓSTICOS, ESTUDIOS TÉCNICOS, DISEÑOS Y EJECUCIÓN DE OBRAS DE MEJORAMIENTO EN LAS INSTITUCIONES EDUCATIVAS OFICIALES DEL MUNICIPIO DE MAICAO DEL DEPARTAMENTO DE LA GUAJIRA (GRUPO 23), PERIODO DELDEL 01 AL 31 DE MARZO DEL 2025. AVANCE DE OBRA 17,28% SOBRE TOTAL CTO</t>
  </si>
  <si>
    <t>ID 293614, FACTURA FEIE 7, ACTA NO. 3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03/03/2025 – 20/03/2025. COSTOS VARIABLE AVANCE DE OBRA 28.27%</t>
  </si>
  <si>
    <t>ID 293836, FACTURA FECE 10, ACTA NO. 3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03/03/2025 – 20/03/2025. AVANCE DE OBRA 28,27 %</t>
  </si>
  <si>
    <t>ID 293620, FACTURA FE 10, ACTA NO. 6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FEBRERO DE 2025 AL 16 DE MARZO DE 2025. COSTO VARIABLE AVANCE OBRA 14,64%</t>
  </si>
  <si>
    <t>ID 293622, FACTURA FE 347, ACTA NO. 6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FEBRERO DE 2025 AL 16 DE MARZO DE 2025. AVANCE DE OBRA 14,64%</t>
  </si>
  <si>
    <t>ID 294143, FACTURA FE 32, ACTA 3 COMPONENTE II  CTO INTERVENTORIA 023-2024 NSTITUCIONES EDUCATIVAS OFICIALES DEL MUNICIPIO DE MAICAO DEL DEPARTAMENTO DE LA GUAJIRA (GRUPO 23) COSTOS FIJOS PERIODO DEL 16 DE ENERO DE 2025 AL 28 DE FEBRERO DE 2025</t>
  </si>
  <si>
    <t>ID 293835, FACTURA UTES 14, ACTA NO. 5 COMPONENTE II DEL CONTRATO DE OBRA 026-2024, ELABORACIÓN DE DIAGNÓSTICOS, ESTUDIOS TÉCNICOS, DISEÑOS Y EJECUCIÓN DE OBRAS DE MEJORAMIENTO EN LAS INSTITUCIONES EDUCATIVAS OFICIALES DEL DEPARTAMENTO DE NORTE DE SANTANDER (GRUPO 15),  AVANCE DE OBRA 4,84% PERIODO DEL 16/01/2025 AL 20/01/2025</t>
  </si>
  <si>
    <t xml:space="preserve">ID 294416, FACTURA CSM 20, ACTA NO. 5 COMPONENTE II DEL CONTRATO DE INTERVENTORIA 025-2024,  ELABORACIÓN DE DIAGNÓSTICOS, ESTUDIOS TÉCNICOS, DISEÑOS Y EJECUCIÓN DE OBRAS DE MEJORAMIENTO EN LAS INSTITUCIONES EDUCATIVAS OFICIALES DEL DEPARTAMENTO DE NORTE DE SANTANDER (GRUPO 15), COSTOS FIJOS PERIODO DEL 16/01/2025 AL 20/01/2025. COSTOS VARIABLES AVANCE DE OBRA 4,84% </t>
  </si>
  <si>
    <t>ID 294437, FACTURA FVE 9, ACTA NO. 4 COMPONENTE II DEL CONTRATO DE INTERVENTORÍA 006-2023,  ELABORACION DE DIAGNÓSTICOS, ESTUDIOS TÉCNICOS, DISEÑOS Y EJECUCIÓN DE OBRAS DE MEJORAMIENTO EN LAS INSTITUCIONES EDUCATIVAS OFICIALES DE LOS DEPARTAMENTOS DE ARAUCA Y CASANARE (GRUPO 3),  COSTOS FIJOS PERIODO 5/11/2024 AL 4/12/2024 Y DEL 5/12/2024 AL 20/12/2024 Y AVANCE OBRA 37,06%</t>
  </si>
  <si>
    <t>ID 294426, FACTURA FE 9, ACTA NO. 6 COMPONENTE II DEL CONTRATO DE INTERVENTORIA 035-2024, ELABORACIÓN DE DIAGNÓSTICOS, ESTUDIOS TÉCNICOS, DISEÑOS Y EJECUCIÓN DE OBRAS DE MEJORAMIENTO EN LAS INSTITUCIONES EDUCATIVAS OFICIALES DE LA ETC RISARALDA (GRUPO 20), COSTOS FIJOS PERIODO DEL  22 DE FEBRERO DE 2025 AL 21 DE MARZO DE 2025. COSTO VARIABLE AVANCE DE OBRA 19.68%</t>
  </si>
  <si>
    <t>ID 295156, FACTURA OM 3, ACTA NO. 4  COMPONENTE II DEL CONTRATO DE INTERVENTORIA 027-2024, INSTITUCIONES EDUCATIVAS OFICIALES DEL DEPARTAMENTO DEL VALLE DEL CAUCA (GRUPO 25), COSTOS FIJOS PERIODO DEL 27 DE FEBRERO AL 26 DE MARZO DE 2025.</t>
  </si>
  <si>
    <t>ID 294431, FACTURA IC1 365, ACTA NO. 12 COMPONENTE II DEL CONTRATO INTERVENTORIA 009-2023, INSTITUCIONES EDUCATIVAS OFICIALES  DEPARTAMENTO DEL CESAR (GRUPO 9), COSTO FIJO PERIODO DEL 02 DE MARZO AL 02 DE ABRIL DE 2025</t>
  </si>
  <si>
    <t>ID 294148, FACTURA FE 5, ACTA NO. 3 COMPONENTE II DEL CONTRATO DE OBRA 028-2024, ELABORACIÓN DE DIAGNÓSTICOS, ESTUDIOS TÉCNICOS, DISEÑOS Y EJECUCIÓN DE OBRAS DE MEJORAMIENTO EN LAS INSTITUCIONES EDUCATIVAS OFICIALES DEL DEPARTAMENTO DEL VALLE DEL CAUCA (GRUPO 25), PERIODO 01 AL 28 DE FEBRERO DE 2025. AVANCE DE OBRA 11,82%</t>
  </si>
  <si>
    <t>ID 294628, FACTURA UT 9, ACTA NO. 6 COMPONENTE II DEL CONTRATO DE OBRA 034-2024, ELABORACIÓN DE DIAGNÓSTICOS, ESTUDIOS TÉCNICOS, DISEÑOS Y EJECUCIÓN DE OBRAS DE MEJORAMIENTO EN LAS INSTITUCIONES EDUCATIVAS OFICIALES DE LA ETC RISARALDA (GRUPO 20), PERIODO DEL 22 DE FEBRERO DE 2025 AL 21 DE MARZO DE 2025. AVANCE DE OBRA 19,68%</t>
  </si>
  <si>
    <t xml:space="preserve">ID 294150, FACTURA 5218, ACTA NO. 1 COMPONENTE II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OCTUBRE DE 2024 - 27 DE MARZO DE 2025. AVANCE DE OBRA 53,63% SOBRE EL TOTAL DEL CONTRATO </t>
  </si>
  <si>
    <t>ID 294151, FACTURA FEV 4, ACTA NO. 2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1 AL 31 DE MARZO DE 2025. COSTOS VARIABLES AVANCE DE OBRA 45,12%</t>
  </si>
  <si>
    <t>ID 294015, FACTURA CUENTA DE COBRO 1, DEVOLUCIÓN RETEGARANTÍA CTO DE OBRA NO. 004-2023 INSTITUCIONES EDUCATIVAS OFICIALES DEL DEPARTAMENTO DE TOLIMA (GRUPO 1) LIQUIDADO</t>
  </si>
  <si>
    <t>RETE ICA MENSUAL PATRIMONIOS</t>
  </si>
  <si>
    <t>CONTRIBUCION DE OBRA MENSUAL PATRIMONIO AUTÓNOMO</t>
  </si>
  <si>
    <t>RETENCIÓN EN LA FUENTE MENSUAL</t>
  </si>
  <si>
    <t>002-2025</t>
  </si>
  <si>
    <t>PAF-MENPNIE-O-144-2024</t>
  </si>
  <si>
    <t>UNION TEMPORAL FINDETER MOMPOX PYP 2024</t>
  </si>
  <si>
    <t>PAF-MENPNIE-I-022-2025</t>
  </si>
  <si>
    <t>010-2025</t>
  </si>
  <si>
    <t>INTERVENTORÍAS Y CONSULTORÍAS S.A.S</t>
  </si>
  <si>
    <t>PAF-MENPNIE-I-025-2024</t>
  </si>
  <si>
    <t>008-2025</t>
  </si>
  <si>
    <t>CONSORCIO INTERVENTORÍA 5T-CCA 025</t>
  </si>
  <si>
    <t>PAF-MENPNIE-O-019-2025</t>
  </si>
  <si>
    <t>007-2025</t>
  </si>
  <si>
    <t>CONSORCIO OBRA INSTITUCIONAL TOTORO 2025</t>
  </si>
  <si>
    <t>PAF-MENPNIE-C-003-2024</t>
  </si>
  <si>
    <t>009-2025</t>
  </si>
  <si>
    <t>CONSORCIO MCHP LEGUIZAMO</t>
  </si>
  <si>
    <t>PAF-MENPNIE-O-083-2024</t>
  </si>
  <si>
    <t>005-2025</t>
  </si>
  <si>
    <t>CONSORCIO MCHP CARRASQUILLA</t>
  </si>
  <si>
    <t>18
192</t>
  </si>
  <si>
    <t>31/10/2023
01/04/2025</t>
  </si>
  <si>
    <t>1
193</t>
  </si>
  <si>
    <t>27/10/2023
01/04/2025</t>
  </si>
  <si>
    <t>47
194</t>
  </si>
  <si>
    <t>6/12/2023
02/04/2025</t>
  </si>
  <si>
    <t>40
119
197</t>
  </si>
  <si>
    <t>21/11/2023
11/06/2024
26/05/2025</t>
  </si>
  <si>
    <t>41
120
198</t>
  </si>
  <si>
    <t>TOTAL ABRIL/2025</t>
  </si>
  <si>
    <t xml:space="preserve">MUNICIPIO DE CONDOTO </t>
  </si>
  <si>
    <t>ID 296691, FACTURA CE 8, ACTA NO. 6 COMPONENTE II DEL CONTRATO DE INTERVENTORIA 021-2024,  ELABORACIÓN DE DIAGNÓSTICOS, ESTUDIOS TÉCNICOS, DISEÑOS Y EJECUCIÓN DE OBRAS DE MEJORAMIENTO Y/U OBRAS REQUERIDAS PARA LA INFRAESTRUCTURA EDUCATIVA Y SUMINISTRO E INSTALACIÓN DE AULAS Y/O BATERÍAS SANITARIAS, EN SED ES AFECTADAS POR EMERGENCIA - GRUPO 10,  PAGO FINAL SALDO COSTOS VARIABLES Y 10% FINAL</t>
  </si>
  <si>
    <t>ID 296358, FACTURA FE-16, ACTA NO. 8 COMPONENTE II AVANCE 16,37% DEL CONTRATO DE OBRA 010-2024,  MEJORAMIENTO Y/U OBRAS REQUERIDAS PARA LA INFRAESTRUCTURA EDUCATIVA Y SUMINISTRO E INSTALACIÓN DE AULAS Y/O BATERÍAS SANITARIAS, EN SEDES AFECTADAS POR EMERGENCIA - GRUPO 7, PERIODO DEL 01/04/2025 – 30/04/2025</t>
  </si>
  <si>
    <t>ID 296951, FACTURA FREL 110, ACTA NO. 8 COMPONENTE II DEL CONTRATO DE INTERVENTORIA 009-2024,  MEJORAMIENTO Y/U OBRAS REQUERIDAS PARA LA INFRAESTRUCTURA EDUCATIVA Y SUMINISTRO E INSTALACIÓN DE AULAS Y/O BATERÍAS SANITARIAS, EN SEDES AFECTADAS POR EMERGENCIA - GRUPO 7, COSTO VARIABLE AVANCE DE OBRA 16,37% Y COSTOS FIJOS PERIODO DEL 01/04/2025 –30/04/2025</t>
  </si>
  <si>
    <t>ID 296698, FACTURA UTS 12, ACTA NO. 8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06/04/2025 AL 30/04/2025 Y COSTOS VARIABLES AVANCE DE OBRA 4,95%</t>
  </si>
  <si>
    <t>ID 297206, FACTURA FV3, ACTA 1 COMP I CTO OBRA 062-2024 CUYO OBJETO ES LA ELABORACIÓN DE DIAGNÓSTICOS, ESTUDIOS TÉCNICOS, DISEÑOS Y EJECUCIÓN DE OBRAS DE MEJORAMIENTO Y/U OBRAS REQUERIDAS PARA LA INFRAESTRUCTURA EDUCATIVA Y SUMINISTRO E INSTALACIÓN DE
AULAS Y/O BATERÍAS SANITARIAS, EN SEDES AFECTADAS POR EMERGENCIA - GRUPO 2. PERIODO 24 DE FEBRERO 2025 AL 30 DE ABRIL DE 2025</t>
  </si>
  <si>
    <t>ID 296952, FACTURA FE 2028, ACTA NO. 1 COMPONENTE 2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29/01/2025 A 31/03/2025</t>
  </si>
  <si>
    <t>ID 296955, FACTURA CCVA-1, ACTA 1 COMP I CTO INTERVENTORIA 063-2024 CUYO OBJETO ES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 PERIODO 24 DE FEBRERO 2025 AL 30 DE ABRIL DE 2025</t>
  </si>
  <si>
    <t>ID 296956, FACTURA HHDA - 82, ACTA NO. 8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4,95% PERIODO DEL 6/04/2025 A 30/04/2025</t>
  </si>
  <si>
    <t>ID 297216, FACTURA SERV NO.  551, ACTA NO. 3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01/04/2025 AL 30/04/2025. AVANCE DE OBRA 13,29%</t>
  </si>
  <si>
    <t>ID 298499, FACTURA 8, ACTA NO. 4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DEL 01 AL 30 DE ABRIL DE 2025. AVANCE DE OBRA 10,44%</t>
  </si>
  <si>
    <t>ID 297768, FACTURA FEET NO. 35, ACTA NO. 4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COSTOS FIJOS PERIODO DEL 01 AL 30 DE ABRIL DE 2025. COSTOS VARIABLES AVANCE DE OBRA 10,44%</t>
  </si>
  <si>
    <t>ID 296957, FACTURA FEV 14, ACTA NO. 9 COMPONENTE II DEL CONTRATO DE OBRA 014-2024,  PARA LA CONSTRUCCIÓN DE LA INSTITUCIÓN EDUCATIVA JOSÉ ANTONIO RICAURTE UBICADA EN EL MUNICIPIO DE IBAGUÉ, DEPARTAMENTO DEL TOLIMA, AVANCE 8,87% PERIODO DEL 01/04/2025 AL 30/04/2025</t>
  </si>
  <si>
    <t>ID 296958, FACTURA CE24 13, ACTA NO. 9 COMPONENTE II DEL CONTRATO DE INTERVENTORIA 011-2024,  PARA LA CONSTRUCCIÓN DE LA INSTITUCIÓN EDUCATIVA JOSÉ ANTONIO RICAURTE UBICADA EN EL MUNICIPIO DE IBAGUÉ, DEPARTAMENTO DEL TOLIMA,  COSTOS FIJOS 1 MES Y COSTOS VARIABLES AVANCE DE OBRA 8,87% PERIODO DEL 01/04/2025 AL 30/04/2025.</t>
  </si>
  <si>
    <t>ID 297220, FACTURA CDG 10, ACTA NO. 4 COMPONENTE II DEL CONTRATO DE INTERVENTORIA 004-2024, EJECUCIÓN DE OBRAS DE MEJORAMIENTO EN LAS INSTITUCIONES EDUCATIVAS OFICIALES DEL MUNICIPIO DE URIBIA, DEL DEPARTAMENTO DE LA GUAJIRA (GRUPO 21),  PERIODO DEL 21/02/2025 A 03/03/2025</t>
  </si>
  <si>
    <t>ID 296959, FACTURA CO 228, ACTAL NO. 7 FINAL DEL COMPONENTE II CORRESPONDIENTES AL CONTRATO DE INTERVENTORIA NO. 007-2023 (PAF-MENPNIE-I-085-2023)  INSTITUCIONES EDUCATIVAS OFICIALES DEL DEPARTAMENTO DE TOLIMA (GRUPO 1). CIERRE Y LIQUIDACIÓN CTO</t>
  </si>
  <si>
    <t>ID 296960, FACTURA CC NO. 1, DEVOLUCIÓN RETEGARANTÍA CONTRATO 007-2023, CUYO OBJETO FUE INSTITUCIONES EDUCATIVAS OFICIALES DEL DEPARTAMENTO DE TOLIMA (GRUPO 1), LIQUIDADO</t>
  </si>
  <si>
    <t>ID 296961, FACTURA FE 11, ACTA NO. 7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MARZO AL 16 DE ABRIL DE 2025. COSTO VARIABLE AVANCE OBRA 21,08%</t>
  </si>
  <si>
    <t>ID 298625, FACTURA FE 348, ACTA NO. 7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MARZO DE 2025 AL 16 DE ABRIL DE 2025. AVANCE DE OBRA 21,08%</t>
  </si>
  <si>
    <t>ID 297638, FACTURA C179, ACTA 1 COMP II CTO DE OBRA 005-2024 CUYO OBJETO ES LA ELABORACIÓN DE DIAGNÓSTICOS, ESTUDIOS TÉCNICOS, DISEÑOS Y EJECUCIÓN DE OBRAS DE MEJORAMIENTO EN LAS INSTITUCIONES EDUCATIVAS OFICIALES DEL DEPARTAMENTO DE NARIÑO (GRUPO 13), PRIORIZADAS POR EL MINISTERIO DE EDUCACIÓN NACIONAL Y VIABILIZADOS POR FINDETER. PERIODO 17 DE MARZO AL 31 DE MARZO DEL 2025. AVANCE DE OBRA 13,61%</t>
  </si>
  <si>
    <t>ID 297511, FACTURA FE 36, ACTA 4 COMPONENTE II  CTO INTERVENTORIA 023-2024 NSTITUCIONES EDUCATIVAS OFICIALES DEL MUNICIPIO DE MAICAO DEL DEPARTAMENTO DE LA GUAJIRA (GRUPO 23) COSTOS FIJOS PERIODO 01 DE MARZO AL 31 DE MARZO DE 2025</t>
  </si>
  <si>
    <t>ID 297512, FACTURA C180, PAGO ACTA 1 COMP I CTO OBRA 005-2024 CUYO OBJETO ES LA ELABORACIÓN DE DIAGNÓSTICOS, ESTUDIOS TÉCNICOS, DISEÑOS Y EJECUCIÓN DE OBRAS DE MEJORAMIENTO EN LAS INSTITUCIONES EDUCATIVAS OFICIALES DEL DEPARTAMENTO DE NARIÑO (GRUPO 13), PRIORIZADAS POR EL MINISTERIO DE EDUCACIÓN NACIONAL Y VIABILIZADOS POR FINDETER. PERIODO 30 DE ABRIL DE 2024 AL 03 DE ABRIL DE 2025</t>
  </si>
  <si>
    <t>ID 296589, FACTURA FE 11, ACTA NO. 5 COMPONENTE II DEL CONTRATO DE OBRA 024-2024, ELABORACIÓN DE DIAGNÓSTICOS, ESTUDIOS TÉCNICOS, DISEÑOS Y EJECUCIÓN DE OBRAS DE MEJORAMIENTO EN LAS INSTITUCIONES EDUCATIVAS OFICIALES DEL MUNICIPIO DE MAICAO DEL DEPARTAMENTO DE LA GUAJIRA (GRUPO 23), PERIODO DELDEL 01 AL 30 DE ABRIL DEL 2025. AVANCE DE OBRA 11,78% SOBRE TOTAL CTO</t>
  </si>
  <si>
    <t>ID 296591, FACTURA CUENTA DE COBRO 1, DEVOLUCIÓN RETEGARANTÍA CONTRATO 005-2023, CUYO OBJETO FUE INSTITUCIONES EDUCATIVAS OFICIALES  DEPARTAMENTOS DE CORDOBA Y ANTIOQUIA (GRUPO 10), LIQUIDADO</t>
  </si>
  <si>
    <t>ID 297224, FACTURA FE 10, ACTA NO. 7 COMPONENTE II DEL CONTRATO DE INTERVENTORIA 035-2024, ELABORACIÓN DE DIAGNÓSTICOS, ESTUDIOS TÉCNICOS, DISEÑOS Y EJECUCIÓN DE OBRAS DE MEJORAMIENTO EN LAS INSTITUCIONES EDUCATIVAS OFICIALES DE LA ETC RISARALDA (GRUPO 20), COSTOS FIJOS PERIODO DEL  22 DE MARZO AL 21 DE ABRIL DE 2025. COSTO VARIABLE AVANCE DE OBRA 11.74%</t>
  </si>
  <si>
    <t>ID 298426, FACTURA FEIN-8, ACTA NO. 4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01DE MARZO 2025 A 07 DE MARZO 2025, 08 DE ABRIL 2025 A 30 DE ABRIL 2025. COSTO VARIABLE AVANCE DE OBRA 16,42%</t>
  </si>
  <si>
    <t>ID 297875, FACTURA FEIN-7, ACTA NO. 1 COMPONENTE 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09 DE MAYO DE 2024 A 30 DE ABRIL DE 2025</t>
  </si>
  <si>
    <t>ID 297227, FACTURA C182, ACTA NO. 1 COMPONENTE I DEL CONTRATO DE OBRA 007-2024, INSTITUCIONES EDUCATIVAS OFICIALES  DE LOS MUNICIPIOS DE SEGOVIA Y NECHÍ DEL DEPARTAMENTO DE ANTIOQUIA (GRUPO 19), PERIODO 09 DE MAYO DE 2024 AL 30 DE ABRIL DE 2025</t>
  </si>
  <si>
    <t>ID 297646, FACTURA FELE-3, ACTA 1 FASE 1 CTO OBRA 064-2024 CUYO OBJETO ES LA ELABORACIÓN DE DIAGNÓSTICOS, ESTUDIOS TÉCNICOS, DISEÑOS Y EJECUCIÓN DE OBRAS DE MEJORAMIENTO EN LASINSTITUCIONES EDUCATIVAS OFICIALES DEL DEPARTAMENTO DE CAUCA (GRUPO 4), PRIORIZADAS POR EL MINISTERIO DE EDUCACION NACIONAL Y VIABILIZADOS POR FINDETER. PERIODO 13 DE ENERO 2025 A 21 DE ABRIL DE 2025</t>
  </si>
  <si>
    <t>ID 296963, FACTURA C181, ACTA NO. 4 COMPONENTE II AVANCE DE OBRA 16,42% DEL CONTRATO DE OBRA 007-2024, INSTITUCIONES EDUCATIVAS OFICIALES  DE LOS MUNICIPIOS DE SEGOVIA Y NECHÍ DEL DEPARTAMENTO DE ANTIOQUIA (GRUPO 19), PERIODO 01/03/2025 AL 07/03/2025 Y 08/04/2025 AL 30/04/2025</t>
  </si>
  <si>
    <t>ID 298331, FACTURA OM 4, ACTA NO. 5  COMPONENTE II DEL CONTRATO DE INTERVENTORIA 027-2024, INSTITUCIONES EDUCATIVAS OFICIALES DEL DEPARTAMENTO DEL VALLE DEL CAUCA (GRUPO 25), COSTOS FIJOS PERIODO DEL 27 DE MARZO AL 26 DE ABRIL DE 2025</t>
  </si>
  <si>
    <t>ID 297650, FACTURA FEIE 9, ACTA NO. 4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21/03/2025 – 02/05/2025. COSTOS VARIABLE AVANCE DE OBRA 13.00%</t>
  </si>
  <si>
    <t>ID 297873, FACTURA FECE 12, ACTA NO. 4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21/03/2025 – 02/05/2025. AVANCE DE OBRA 13,00 %</t>
  </si>
  <si>
    <t>ID 297515, FACTURA FE16, ACTA 1 FASE 1 CTO OBRA 065-2024 CUYO OBJETO ES INTERVENTORIA A LA ELABORACIÓN DE DIAGNÓSTICOS, ESTUDIOS TÉCNICOS, DISEÑOS Y EJECUCIÓN DE OBRAS DE MEJORAMIENTO EN LASINSTITUCIONES EDUCATIVAS OFICIALES DEL DEPARTAMENTO DE CAUCA (GRUPO 4), PRIORIZADAS POR EL MINISTERIO DE EDUCACION NACIONAL Y VIABILIZADOS POR FINDETER. PERIODO 13 DE ENERO 2025 A 21 DE ABRIL DE 2025</t>
  </si>
  <si>
    <t>ID 297230, FACTURA UT 10, ACTA NO. 7 COMPONENTE II DEL CONTRATO DE OBRA 034-2024, ELABORACIÓN DE DIAGNÓSTICOS, ESTUDIOS TÉCNICOS, DISEÑOS Y EJECUCIÓN DE OBRAS DE MEJORAMIENTO EN LAS INSTITUCIONES EDUCATIVAS OFICIALES DE LA ETC RISARALDA (GRUPO 20), PERIODO DEL 22 DE MARZO DE 2025 AL 16 DE ABRIL DE 2025. AVANCE DE OBRA 11,74%</t>
  </si>
  <si>
    <t xml:space="preserve">ID 297361, FACTURA 5220, ACTA NO. 2 COMPONENTE II DEL CONTRATO DE OBRA 036-2024,  CUYO OBJETO ES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PERIODO DEL 27 DE MARZO DE 2025 – 30 DE ABRIL DE 2025. AVANCE DE OBRA 27,11% </t>
  </si>
  <si>
    <t>ID 297513, FACTURA FEV 5, ACTA NO. 3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COSTOS FIJOS PERIODO DEL 1 DE MARZO AL 30 DE ABRIL DEL 2025</t>
  </si>
  <si>
    <t xml:space="preserve">ID 296836, REINTEGRO DE MAYOR VALOR DESCONTADO EN FACTURA FE 347 POR CONCEPTO DE MAYOR PERMANENCIA CONTRATO DE INTERVENTORIA </t>
  </si>
  <si>
    <t xml:space="preserve">ID 296834,  REINTEGRO DE MAYOR VALOR DESCONTADO EN FACTURA FACTURA FE 32, POR CONCEPTO DE MAYOR PERMANENCIA CONTRATO DE INTERVENTORIA </t>
  </si>
  <si>
    <t xml:space="preserve">PAGO ESTAMPILLA CONTRIBUCION DE OBRA PUBLICA      </t>
  </si>
  <si>
    <t>REVERSION PAGO RAD 48 -03/17 RETEICA MENSUAL PATRIMONIO AUTÓNOMO DE MARZO DE OTRA SUBCUENTA</t>
  </si>
  <si>
    <t>LIQUIDADO MAYO 2025</t>
  </si>
  <si>
    <t xml:space="preserve">INGRESOS RECIBIDOS PARA TERCEROS (DESCUENTOS MAYOR PERMANENCIA INTERVENTORIA Y APREMIOS) </t>
  </si>
  <si>
    <t>48
164
186
195
199</t>
  </si>
  <si>
    <t>14/12/2023
22/10/2024
21/02/2025
11/04/2025
27/06/2025</t>
  </si>
  <si>
    <t>50
165
196
200</t>
  </si>
  <si>
    <t>18/12/2023
22/10/2024
11/04/2025
27/06/2025</t>
  </si>
  <si>
    <t>LIQUIDADO JUNIO 2025</t>
  </si>
  <si>
    <t>TOTAL MAYO/2025</t>
  </si>
  <si>
    <t>MUNICIPIO DE LOPEZ</t>
  </si>
  <si>
    <t>MUNICIPIO DE BALBOA</t>
  </si>
  <si>
    <t xml:space="preserve">ID 301205, FACTURA FE 38, ACTA 5 COMPONENTE II  CTO INTERVENTORIA 023-2024 NSTITUCIONES EDUCATIVAS OFICIALES DEL MUNICIPIO DE MAICAO DEL DEPARTAMENTO DE LA GUAJIRA (GRUPO 23) COSTOS FIJOS PERIODO 01 DE ABRIL AL 30 DE ABRIL DE 2025 </t>
  </si>
  <si>
    <t>ID 300520, FACTURA CUENTA DE COBRO 1, DEVOLUCIÓN RETEGARANTIA CTO DE OBRA NO. 015-2023 INSTITUCIONES EDUCATIVAS OFICIALES DEL DEPARTAMENTO DE CAUCA (GRUPO 5) LIQUIDADO</t>
  </si>
  <si>
    <t>ID 301103, FACTURA FEV 6, ACTA NO. 5- COBRO 4 COMPONENTE II DEL CONTRATO DE INTERVENTORIA 039-2024,  CUYO OBJETO ES INTERVENTORÍA INTEGRAL TÉCNICA, ADMINISTRATIVA, FINANCIERA, CONTABLE, AMBIENTAL, SOCIAL Y JURÍDICA) PARA LA ELABORACIÓN DE DIAGNÓSTICOS, ESTUDIOS TÉCNICOS, DISEÑOS Y EJECUCIÓN DE OBRAS DE MEJORAMIENTO EN LAS INSTITUCIONES EDUCATIVAS OFICIALES DE LOS DEPARTAMENTOS DE GUAVIARE, CAQUETÁ Y META GRUPO 24, PRIORIZADAS POR EL MINISTERIO DE EDUCACIÓN NACIONAL Y VIABILIZADOS POR FINDETER”, COSTOS VARIABLES AVANCE DE OBRA  27,11% PERIODO DEL 1 DE AL 30 DE ABRIL DEL 2025</t>
  </si>
  <si>
    <t>ID 300345, FACTURA CUENTA DE COBRO 1, DEVOLUCIÓN RETEGARANTIA CONTRATO DE OBRA  002-2023, INSTITUCIONES EDUCATIVAS OFICIALES  DEPARTAMENTO DE ARAUCA (GRUPO 2), LIQUIDADO</t>
  </si>
  <si>
    <t>ID 301206, FACTURA FE 13, ACTA NO. 8 COMPONENTE II DEL CONTRATO DE INTERVENTORIA 035-2024, ELABORACIÓN DE DIAGNÓSTICOS, ESTUDIOS TÉCNICOS, DISEÑOS Y EJECUCIÓN DE OBRAS DE MEJORAMIENTO EN LAS INSTITUCIONES EDUCATIVAS OFICIALES DE LA ETC RISARALDA (GRUPO 20), COSTOS FIJOS PERIODO DEL  22 DE ABRIL AL 21 DE MAYO DE 2025. COSTO VARIABLE AVANCE DE OBRA 3.24%</t>
  </si>
  <si>
    <t>ID 301207, FACTURA UT 14, COMPLENTO ACTA NO. 7 COMPONENTE II DEL CONTRATO DE OBRA 034-2024, ELABORACIÓN DE DIAGNÓSTICOS, ESTUDIOS TÉCNICOS, DISEÑOS Y EJECUCIÓN DE OBRAS DE MEJORAMIENTO EN LAS INSTITUCIONES EDUCATIVAS OFICIALES DE LA ETC RISARALDA (GRUPO 20), PERIODO DEL 22 DE MARZO DE 2025 AL 16 DE ABRIL DE 2025. AVANCE DE OBRA 3,24%</t>
  </si>
  <si>
    <t>ID 301457, FACTURA FECE13, ACTA NO. 5 COMPONENTE II DEL CONTRATO DE OBRA 043-2024,  CUYO OBJETO ES ELABORACIÓN DE DIAGNÓSTICOS, ESTUDIOS TÉCNICOS, DISEÑOS Y EJECUCIÓN DE OBRAS DE MEJORAMIENTO EN LAS INSTITUCIONES EDUCATIVAS OFICIALES DE LOS MUNICIPIOS DE SUÁREZ Y BUENOS AIRES, DEPARTAMENTO DEL CAUCA (GRUPO 6), PERIODO DEL 03/05/2025 – 17/05/2025. AVANCE DE OBRA 3.20 %</t>
  </si>
  <si>
    <t>ID 301105, FACTURA FEIE 10, ACTA NO. 5 COMPONENTE II DEL CONTRATO DE INTERVENTORIA 046-2024,  CUYO OBJETO ES INTERVENTORÍA INTEGRAL PARA LA ELABORACIÓN DE DIAGNÓSTICOS, ESTUDIOS TÉCNICOS, DISEÑOS Y EJECUCIÓN DE OBRAS DE MEJORAMIENTO EN LAS INSTITUCIONES EDUCATIVAS OFICIALES DE LOS MUNICIPIOS DE SUÁREZ Y BUENOS AIRES, DEPARTAMENTO DEL CAUCA (GRUPO 6), COSTOS FIJOS PERIODO DEL 03/05/2025 – 17/05/2025. COSTOS VARIABLE AVANCE DE OBRA 3.20%</t>
  </si>
  <si>
    <t>ID 301106, FACTURA FE 17, ACTA 1 FASE 2 CTO OBRA 065-2024 CUYO OBJETO ES INTERVENTORIA A LA ELABORACIÓN DE DIAGNÓSTICOS, ESTUDIOS TÉCNICOS, DISEÑOS Y EJECUCIÓN DE OBRAS DE MEJORAMIENTO EN LASINSTITUCIONES EDUCATIVAS OFICIALES DEL DEPARTAMENTO DE CAUCA (GRUPO 4), PRIORIZADAS POR EL MINISTERIO DE EDUCACION NACIONAL Y VIABILIZADOS POR FINDETER. COSTOS FIJOS PERIODO 01 DE ABRIL AL 31 DE MAYO DE 2025. COSTOS VARIABLES AVANCE DE OBRA 17,61%</t>
  </si>
  <si>
    <t>ID 301108, FACTURA FE 6, ACTA NO. 4 COMPONENTE II DEL CONTRATO DE OBRA 028-2024, ELABORACIÓN DE DIAGNÓSTICOS, ESTUDIOS TÉCNICOS, DISEÑOS Y EJECUCIÓN DE OBRAS DE MEJORAMIENTO EN LAS INSTITUCIONES EDUCATIVAS OFICIALES DEL DEPARTAMENTO DEL VALLE DEL CAUCA (GRUPO 25), PERIODO 01/03/2025 AL 31/05/2025. AVANCE DE OBRA 11,82%</t>
  </si>
  <si>
    <t>ID 301109, FACTURA FELE-4, ACTA 1 FASE 2 CTO OBRA 064-2024 CUYO OBJETO ES LA ELABORACIÓN DE DIAGNÓSTICOS, ESTUDIOS TÉCNICOS, DISEÑOS Y EJECUCIÓN DE OBRAS DE MEJORAMIENTO EN LASINSTITUCIONES EDUCATIVAS OFICIALES DEL DEPARTAMENTO DE CAUCA (GRUPO 4), PRIORIZADAS POR EL MINISTERIO DE EDUCACION NACIONAL Y VIABILIZADOS POR FINDETER. PERIODO 1 DE ABRIL 2025 A 31 DE MAYO DE 2025. AVANDE DE OBRA 17,61%</t>
  </si>
  <si>
    <t>ID 301208, FACTURA G13 2, ACTA 1 ETAPA 1 CTO INTERVENTORIA 006-2024 PARA LA ELABORACIÓN DE DIAGNÓSTICOS, ESTUDIOS TÉCNICOS, DISEÑOS Y EJECUCIÓN DE OBRAS DE MEJORAMIENTO EN LAS INSTITUCIONES EDUCATIVAS OFICIALES DEL DEPARTAMENTO DE NARIÑO (GRUPO 13) PERIODO 30 DE ABRIL DEL 2024 AL 03 DE ABRIL DEL 2025</t>
  </si>
  <si>
    <t>ID 301110, FACTURA CDG 12, ACTA NO. 5 COMPONENTE II DEL CONTRATO DE INTERVENTORIA 004-2024, EJECUCIÓN DE OBRAS DE MEJORAMIENTO EN LAS INSTITUCIONES EDUCATIVAS OFICIALES DEL MUNICIPIO DE URIBIA, DEL DEPARTAMENTO DE LA GUAJIRA (GRUPO 21),  PERIODO DEL 21/02/2025 - 3/03/2025</t>
  </si>
  <si>
    <t>ID 301111, FACTURA FE 350, ACTA NO. 8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ABRIL DE 2025 AL 16 DE MAYO DE 2025. AVANCE DE OBRA 10,70%</t>
  </si>
  <si>
    <t>ID 301112, FACTURA FE 12, ACTA NO. 8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FIJO PERIODO DEL 17 DE ABRIL AL 16 DE MAYO DE 2025. COSTO VARIABLE AVANCE OBRA 10,70%</t>
  </si>
  <si>
    <t>ID 301113, FACTURA SIT 4359, ACTA NO. 3 COMPONENTE II DEL CONTRATO DE OBRA 003-2024 AVANCE 2,95% , ELABORACION DE DIAGNÓSTICOS, ESTUDIOS TÉCNICOS, DISEÑOS Y EJECUCIÓN DE OBRAS DE MEJORAMIENTO EN LAS INSTITUCIONES EDUCATIVAS OFICIALES DEL MUNICIPIO DE URIBIA DEL DEPARTAMENTO DE LA GUAJIRA (GRUPO 21),  PERIODO 21/02/2025 - 3/03/2025</t>
  </si>
  <si>
    <t>ID 301415, FACTURA CUENTA DE COBRO 1, DEVOLUCIÓN RETEGARANTIA CTO DE OBRA NO. 015-2023 INSTITUCIONES EDUCATIVAS OFICIALES DEL DEPARTAMENTO DE CAUCA (GRUPO 5) LIQUIDADO</t>
  </si>
  <si>
    <t>ID 301117, FACTURA UTES 16, ACTA NO. 6 COMPONENTE II DEL CONTRATO DE OBRA 026-2024, ELABORACIÓN DE DIAGNÓSTICOS, ESTUDIOS TÉCNICOS, DISEÑOS Y EJECUCIÓN DE OBRAS DE MEJORAMIENTO EN LAS INSTITUCIONES EDUCATIVAS OFICIALES DEL DEPARTAMENTO DE NORTE DE SANTANDER (GRUPO 15),  AVANCE DE OBRA 3,23% PERIODO DEL 07/04/2025 AL 13/04/2025 Y DEL 04/05/2025 AL 05/05/2025</t>
  </si>
  <si>
    <t xml:space="preserve">ID 301209, FACTURA CSM 21, ACTA NO. 6 COMPONENTE II DEL CONTRATO DE INTERVENTORIA 025-2024,  ELABORACIÓN DE DIAGNÓSTICOS, ESTUDIOS TÉCNICOS, DISEÑOS Y EJECUCIÓN DE OBRAS DE MEJORAMIENTO EN LAS INSTITUCIONES EDUCATIVAS OFICIALES DEL DEPARTAMENTO DE NORTE DE SANTANDER (GRUPO 15), COSTOS FIJOS PERIODO DEL 7/04/2025 AL 13/04/2025 Y 4/05/2025 AL 5/05/2025. COSTOS VARIABLES AVANCE DE OBRA 3,23% </t>
  </si>
  <si>
    <t xml:space="preserve">ID 301118, FACTURA OM 5, ACTA NO. 6  COMPONENTE II DEL CONTRATO DE INTERVENTORIA 027-2024, INSTITUCIONES EDUCATIVAS OFICIALES DEL DEPARTAMENTO DEL VALLE DEL CAUCA (GRUPO 25), COSTOS FIJOS PERIODO DEL 27 DE ABRIL AL 26 DE MAYO DE 2025. </t>
  </si>
  <si>
    <t>ID 301431, FACTURA SIT 4360, ACTA NO. 4 COMPONENTE II DEL CONTRATO DE OBRA 003-2024 AVANCE 4,01% , ELABORACION DE DIAGNÓSTICOS, ESTUDIOS TÉCNICOS, DISEÑOS Y EJECUCIÓN DE OBRAS DE MEJORAMIENTO EN LAS INSTITUCIONES EDUCATIVAS OFICIALES DEL MUNICIPIO DE URIBIA DEL DEPARTAMENTO DE LA GUAJIRA (GRUPO 21),  PERIODO 02/06/2025 – 10/06/2025</t>
  </si>
  <si>
    <t>ID 300352, FACTURA HHDA - 84, ACTA NO. 9 COMPONENTE II DEL CONTRATO DE OBRA 013-2024,  ELABORACIÓN DE DIAGNÓSTICOS, ESTUDIOS TÉCNICOS, DISEÑOS Y EJECUCIÓN DE OBRAS DE MEJORAMIENTO Y/U OBRAS REQUERIDAS PARA LA INFRAESTRUCTURA EDUCATIVA Y SUMINISTRO E INSTALACIÓN DE AULAS Y/O BATERÍAS SANITARIAS, EN SEDES AFECTADAS POR EMERGENCIA - GRUPO 3, AVANCE DE OBRA 4,15% PERIODO DEL 1/05/2025 A 18/05/2025</t>
  </si>
  <si>
    <t>ID 301210, FACTURA SERV NO. 563, ACTA NO. 4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01/05/2025 AL 30/05/2025. AVANCE DE OBRA 5,60%</t>
  </si>
  <si>
    <t>ID 301120, FACTURA CCVA-4, ACTA 1 COMP II CTO INTERVENTORIA 063-2024 CUYO OBJETO ES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2. PERIODO 1 AL 31 DE MAYO DE 2025</t>
  </si>
  <si>
    <t>ID 300522, FACTURA FE-17, ACTA NO. 9 COMPONENTE II AVANCE 8,26% DEL CONTRATO DE OBRA 010-2024,  MEJORAMIENTO Y/U OBRAS REQUERIDAS PARA LA INFRAESTRUCTURA EDUCATIVA Y SUMINISTRO E INSTALACIÓN DE AULAS Y/O BATERÍAS SANITARIAS, EN SEDES AFECTADAS POR EMERGENCIA - GRUPO 7, PERIODO DEL 01/05/2025 – 31/05/2025</t>
  </si>
  <si>
    <t>ID 301803, FACTURA FREL 120, ACTA NO. 9 COMPONENTE II DEL CONTRATO DE INTERVENTORIA 009-2024,  MEJORAMIENTO Y/U OBRAS REQUERIDAS PARA LA INFRAESTRUCTURA EDUCATIVA Y SUMINISTRO E INSTALACIÓN DE AULAS Y/O BATERÍAS SANITARIAS, EN SEDES AFECTADAS POR EMERGENCIA - GRUPO 7, COSTO VARIABLE AVANCE DE OBRA Y COSTOS FIJOS PERIODO DEL 01/05/2025 –31/05/2025</t>
  </si>
  <si>
    <t>ID 301122, FACTURA FE 2063, ACTA NO. 2 COMPONENTE 2 DEL CONTRATO DE INTERVENTORIA 051-2024,  CUYO OBJETO ES NTERVENTORÍA INTEGRAL (TÉCNICA, ADMINISTRATIVA, FINANCIERA, CONTABLE, AMBIENTAL, SOCIAL Y JURÍDICA) PARA LA ELABORACIÓN DE DIAGNÓSTICOS, ESTUDIOS TÉCNICOS, DISEÑOS Y EJECUCIÓN DE OBRAS DE MEJORAMIENTO Y/U OBRAS REQUERIDAS PARA LA INFRAESTRUCTURA EDUCATIVA Y SUMINISTRO E INSTALACIÓN DE AULAS Y/O BATERÍAS SANITARIAS, EN SEDES AFECTADAS POR EMERGENCIA - GRUPO 5”.,  PERIODO DEL 01/05/2025 A 31/05/2025</t>
  </si>
  <si>
    <t>ID 301123, FACTURA FE 5, ACTA NO. 2 COMPONENTE II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01 DE FEBRERO AL 18 DE FEBRERO DE 2025, 11 DE MARZO AL 18 DE MARZO DE 2025 Y DEL 06 DE MAYO AL 31 DE MAYO DE 2025</t>
  </si>
  <si>
    <t>ID 301124, FACTURA FV 7, ACTA 1 COMP II CTO OBRA 062-2024 CUYO OBJETO ES LA ELABORACIÓN DE DIAGNÓSTICOS, ESTUDIOS TÉCNICOS, DISEÑOS Y EJECUCIÓN DE OBRAS DE MEJORAMIENTO Y/U OBRAS REQUERIDAS PARA LA INFRAESTRUCTURA EDUCATIVA Y SUMINISTRO E INSTALACIÓN DE AULAS Y/O BATERÍAS SANITARIAS, EN SEDES AFECTADAS POR EMERGENCIA - GRUPO 2. PERIODO 01 DE MAYO 2025 AL 31 DE MAYO DE 2025. AVANCE DE OBRA 14,42 %</t>
  </si>
  <si>
    <t>ID 300348, FACTURA UTS 13, ACTA NO. 9 COMPONENTE II DEL CONTRATO DE INTERNVENTORÍA 012-2024,  PARA LA ELABORACIÓN DE DIAGNÓSTICOS, ESTUDIOS TÉCNICOS, DISEÑOS Y EJECUCIÓN DE OBRAS DE MEJORAMIENTO Y/U OBRAS REQUERIDAS PARA LA INFRAESTRUCTURA EDUCATIVA Y SUMINISTRO E INSTALACIÓN DE AULAS Y/O BATERÍAS SANITARIAS, EN SEDES AFECTADAS POR EMERGENCIA - GRUPO 3, COSTOS FIJOS PERIODO DEL 01/05/2025 AL 20/05/2025 Y COSTOS VARIABLES AVANCE DE OBRA 4,15%</t>
  </si>
  <si>
    <t>ID 302024, FACTURA FEET NO. 38, ACTA NO. 5 COBRO 1 COMPONENTE 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AGOSTO DE 2024 AL 31 DE MAYO DE 2025</t>
  </si>
  <si>
    <t>ID 301418, FACTURA 13, ACTA NO. 5 COBRO 1 COMPONENTE 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20 DE AGOSTO DE 2024 AL 31 DE MAYO DE 2025</t>
  </si>
  <si>
    <t>VALOR PRESUPUESTO</t>
  </si>
  <si>
    <t>VALOR CONTRATACIÓN DERIVADA</t>
  </si>
  <si>
    <t>VALOR ASISTENCIA TECNICA</t>
  </si>
  <si>
    <t>TOTAL COMPROMETIDO</t>
  </si>
  <si>
    <t>% EJECUTADO (Comprometido)</t>
  </si>
  <si>
    <t>54
177
201</t>
  </si>
  <si>
    <t>21/12/2023
19/12/2024
04/07/2025</t>
  </si>
  <si>
    <t>25
202</t>
  </si>
  <si>
    <t>7/11/2023
28/07/2025</t>
  </si>
  <si>
    <t>LIQUIDADO JULIO 2025</t>
  </si>
  <si>
    <t>TOTAL JUNIO/2025</t>
  </si>
  <si>
    <t>FACTURA CUENTA DE COBRO 1, DEVOLUCIÓN RETEGARANTÍA Contrato de Obra 022-2024,  ELABORACIÓN DE DIAGNÓSTICOS, ESTUDIOS TÉCNICOS, DISEÑOS Y EJECUCIÓN DE OBRAS DE MEJORAMIENTO Y/U OBRAS REQUERIDAS PARA LA  INFRAESTRUCTURA EDUCATIVA Y SUMINISTRO E INSTALACIÓN DE AULAS Y/O BATERÍAS SANITARIAS, EN SEDES AFECTADAS POR EMERGENCIA - GRUPO 10,  LIQUIDADO. APLICAR RETEGARANTIA DEL 10%, ES DECIR 146549142</t>
  </si>
  <si>
    <t>FACTURA SERV No. 573, Acta No. 5 Componente II del Contrato de Obra 050-2024,  ELABORACIÓN DE DIAGNÓSTICOS, ESTUDIOS TÉCNICOS, DISEÑOS Y EJECUCIÓN DE OBRAS DE MEJORAMIENTO Y/U OBRAS REQUERIDAS PARA LA INFRAESTRUCTURA EDUCATIVA Y SUMINISTRO E INSTALACIÓN DE AULAS Y/O BATERÍAS SANITARIAS, EN SEDES AFECTADAS POR EMERGENCIA - GRUPO 5,  Periodo del 01/06/2025 al 27/06/2025. AVANCE DE OBRA 23,29%. APLICAR RETEGARANTIA DEL 10%, ES DECIR 45749286</t>
  </si>
  <si>
    <t>FACTURA FE-18, Acta No. 10 Componente II Avance 9,45% del Contrato de Obra 010-2024,  MEJORAMIENTO Y/U OBRAS REQUERIDAS PARA LA INFRAESTRUCTURA EDUCATIVA Y SUMINISTRO E INSTALACIÓN DE AULAS Y/O BATERÍAS SANITARIAS, EN SEDES AFECTADAS POR EMERGENCIA - GRUPO 7, Periodo del 01/06/2025 – 30/06/2025. APLICAR RETEGARANTIA DEL 10%, ES DECIR 98768157,38</t>
  </si>
  <si>
    <t>FACTURA FREL 122, Acta No. 10 Componente II del Contrato de Interventoria 009-2024,  MEJORAMIENTO Y/U OBRAS REQUERIDAS PARA LA INFRAESTRUCTURA EDUCATIVA Y SUMINISTRO E INSTALACIÓN DE AULAS Y/O BATERÍAS SANITARIAS, EN SEDES AFECTADAS POR EMERGENCIA - GRUPO 7, Costo Variable Avance de Obra y Costos Fijos Periodo del 01/06/2025 –30/06/2025. APLICAR RETEGARANTIA DEL 10%, ES DECIR 4007544,15</t>
  </si>
  <si>
    <t>FACTURA FE 2092, Acta No. 3 Componente 2 del Contrato de Interventoria 051-2024,  cuyo objeto es INTERVENTORÍA PARA LA ELABORACIÓN DE DIAGNÓSTICOS, ESTUDIOS TÉCNICOS, DISEÑOS Y EJECUCIÓN DE OBRAS DE MEJORAMIENTO Y/U OBRAS REQUERIDAS PARA LA INFRAESTRUCTURA EDUCATIVA Y SUMINISTRO E INSTALACIÓN DE AULAS Y/O BATERÍAS SANITARIAS, EN SEDES AFECTADAS POR EMERGENCIA - GRUPO 5”.,  Periodo del 01/06/2025 a 27/06/2025. APLICAR RETEGARANTIA DEL 10%, ES DECIR 5188219,25</t>
  </si>
  <si>
    <t>FACTURA FV 8, ACTA 2 COMP II CTO OBRA 062-2024 CUYO OBJETO ES LA ELABORACIÓN DE DIAGNÓSTICOS, ESTUDIOS TÉCNICOS, DISEÑOS Y EJECUCIÓN DE OBRAS DE MEJORAMIENTO Y/U OBRAS REQUERIDAS PARA LA INFRAESTRUCTURA EDUCATIVA Y SUMINISTRO E INSTALACIÓN DE AULAS Y/O BATERÍAS SANITARIAS, EN SEDES AFECTADAS POR EMERGENCIA - GRUPO 2. PERIODO 01 AL 30 DE JUNIO DE 2025. AVANCE DE OBRA 27,13 %. APLICAR RETEGARANTIA DEL 10%, ES DECIR 42068138,8</t>
  </si>
  <si>
    <t>FACTURA 14, Acta No. 6 Cobro 4 Componente II del Contrato de Obra para la ELABORACIÓN DE DIAGNÓSTICOS, ESTUDIOS TÉCNICOS, DISEÑOS Y EJECUCIÓN DE OBRAS DE MEJORAMIENTO Y/U OBRAS REQUERIDAS PARA LA INFRAESTRUCTURA EDUCATIVA Y SUMINISTRO E INSTALACIÓN DE AULAS Y/O BATERÍAS SANITARIAS, EN SEDES AFECTADAS POR EMERGENCIA – GRUPO 6”,  Periodo Del 01 de mayo al 18 de junio de 2025. APLICAR RETEGARANTIA DEL 10%, ES DECIR 47636542,004</t>
  </si>
  <si>
    <t>FACTURA FEET No. 40, Acta No. 6 Cobro 4 Componente II  del Contrato de Interventoria  033-2024 para la ELABORACIÓN DE DIAGNÓSTICOS, ESTUDIOS TÉCNICOS, DISEÑOS Y EJECUCIÓN DE OBRAS DE MEJORAMIENTO Y/U OBRAS REQUERIDAS PARA LA INFRAESTRUCTURA EDUCATIVA Y SUMINISTRO E INSTALACIÓN DE AULAS Y/O BATERÍAS SANITARIAS, EN SEDES AFECTADAS POR EMERGENCIA – GRUPO 6”,  Periodo del 01 de mayo al 18 de junio de 2025. APLICAR RETEGARANTIA DEL 10%, ES DECIR 7547345,87</t>
  </si>
  <si>
    <t>FACTURA CCVA-6, ACTA 2 COMP II CTO 063-2024 CUYO OBJETO ES INTERVENTORIA PARA LA ELABORACIÓN DE DIAGNÓSTICOS, ESTUDIOS TÉCNICOS, DISEÑOS Y EJECUCIÓN DE OBRAS DE MEJORAMIENTO Y/U OBRAS REQUERIDAS PARA LA INFRAESTRUCTURA EDUCATIVA Y SUMINISTRO E INSTALACIÓN DE AULAS Y/O BATERÍAS SANITARIAS, EN SEDES AFECTADAS POR EMERGENCIA - GRUPO 2. PERIODO 1 al 30 de junio de 2025. APLICAR RETEGARANTIA DEL 10%, ES DECIR 6778811,24</t>
  </si>
  <si>
    <t>FACTURA FE 6, Acta No. 3 Componente II del Contrato de Interventoria 044-2024,  ELABORACIÓN DE DIAGNÓSTICOS, ESTUDIOS TÉCNICOS, DISEÑOS Y EJECUCIÓN DE OBRAS DE MEJORAMIENTO Y/U OBRAS REQUERIDAS PARA LA INFRAESTRUCTURA EDUCATIVA Y SUMINISTRO E INSTALACIÓN DE AULAS Y/O BATERÍAS SANITARIAS, EN SEDES AFECTADAS POR EMERGENCIA – GRUPO 4, Periodo del 01 DE JUNIO AL 30 DE JUNIO DE 2025. APLICAR RETEGARANTIA DEL 10%, ES DECIR 3076972,64</t>
  </si>
  <si>
    <t>FACTURA OCFV-5, Acta No. 1 Componente II del Contrato de Obra 045-2024,  ELABORACIÓN DE DIAGNÓSTICOS, ESTUDIOS TÉCNICOS, DISEÑOS Y EJECUCIÓN DE OBRAS DE MEJORAMIENTO Y/U OBRAS REQUERIDAS PARA LA INFRAESTRUCTURA EDUCATIVA Y SUMINISTRO E INSTALACIÓN DE AULAS Y/O BATERÍAS SANITARIAS, EN SEDES AFECTADAS POR EMERGENCIA – GRUPO 4, Periodo del DEL 6 DE MAYO DE 2025 AL 30 DE JUNIO DE 2025. AVANCE DE OBRA 5,59%. APLICAR RETEGARANTIA DEL 10%, ES DECIR 8667281,83</t>
  </si>
  <si>
    <t>FACTURA CUENTA DE COBRO 1, DEVOLUCIÓN RETEGARANTÍA Contrato 010-2023, INSTITUCIONES EDUCATIVAS OFICIALES  DEPARTAMENTOS DE CORDOBA Y ANTIOQUIA (GRUPO 10), LIQUIDADO. APLICAR RETEGARANTIA DEL 10%, ES DECIR 26778425,42</t>
  </si>
  <si>
    <t>FACTURA CO 235, ACTA 6 COMP 2 Contrato 010-2023, INSTITUCIONES EDUCATIVAS OFICIALES  DEPARTAMENTOS DE CORDOBA Y ANTIOQUIA (GRUPO 10), PAGO FINAL CONTRA ACTA DE LIQUIDACIÓN . APLICAR RETEGARANTIA DEL 10%, ES DECIR 0</t>
  </si>
  <si>
    <t>FACTURA FE 14, Acta No. 9 Componente II del Contrato de Interventoria 035-2024, ELABORACIÓN DE DIAGNÓSTICOS, ESTUDIOS TÉCNICOS, DISEÑOS Y EJECUCIÓN DE OBRAS DE MEJORAMIENTO EN LAS INSTITUCIONES EDUCATIVAS OFICIALES DE LA ETC RISARALDA (GRUPO 20), COSTOS FIJOS Periodo del  22 DE MAYO AL 16 DE JUNIO DE 2025. APLICAR RETEGARANTIA DEL 10%, ES DECIR 589086,53</t>
  </si>
  <si>
    <t>FACTURA FEIN-10, Acta No. 5 Componente II del Contrato de Interventoría 008-2024, ELABORACIÓN DE DIAGNÓSTICOS, ESTUDIOS TÉCNICOS, DISEÑOS Y EJECUCIÓN DE OBRAS DE MEJORAMIENTO EN LAS INSTITUCIONES EDUCATIVAS OFICIALESDE MUNICIPIOS DE SEGOVIA Y NECHÍ DEL DEPARTAMENTO DE ANTIOQUIA (GRUPO 19), PRIORIZADAS POR EL MINISTERIO DE EDUCACIÓN NACIONAL Y VIABILIZADOS POR FINDETER, PERIODO 01de mayo 2025 a 30 de junio 2025. COSTO VARIABLE AVANCE DE OBRA 15,63%. APLICAR RETEGARANTIA DEL 10%, ES DECIR 5555082,11</t>
  </si>
  <si>
    <t>FACTURA FE 7, Acta No. 5 Componente II del Contrato de Obra 028-2024, ELABORACIÓN DE DIAGNÓSTICOS, ESTUDIOS TÉCNICOS, DISEÑOS Y EJECUCIÓN DE OBRAS DE MEJORAMIENTO EN LAS INSTITUCIONES EDUCATIVAS OFICIALES DEL DEPARTAMENTO DEL VALLE DEL CAUCA (GRUPO 25), Periodo 01/06/2025 al 30/06/2025. AVANCE DE OBRA 11,59%. APLICAR RETEGARANTIA DEL 10%, ES DECIR 70267755,47</t>
  </si>
  <si>
    <t>FACTURA OM 7, Acta No. 7  Componente II del Contrato de Interventoria 027-2024, Instituciones Educativas Oficiales Del Departamento Del Valle Del Cauca (Grupo 25), Costos Fijos Periodo del 27 DE MAYO AL 26 DE JUNIO DE 2025. APLICAR RETEGARANTIA DEL 10%, ES DECIR 6328854,6</t>
  </si>
  <si>
    <t>FACTURA CUENTA DE COBRO 1, DEVOLUCIÓN RETEGARANTIA Contrato 001-2024, INSTITUCIONES EDUCATIVAS OFICIALES  DEPARTAMENTO DE LA GUAJIRA (GRUPO 22) LIQUIDADO. APLICAR RETEGARANTIA DEL 10%, ES DECIR 341085284,6</t>
  </si>
  <si>
    <t>FACTURA FE 411, ACTA 1 ETAPA 1 CTO INTERVENTORIA 047-2024 PARA LA ELABORACIÓN DE DIAGNÓSTICOS, ESTUDIOS TÉCNICOS, DISEÑOS Y EJECUCIÓN DE OBRAS DE MEJORAMIENTO EN LAS INSTITUCIONES EDUCATIVAS OFICIALES DEL DEPARTAMENTO DE NARIÑO (GRUPO 12), PERIODO 30 DE DICIEMBRE 2024 AL 19 DE MAYO DE 2025. APLICAR RETEGARANTIA DEL 10%, ES DECIR 3003000</t>
  </si>
  <si>
    <t>FACTURA FE 353, Complemento Acta No. 8 Componente II del Contrato de Obra 038-2024, ELABORACIÓN DE DIAGNÓSTICOS, ESTUDIOS TÉCNICOS, DISEÑOS Y EJECUCIÓN DE OBRAS DE MEJORAMIENTO EN LAS INSTITUCIONES EDUCATIVAS OFICIALESDE LA ETC RISARALDA (GRUPO 26), PRIORIZADAS POR EL MINISTERIO DE EDUCACIÓN NACIONAL Y VIABILIZADOS POR FINDETER, Periodo 17 DE ABRIL DE 2025 AL 16 DE MAYO DE 2025. AVANCE DE OBRA 2,8%. APLICAR RETEGARANTIA DEL 10%, ES DECIR 14415167,2</t>
  </si>
  <si>
    <t>FACTURA C 184, Acta No. 5 Componente II AVANCE DE OBRA 15,61% del Contrato de Obra 007-2024, INSTITUCIONES EDUCATIVAS OFICIALES  DE LOS MUNICIPIOS DE SEGOVIA Y NECHÍ DEL DEPARTAMENTO DE ANTIOQUIA (GRUPO 19), PERIODO 01/05/2025 al 30/06/2025. APLICAR RETEGARANTIA DEL 10%, ES DECIR 75569212,96</t>
  </si>
  <si>
    <t>FACTURA FE -18, ACTA No. 11 FINAL COMPONENTE II DEL CONTRATO DE INTERVENTORÍA No. 016-2023 INSTITUCIONES EDUCATIVAS OFICIALES DEL DEPARTAMENTO DE CAUCA (GRUPO 5) . CIERRE Y LIQUIDACIÓN . APLICAR RETEGARANTIA DEL 10%, ES DECIR 0</t>
  </si>
  <si>
    <t>FACTURA CUENTA DE COBRO 1, DEVOLUCIÓN RETEGARANTÍA DEL CONTRATO DE INTERVENTORÍA No. 016-2023 INSTITUCIONES EDUCATIVAS OFICIALES DEL DEPARTAMENTO DE CAUCA (GRUPO 5) . LIQUIDADO. APLICAR RETEGARANTIA DEL 10%, ES DECIR 26144483,43</t>
  </si>
  <si>
    <t>FACTURA C 185, ACTA 2 COMP II CTO DE OBRA 005-2024 CUYO OBJETO ES LA ELABORACIÓN DE DIAGNÓSTICOS, ESTUDIOS TÉCNICOS, DISEÑOS Y EJECUCIÓN DE OBRAS DE MEJORAMIENTO EN LAS INSTITUCIONES EDUCATIVAS OFICIALES DEL DEPARTAMENTO DE NARIÑO (GRUPO 13), PRIORIZADAS POR EL MINISTERIO DE EDUCACIÓN NACIONAL Y VIABILIZADOS POR FINDETER. PERIODO 01 DE ABRIL AL 30 DE JUNIO DEL 2025. AVANCE DE OBRA 11,17%. APLICAR RETEGARANTIA DEL 10%, ES DECIR 48078152,91</t>
  </si>
  <si>
    <t>FACTURA FEV-3, ACTA 1 COMP I CONTRATO DE INTERVENTORÍA No. 052-PAF-MENPNIE-I-091-2023, CUYO OBJETO ES LA INTERVENTORÍAINTEGRAL PARA LAELABORACIÓN DE  DIAGNÓSTICOS, ESTUDIOS TÉCNICOS, DISEÑOS Y EJECUCIÓN DE OBRAS DE MEJORAMIENTO EN LAS INSTITUCIONES EDUCATIVAS OFICIALES DEL DEPARTAMENTO DE CHOCÓ (GRUPO 8), PERIODO 03 DE FEBRERO DE 2025 – 03 MARZO DE 2025. APLICAR RETEGARANTIA DEL 10%, ES DECIR 3244932,65</t>
  </si>
  <si>
    <t>FACTURA CPFE 3, ACTA 1 COMP I CONTRATO DE OBRA No. 049-PAF-MENPNIE-O-125-2024, CUYO OBJETO ES LA ELABORACIÓN DE  DIAGNÓSTICOS, ESTUDIOS TÉCNICOS, DISEÑOS Y EJECUCIÓN DE OBRAS DE MEJORAMIENTO EN LAS INSTITUCIONES EDUCATIVAS OFICIALES DEL DEPARTAMENTO DE CHOCÓ (GRUPO 8), PERIODO 03 DE FEBRERO DE 2025 – 03 MARZO DE 2025. APLICAR RETEGARANTIA DEL 10%, ES DECIR 3921960</t>
  </si>
  <si>
    <t>FACTURA CUENTA DE COBRO 1, Devolución Retegarantía Contrato 013-2023, INSTITUCIONES EDUCATIVAS OFICIALES  DEPARTAMENTO DEL CÓRDOBA (GRUPO 11), LIQUIDADO. APLICAR RETEGARANTIA DEL 10%, ES DECIR 784656453,3</t>
  </si>
  <si>
    <t>FACTURA FE 19, ACTA 2 FASE 2 CTO OBRA 065-2024 CUYO OBJETO ES INTERVENTORIA A LA ELABORACIÓN DE DIAGNÓSTICOS, ESTUDIOS TÉCNICOS, DISEÑOS Y EJECUCIÓN DE OBRAS DE MEJORAMIENTO EN LASINSTITUCIONES EDUCATIVAS OFICIALES DEL DEPARTAMENTO DE CAUCA (GRUPO 4). COSTOS FIJOS PERIODO 01 DE JUNIO AL 30 DE JUNIO DE 2025. APLICAR RETEGARANTIA DEL 10%, ES DECIR 3282257,87</t>
  </si>
  <si>
    <t>FACTURA FE 14, Complemento Acta No. 8 Componente II del Contrato de Interventoría 037-2024, ELABORACIÓN DE DIAGNÓSTICOS, ESTUDIOS TÉCNICOS, DISEÑOS Y EJECUCIÓN DE OBRAS DE MEJORAMIENTO EN LAS INSTITUCIONES EDUCATIVAS OFICIALESDE LA ETC RISARALDA (GRUPO 26), PRIORIZADAS POR EL MINISTERIO DE EDUCACIÓN NACIONAL Y VIABILIZADOS POR FINDETER, COSTO VARIABE Periodo del 17 DE ABRIL AL 16 DE MAYO DE 2025. APLICAR RETEGARANTIA DEL 10%, ES DECIR 275263,18</t>
  </si>
  <si>
    <t>FACTURA CDG 15, Acta No. 6 Componente II del Contrato de Interventoria 004-2024, EJECUCIÓN DE OBRAS DE MEJORAMIENTO EN LAS INSTITUCIONES EDUCATIVAS OFICIALES DEL MUNICIPIO DE URIBIA, DEL DEPARTAMENTO DE LA GUAJIRA (GRUPO 21),  Periodo del 02/06/2025 - 1/07/2025. APLICAR RETEGARANTIA DEL 10%, ES DECIR 2801842,41</t>
  </si>
  <si>
    <t>(*)CUENTAS X COBRAR- DETERIORO</t>
  </si>
  <si>
    <t>MUNICIPIO DE TIMBIQUI</t>
  </si>
  <si>
    <t>MUNICIPIO DE ROBERTO PAYAN</t>
  </si>
  <si>
    <t>MUNICIPIO DE PUERTO WILCHES-
SANTANDER</t>
  </si>
  <si>
    <t>MUNICIPIO DE BARBACOAS</t>
  </si>
  <si>
    <t>MUNICIPIO DE EL TAMBO-CAUCA</t>
  </si>
  <si>
    <t>MUNICIPIO DE ARGELIA- CAUCA</t>
  </si>
  <si>
    <t>U A E DIRECCION DE IMPUESTOS Y
ADUANAS NACIONALES</t>
  </si>
  <si>
    <t>RAD 9 -03/07 RTEICA BIMESTRAL PATRIMONIO AUTÓNOMO</t>
  </si>
  <si>
    <t>RAD 13 -03/07 RTEICA BIMESTRAL PATRIMONIO AUTÓNOMO</t>
  </si>
  <si>
    <t>RAD 5 -03/07 RTEICA BIMESTRAL PATRIMONIO AUTÓNOMO</t>
  </si>
  <si>
    <t>RAD 23 -04/07 RTEICA MENSUAL PATRIMONIO AUTÓNOMO</t>
  </si>
  <si>
    <t>RAD 25 -04/07 RTEICA BIMESTRAL PATRIMONIO AUTÓNOMO</t>
  </si>
  <si>
    <t>RAD 31 -04/07 RTEICA BIMESTRAL PATRIMONIO AUTÓNOMO</t>
  </si>
  <si>
    <t>RAD 16 -04/07 RTEICA BIMESTRAL PATRIMONIO AUTÓNOMO</t>
  </si>
  <si>
    <t>RAD 38 -04/07 RTEICA MENSUAL PATRIMONIO AUTÓNOMO</t>
  </si>
  <si>
    <t>RAD 39 -04/07 SOBRETASA BOMBERIL MENSUAL PATRIMONIO AUTÓNOMO</t>
  </si>
  <si>
    <t>RAD 40 -04/07 AVISOS Y TABLEROS MENSUAL PATRIMONIO AUTÓNOMO</t>
  </si>
  <si>
    <t>RAD 1 -07/07 RTEICA MENSUAL PATRIMONIO AUTÓNOMO</t>
  </si>
  <si>
    <t>RAD 8 -07/07 RTEICA BIMESTRAL PATRIMONIO AUTÓNOMO</t>
  </si>
  <si>
    <t>RAD 10 -07/07 AVISOS Y TABLEROS BIMESTRAL PATRIMONIO AUTÓNOMO</t>
  </si>
  <si>
    <t>RAD 15 -07/07 RTEICA MENSUAL PATRIMONIO AUTÓNOMO</t>
  </si>
  <si>
    <t>RAD 22 -07/07 RTEICA BIMESTRAL PATRIMONIO AUTÓNOMO</t>
  </si>
  <si>
    <t>RAD 40 -07/07 RTEICA BIMESTRAL PATRIMONIO AUTÓNOMO</t>
  </si>
  <si>
    <t>RAD 45 -07/07 RTEICA BIMESTRAL PATRIMONIO AUTÓNOMO</t>
  </si>
  <si>
    <t>RAD 46 -07/07 SOBRETASA BOMBERIL BIMESTRAL PATRIMONIO AUTÓNOMO</t>
  </si>
  <si>
    <t>RAD 50 -07/07 RTEICA MENSUAL PATRIMONIO AUTÓNOMO</t>
  </si>
  <si>
    <t>RAD 28 -07/07 RTEICA BIMESTRAL PATRIMONIO AUTÓNOMO</t>
  </si>
  <si>
    <t>RAD 61 -07/07 RTEICA BIMESTRAL PATRIMONIO AUTÓNOMO </t>
  </si>
  <si>
    <t>RAD 64 -07/07 RTEICA MENSUAL PATRIMONIO AUTÓNOMO</t>
  </si>
  <si>
    <t>RAD 79 / 07 / 07 / RTEICA BIMESTRAL PATRIMONIO AUTÓNOMO</t>
  </si>
  <si>
    <t>RAD 90 / 07 / 07 / RTEICA BIMESTRAL PATRIMONIO AUTÓNOMO</t>
  </si>
  <si>
    <t>RAD 72 -07/07 RTEICA BIMESTRAL PATRIMONIO AUTÓNOMO</t>
  </si>
  <si>
    <t>RAD 96 - 07/07 RTEICA MENSUAL PATRIMONIO AUTÓNOMO</t>
  </si>
  <si>
    <t>RAD 82 / 07 / 07 / RTEICA MENSUAL PATRIMONIO AUTÓNOMO</t>
  </si>
  <si>
    <t>RAD 107 - 07/07 RTEICA MENSUAL PATRIMONIO AUTÓNOMO</t>
  </si>
  <si>
    <t>RAD 114 -07/07 RTEICA BIMESTRAL PATRIMONIO AUTÓNOMO</t>
  </si>
  <si>
    <t>RAD 125 -07/07 RTEICA BIMESTRAL PATRIMONIO AUTÓNOMO</t>
  </si>
  <si>
    <t>RAD 115 -07/07 RTEICA BIMESTRAL PATRIMONIO AUTÓNOMO</t>
  </si>
  <si>
    <t>RAD 15 - 08/07 RTEICA BIMESTRAL PATRIMONIO AUTÓNOMO</t>
  </si>
  <si>
    <t>RAD 36 / 07 / 08 / CONTRIBUCION DE OBRA MENSUAL PATRIMONIO AUTÓNOMO</t>
  </si>
  <si>
    <t>RAD 33 - 09/07 RTEICA BIMESTRAL PATRIMONIO AUTÓNOMO</t>
  </si>
  <si>
    <t>RAD 36 - 09/07 RTEICA MENSUAL PATRIMONIO AUTÓNOMO</t>
  </si>
  <si>
    <t>RAD 13 -09/07 RTEICA BIMESTRAL PATRIMONIO AUTÓNOMO</t>
  </si>
  <si>
    <t>RAD 1 -10/07 RTEICA BIMESTRAL PATRIMONIO AUTÓNOMO</t>
  </si>
  <si>
    <t>RAD 3 -10/07 RTEICA BIMESTRAL PATRIMONIO AUTÓNOMO</t>
  </si>
  <si>
    <t>RAD 10 -10/07 RTEICA BIMESTRAL PATRIMONIO AUTÓNOMO</t>
  </si>
  <si>
    <t>RAD 13 -10/07 SOBRETASA BOMBERIL BIMESTRAL PATRIMONIO AUTÓNOMO</t>
  </si>
  <si>
    <t>RAD 16 -10/07 AVISOS Y TABLEROS BIMESTRAL PATRIMONIO AUTÓNOMO</t>
  </si>
  <si>
    <t>RAD 37 10-07 ESTAMPILLA PROUNIVERSIDAD NACIONAL SEMESTRAL
PATRIMONIOS</t>
  </si>
  <si>
    <t>RAD 36 - 11/07 RTEICA SEMESTRAL PATRIMONIO AUTÓNOMO</t>
  </si>
  <si>
    <t>RAD 21 -11/07 RTEICA BIMESTRAL PATRIMONIO AUTÓNOMO</t>
  </si>
  <si>
    <t>RAD 59 11-07 RTEICA MENSUAL PATRIMONIO AUTÓNOMO</t>
  </si>
  <si>
    <t>RAD 63 11-07 RTEICA BIMESTRAL PATRIMONIO AUTÓNOMO</t>
  </si>
  <si>
    <t>RAD 12 -11/07 RTEICA MENSUAL PATRIMONIO AUTÓNOMO</t>
  </si>
  <si>
    <t>RAD 8 -14/07 RTEICA BIMESTRAL PATRIMONIO AUTÓNOMO</t>
  </si>
  <si>
    <t>RAD 9 -14/07 RTEICA BIMESTRAL PATRIMONIO AUTÓNOMO</t>
  </si>
  <si>
    <t>RAD 15 -14/07 RTEICA MENSUAL PATRIMONIO AUTÓNOMO</t>
  </si>
  <si>
    <t>RAD 21 -14/07 RTEICA BIMESTRAL PATRIMONIO AUTÓNOMO</t>
  </si>
  <si>
    <t>RAD 36 - 14/07 RTEICA BIMESTRAL PATRIMONIO AUTÓNOMO</t>
  </si>
  <si>
    <t>RAD 12 15-07 RTEICA SEMESTRAL PATRIMONIO AUTÓNOMO</t>
  </si>
  <si>
    <t>RAD 21 15-07 RTEICA MENSUAL PATRIMONIO AUTÓNOMO</t>
  </si>
  <si>
    <t>RAD 62 -15/07 IMPUESTO TIMBRE MENSUAL PATRIMONIOS</t>
  </si>
  <si>
    <t>RAD 10 -16/07 RTEICA BIMESTRAL PATRIMONIO AUTÓNOMO</t>
  </si>
  <si>
    <t>RAD 06 - 18/07 RETENCIÓN EN LA FUENTE MENSUAL PATRIMONIOS</t>
  </si>
  <si>
    <r>
      <t xml:space="preserve">(*)Se registra una cuenta por cobrar por valor de </t>
    </r>
    <r>
      <rPr>
        <b/>
        <sz val="11"/>
        <rFont val="Calibri"/>
        <family val="2"/>
        <scheme val="minor"/>
      </rPr>
      <t>$57.588,73</t>
    </r>
    <r>
      <rPr>
        <sz val="11"/>
        <rFont val="Calibri"/>
        <family val="2"/>
        <scheme val="minor"/>
      </rPr>
      <t xml:space="preserve">, correspondiente a un impuesto de Sobretasa Bomberil del Municipio de SAN BENITO ABAD que deben reintegrar los contratistas del Grupo 7 de la Linea de Emergencias, cuenta sobre la que se ha registrado deterioro al corte de junio por valor de $19.004,28 por tratarse de una cuenta registrada en diciembre de 2024 y conforme lo definido en la Circular Externa 030 de 2017 de la Superintendencia Financiera de Colombia. Así mismo se esta registrado Deterioro de cuentas por cobrar por concepto de impuestos de tiembre que fueorn registradas por la Fiduciaria cuya contrapartida es una cuenta por pagar de dicho impuestos, la cual es registrada como control en los Estados Financieros del Patrimonio Autónomo y que sestan siendo objeto de validación por parte de la Fiduciaria; para ajuste en los siguientes meses. </t>
    </r>
  </si>
  <si>
    <t>APREMIOS APLICADOS A CONTRATISTAS
(J)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</si>
</sst>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_);_(* \(#,##0\);_(* &quot;-&quot;??_);_(@_)"/>
    <numFmt numFmtId="167" formatCode="_(&quot;C$&quot;* #,##0.00_);_(&quot;C$&quot;* \(#,##0.00\);_(&quot;C$&quot;* &quot;-&quot;??_);_(@_)"/>
    <numFmt numFmtId="168" formatCode="dd/mm/yyyy;@"/>
    <numFmt numFmtId="169" formatCode="_ [$€-2]\ * #,##0.00_ ;_ [$€-2]\ * \-#,##0.00_ ;_ [$€-2]\ * &quot;-&quot;??_ "/>
    <numFmt numFmtId="170" formatCode="_-* #,##0.00_-;\-* #,##0.00_-;_-* &quot;-&quot;_-;_-@_-"/>
    <numFmt numFmtId="171" formatCode="_(* #,##0_);_(* \(#,##0\);_(* &quot;-&quot;_);_(@_)"/>
    <numFmt numFmtId="172" formatCode="_-&quot;$&quot;* #,##0.00_-;\-&quot;$&quot;* #,##0.00_-;_-&quot;$&quot;* &quot;-&quot;??_-;_-@_-"/>
    <numFmt numFmtId="173" formatCode="0.0%"/>
    <numFmt numFmtId="174" formatCode="d\ &quot;de&quot;\ mmmm\ &quot;de&quot;\ yyyy"/>
    <numFmt numFmtId="175" formatCode="_(* #,##0.0_);_(* \(#,##0.0\);_(* &quot;-&quot;??_);_(@_)"/>
  </numFmts>
  <fonts count="4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u/>
      <sz val="11"/>
      <color theme="10"/>
      <name val="Calibri"/>
      <family val="2"/>
      <scheme val="minor"/>
    </font>
    <font>
      <sz val="10"/>
      <name val="Arial"/>
      <family val="2"/>
    </font>
    <font>
      <sz val="11"/>
      <name val="Calibri"/>
      <family val="2"/>
      <scheme val="minor"/>
    </font>
    <font>
      <sz val="11"/>
      <color theme="0"/>
      <name val="Calibri"/>
      <family val="2"/>
      <scheme val="minor"/>
    </font>
    <font>
      <b/>
      <sz val="1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1"/>
      <color indexed="8"/>
      <name val="Calibri"/>
      <family val="2"/>
    </font>
    <font>
      <sz val="10"/>
      <name val="Helv"/>
      <family val="2"/>
    </font>
    <font>
      <sz val="11"/>
      <color theme="1"/>
      <name val="Century Gothic"/>
      <family val="2"/>
    </font>
    <font>
      <b/>
      <sz val="11"/>
      <color theme="0" tint="-0.34998626667073579"/>
      <name val="Calibri"/>
      <family val="2"/>
      <scheme val="minor"/>
    </font>
    <font>
      <b/>
      <sz val="12"/>
      <color rgb="FF000000"/>
      <name val="Arial"/>
      <family val="2"/>
    </font>
    <font>
      <u/>
      <sz val="12"/>
      <color rgb="FF000000"/>
      <name val="Arial"/>
      <family val="2"/>
    </font>
    <font>
      <sz val="11"/>
      <color rgb="FF000000"/>
      <name val="Calibri"/>
      <family val="2"/>
    </font>
    <font>
      <b/>
      <sz val="11"/>
      <color rgb="FF000000"/>
      <name val="Calibri"/>
      <family val="2"/>
    </font>
    <font>
      <b/>
      <sz val="11"/>
      <color rgb="FFA6A6A6"/>
      <name val="Calibri"/>
      <family val="2"/>
    </font>
    <font>
      <sz val="11"/>
      <color rgb="FF000000"/>
      <name val="Calibri"/>
      <family val="2"/>
      <scheme val="minor"/>
    </font>
    <font>
      <b/>
      <sz val="18"/>
      <color theme="0"/>
      <name val="Calibri"/>
      <family val="2"/>
      <scheme val="minor"/>
    </font>
    <font>
      <sz val="11"/>
      <color rgb="FF00B050"/>
      <name val="Calibri"/>
      <family val="2"/>
      <scheme val="minor"/>
    </font>
    <font>
      <b/>
      <u/>
      <sz val="12"/>
      <color rgb="FF0070C0"/>
      <name val="Calibri"/>
      <family val="2"/>
      <scheme val="minor"/>
    </font>
    <font>
      <b/>
      <u val="double"/>
      <sz val="14"/>
      <color rgb="FF0070C0"/>
      <name val="Calibri"/>
      <family val="2"/>
      <scheme val="minor"/>
    </font>
    <font>
      <sz val="9"/>
      <color indexed="81"/>
      <name val="Tahoma"/>
      <family val="2"/>
    </font>
    <font>
      <b/>
      <sz val="9"/>
      <color indexed="81"/>
      <name val="Tahoma"/>
      <family val="2"/>
    </font>
    <font>
      <b/>
      <sz val="8"/>
      <color theme="0"/>
      <name val="Calibri"/>
      <family val="2"/>
      <scheme val="minor"/>
    </font>
    <font>
      <sz val="10"/>
      <color theme="0"/>
      <name val="Calibri"/>
      <family val="2"/>
      <scheme val="minor"/>
    </font>
  </fonts>
  <fills count="43">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rgb="FF000000"/>
      </patternFill>
    </fill>
    <fill>
      <patternFill patternType="solid">
        <fgColor theme="0"/>
        <bgColor rgb="FF000000"/>
      </patternFill>
    </fill>
    <fill>
      <patternFill patternType="solid">
        <fgColor theme="0" tint="-0.14999847407452621"/>
        <bgColor indexed="64"/>
      </patternFill>
    </fill>
    <fill>
      <patternFill patternType="solid">
        <fgColor indexed="9"/>
        <bgColor indexed="64"/>
      </patternFill>
    </fill>
    <fill>
      <patternFill patternType="solid">
        <fgColor theme="0" tint="-4.9989318521683403E-2"/>
        <bgColor indexed="64"/>
      </patternFill>
    </fill>
    <fill>
      <patternFill patternType="solid">
        <fgColor rgb="FF0B5DB8"/>
        <bgColor indexed="64"/>
      </patternFill>
    </fill>
    <fill>
      <patternFill patternType="solid">
        <fgColor rgb="FF0B5DB8"/>
        <bgColor rgb="FF000000"/>
      </patternFill>
    </fill>
    <fill>
      <patternFill patternType="solid">
        <fgColor theme="0" tint="-0.14999847407452621"/>
        <bgColor rgb="FF000000"/>
      </patternFill>
    </fill>
    <fill>
      <patternFill patternType="solid">
        <fgColor theme="5" tint="0.39997558519241921"/>
        <bgColor indexed="64"/>
      </patternFill>
    </fill>
  </fills>
  <borders count="3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diagonal/>
    </border>
    <border>
      <left style="thin">
        <color auto="1"/>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4">
    <xf numFmtId="0" fontId="0" fillId="0" borderId="0"/>
    <xf numFmtId="165" fontId="1" fillId="0" borderId="0" applyFont="0" applyFill="0" applyBorder="0" applyAlignment="0" applyProtection="0"/>
    <xf numFmtId="0" fontId="9" fillId="0" borderId="0" applyNumberFormat="0" applyFill="0" applyBorder="0" applyAlignment="0" applyProtection="0"/>
    <xf numFmtId="167" fontId="10" fillId="0" borderId="0" applyFont="0" applyFill="0" applyBorder="0" applyAlignment="0" applyProtection="0"/>
    <xf numFmtId="0" fontId="14" fillId="0" borderId="0" applyNumberFormat="0" applyFill="0" applyBorder="0" applyAlignment="0" applyProtection="0"/>
    <xf numFmtId="0" fontId="15" fillId="0" borderId="1" applyNumberFormat="0" applyFill="0" applyAlignment="0" applyProtection="0"/>
    <xf numFmtId="0" fontId="16" fillId="0" borderId="2" applyNumberFormat="0" applyFill="0" applyAlignment="0" applyProtection="0"/>
    <xf numFmtId="0" fontId="17" fillId="0" borderId="3" applyNumberFormat="0" applyFill="0" applyAlignment="0" applyProtection="0"/>
    <xf numFmtId="0" fontId="17" fillId="0" borderId="0" applyNumberFormat="0" applyFill="0" applyBorder="0" applyAlignment="0" applyProtection="0"/>
    <xf numFmtId="0" fontId="18" fillId="3" borderId="0" applyNumberFormat="0" applyBorder="0" applyAlignment="0" applyProtection="0"/>
    <xf numFmtId="0" fontId="19" fillId="4" borderId="0" applyNumberFormat="0" applyBorder="0" applyAlignment="0" applyProtection="0"/>
    <xf numFmtId="0" fontId="20" fillId="5" borderId="0" applyNumberFormat="0" applyBorder="0" applyAlignment="0" applyProtection="0"/>
    <xf numFmtId="0" fontId="21" fillId="6" borderId="4" applyNumberFormat="0" applyAlignment="0" applyProtection="0"/>
    <xf numFmtId="0" fontId="22" fillId="7" borderId="5" applyNumberFormat="0" applyAlignment="0" applyProtection="0"/>
    <xf numFmtId="0" fontId="23" fillId="7" borderId="4" applyNumberFormat="0" applyAlignment="0" applyProtection="0"/>
    <xf numFmtId="0" fontId="24" fillId="0" borderId="6" applyNumberFormat="0" applyFill="0" applyAlignment="0" applyProtection="0"/>
    <xf numFmtId="0" fontId="2" fillId="8" borderId="7" applyNumberFormat="0" applyAlignment="0" applyProtection="0"/>
    <xf numFmtId="0" fontId="25" fillId="0" borderId="0" applyNumberFormat="0" applyFill="0" applyBorder="0" applyAlignment="0" applyProtection="0"/>
    <xf numFmtId="0" fontId="1" fillId="9" borderId="8" applyNumberFormat="0" applyFont="0" applyAlignment="0" applyProtection="0"/>
    <xf numFmtId="0" fontId="26" fillId="0" borderId="0" applyNumberFormat="0" applyFill="0" applyBorder="0" applyAlignment="0" applyProtection="0"/>
    <xf numFmtId="0" fontId="3" fillId="0" borderId="9" applyNumberFormat="0" applyFill="0" applyAlignment="0" applyProtection="0"/>
    <xf numFmtId="0" fontId="12"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2" fillId="33" borderId="0" applyNumberFormat="0" applyBorder="0" applyAlignment="0" applyProtection="0"/>
    <xf numFmtId="0" fontId="1" fillId="0" borderId="0"/>
    <xf numFmtId="43" fontId="1" fillId="0" borderId="0" applyFont="0" applyFill="0" applyBorder="0" applyAlignment="0" applyProtection="0"/>
    <xf numFmtId="0" fontId="10" fillId="0" borderId="0"/>
    <xf numFmtId="0" fontId="28" fillId="0" borderId="0"/>
    <xf numFmtId="169" fontId="10" fillId="0" borderId="0" applyFont="0" applyFill="0" applyBorder="0" applyAlignment="0" applyProtection="0"/>
    <xf numFmtId="43" fontId="10" fillId="0" borderId="0" applyFont="0" applyFill="0" applyBorder="0" applyAlignment="0" applyProtection="0"/>
    <xf numFmtId="164" fontId="10" fillId="0" borderId="0" applyFont="0" applyFill="0" applyBorder="0" applyAlignment="0" applyProtection="0"/>
    <xf numFmtId="0" fontId="27" fillId="0" borderId="0"/>
    <xf numFmtId="0" fontId="10" fillId="0" borderId="0"/>
    <xf numFmtId="9" fontId="10" fillId="0" borderId="0" applyFont="0" applyFill="0" applyBorder="0" applyAlignment="0" applyProtection="0"/>
    <xf numFmtId="164" fontId="1" fillId="0" borderId="0" applyFont="0" applyFill="0" applyBorder="0" applyAlignment="0" applyProtection="0"/>
    <xf numFmtId="164" fontId="10" fillId="0" borderId="0" applyFont="0" applyFill="0" applyBorder="0" applyAlignment="0" applyProtection="0"/>
    <xf numFmtId="0" fontId="29" fillId="0" borderId="0"/>
    <xf numFmtId="164" fontId="29"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171" fontId="1"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301">
    <xf numFmtId="0" fontId="0" fillId="0" borderId="0" xfId="0"/>
    <xf numFmtId="0" fontId="5" fillId="0" borderId="0" xfId="0" applyFont="1" applyAlignment="1">
      <alignment horizontal="center"/>
    </xf>
    <xf numFmtId="0" fontId="3" fillId="0" borderId="0" xfId="0" applyFont="1"/>
    <xf numFmtId="14" fontId="3" fillId="0" borderId="0" xfId="0" applyNumberFormat="1" applyFont="1"/>
    <xf numFmtId="0" fontId="11" fillId="0" borderId="0" xfId="0" applyFont="1" applyAlignment="1">
      <alignment horizontal="center" vertical="center"/>
    </xf>
    <xf numFmtId="0" fontId="5" fillId="0" borderId="0" xfId="0" applyFont="1" applyAlignment="1">
      <alignment horizontal="justify" wrapText="1"/>
    </xf>
    <xf numFmtId="0" fontId="11" fillId="2" borderId="0" xfId="0" applyFont="1" applyFill="1"/>
    <xf numFmtId="0" fontId="5" fillId="2" borderId="0" xfId="0" applyFont="1" applyFill="1"/>
    <xf numFmtId="0" fontId="5" fillId="2" borderId="0" xfId="0" applyFont="1" applyFill="1" applyAlignment="1">
      <alignment horizontal="center"/>
    </xf>
    <xf numFmtId="0" fontId="4" fillId="0" borderId="0" xfId="0" applyFont="1"/>
    <xf numFmtId="0" fontId="4" fillId="2" borderId="0" xfId="0" applyFont="1" applyFill="1"/>
    <xf numFmtId="0" fontId="4" fillId="2" borderId="0" xfId="0" applyFont="1" applyFill="1" applyAlignment="1">
      <alignment vertical="center"/>
    </xf>
    <xf numFmtId="0" fontId="5" fillId="0" borderId="0" xfId="0" applyFont="1" applyAlignment="1">
      <alignment horizontal="center" vertical="center"/>
    </xf>
    <xf numFmtId="0" fontId="5" fillId="0" borderId="0" xfId="0" applyFont="1"/>
    <xf numFmtId="0" fontId="6" fillId="0" borderId="0" xfId="0" applyFont="1" applyAlignment="1">
      <alignment horizontal="center"/>
    </xf>
    <xf numFmtId="0" fontId="5" fillId="0" borderId="0" xfId="0" applyFont="1" applyAlignment="1">
      <alignment horizontal="justify"/>
    </xf>
    <xf numFmtId="0" fontId="5" fillId="0" borderId="0" xfId="0" applyFont="1" applyAlignment="1">
      <alignment horizontal="right"/>
    </xf>
    <xf numFmtId="0" fontId="5" fillId="2" borderId="0" xfId="0" applyFont="1" applyFill="1" applyAlignment="1">
      <alignment horizontal="center" vertical="center"/>
    </xf>
    <xf numFmtId="0" fontId="5" fillId="2" borderId="0" xfId="0" applyFont="1" applyFill="1" applyAlignment="1">
      <alignment horizontal="justify"/>
    </xf>
    <xf numFmtId="0" fontId="3" fillId="0" borderId="0" xfId="0" applyFont="1" applyAlignment="1">
      <alignment horizontal="center"/>
    </xf>
    <xf numFmtId="0" fontId="3" fillId="0" borderId="0" xfId="0" applyFont="1" applyAlignment="1">
      <alignment vertical="center"/>
    </xf>
    <xf numFmtId="0" fontId="30" fillId="2" borderId="0" xfId="0" applyFont="1" applyFill="1" applyAlignment="1">
      <alignment horizontal="right"/>
    </xf>
    <xf numFmtId="0" fontId="0" fillId="2" borderId="0" xfId="0" applyFill="1"/>
    <xf numFmtId="1" fontId="7" fillId="0" borderId="0" xfId="0" applyNumberFormat="1" applyFont="1"/>
    <xf numFmtId="0" fontId="0" fillId="2" borderId="0" xfId="0" applyFill="1" applyAlignment="1">
      <alignment horizontal="center"/>
    </xf>
    <xf numFmtId="170" fontId="0" fillId="2" borderId="0" xfId="0" applyNumberFormat="1" applyFill="1"/>
    <xf numFmtId="43" fontId="0" fillId="2" borderId="0" xfId="0" applyNumberFormat="1" applyFill="1"/>
    <xf numFmtId="0" fontId="0" fillId="0" borderId="0" xfId="0" applyAlignment="1">
      <alignment horizontal="center"/>
    </xf>
    <xf numFmtId="0" fontId="33" fillId="0" borderId="0" xfId="0" applyFont="1"/>
    <xf numFmtId="168" fontId="31" fillId="34" borderId="0" xfId="0" applyNumberFormat="1" applyFont="1" applyFill="1" applyAlignment="1">
      <alignment wrapText="1"/>
    </xf>
    <xf numFmtId="0" fontId="34" fillId="0" borderId="0" xfId="0" applyFont="1" applyAlignment="1">
      <alignment horizontal="center"/>
    </xf>
    <xf numFmtId="0" fontId="33" fillId="35" borderId="0" xfId="0" applyFont="1" applyFill="1"/>
    <xf numFmtId="0" fontId="34" fillId="0" borderId="0" xfId="0" applyFont="1"/>
    <xf numFmtId="0" fontId="34" fillId="0" borderId="0" xfId="0" applyFont="1" applyAlignment="1">
      <alignment vertical="center"/>
    </xf>
    <xf numFmtId="14" fontId="34" fillId="0" borderId="0" xfId="0" applyNumberFormat="1" applyFont="1"/>
    <xf numFmtId="0" fontId="35" fillId="34" borderId="0" xfId="0" applyFont="1" applyFill="1" applyAlignment="1">
      <alignment horizontal="right"/>
    </xf>
    <xf numFmtId="43" fontId="0" fillId="0" borderId="0" xfId="0" applyNumberFormat="1"/>
    <xf numFmtId="168" fontId="32" fillId="34" borderId="0" xfId="0" applyNumberFormat="1" applyFont="1" applyFill="1" applyAlignment="1">
      <alignment wrapText="1"/>
    </xf>
    <xf numFmtId="172" fontId="0" fillId="0" borderId="0" xfId="0" applyNumberFormat="1"/>
    <xf numFmtId="44" fontId="0" fillId="0" borderId="0" xfId="0" applyNumberFormat="1"/>
    <xf numFmtId="9" fontId="0" fillId="0" borderId="0" xfId="59" applyFont="1"/>
    <xf numFmtId="9" fontId="5" fillId="2" borderId="0" xfId="59" applyFont="1" applyFill="1"/>
    <xf numFmtId="165" fontId="0" fillId="2" borderId="0" xfId="1" applyFont="1" applyFill="1" applyBorder="1"/>
    <xf numFmtId="0" fontId="11" fillId="0" borderId="0" xfId="0" applyFont="1" applyAlignment="1" applyProtection="1">
      <alignment horizontal="center" vertical="center"/>
      <protection hidden="1"/>
    </xf>
    <xf numFmtId="0" fontId="11" fillId="0" borderId="0" xfId="0" applyFont="1" applyAlignment="1" applyProtection="1">
      <alignment horizontal="center" vertical="center" wrapText="1"/>
      <protection hidden="1"/>
    </xf>
    <xf numFmtId="3" fontId="11" fillId="0" borderId="0" xfId="0" applyNumberFormat="1" applyFont="1" applyAlignment="1" applyProtection="1">
      <alignment horizontal="right" vertical="center"/>
      <protection hidden="1"/>
    </xf>
    <xf numFmtId="3" fontId="11" fillId="0" borderId="0" xfId="2" applyNumberFormat="1" applyFont="1" applyFill="1" applyBorder="1" applyAlignment="1" applyProtection="1">
      <alignment horizontal="center" vertical="center" wrapText="1"/>
      <protection hidden="1"/>
    </xf>
    <xf numFmtId="3" fontId="11" fillId="0" borderId="0" xfId="0" applyNumberFormat="1" applyFont="1" applyAlignment="1" applyProtection="1">
      <alignment horizontal="center" vertical="center" wrapText="1"/>
      <protection hidden="1"/>
    </xf>
    <xf numFmtId="3" fontId="11" fillId="0" borderId="0" xfId="0" applyNumberFormat="1" applyFont="1" applyAlignment="1" applyProtection="1">
      <alignment horizontal="center" vertical="center"/>
      <protection hidden="1"/>
    </xf>
    <xf numFmtId="3" fontId="13" fillId="0" borderId="0" xfId="0" applyNumberFormat="1" applyFont="1" applyAlignment="1" applyProtection="1">
      <alignment vertical="center" wrapText="1"/>
      <protection hidden="1"/>
    </xf>
    <xf numFmtId="0" fontId="0" fillId="0" borderId="0" xfId="0" applyAlignment="1">
      <alignment vertical="center"/>
    </xf>
    <xf numFmtId="165" fontId="0" fillId="0" borderId="0" xfId="1" applyFont="1" applyFill="1" applyBorder="1"/>
    <xf numFmtId="0" fontId="0" fillId="2" borderId="0" xfId="0" applyFill="1" applyAlignment="1">
      <alignment horizontal="left" indent="1"/>
    </xf>
    <xf numFmtId="0" fontId="8" fillId="2" borderId="0" xfId="0" applyFont="1" applyFill="1"/>
    <xf numFmtId="165" fontId="5" fillId="2" borderId="0" xfId="1" applyFont="1" applyFill="1"/>
    <xf numFmtId="165" fontId="5" fillId="0" borderId="0" xfId="1" applyFont="1"/>
    <xf numFmtId="166" fontId="5" fillId="2" borderId="0" xfId="1" applyNumberFormat="1" applyFont="1" applyFill="1"/>
    <xf numFmtId="166" fontId="5" fillId="2" borderId="0" xfId="1" applyNumberFormat="1" applyFont="1" applyFill="1" applyAlignment="1">
      <alignment horizontal="center"/>
    </xf>
    <xf numFmtId="166" fontId="5" fillId="0" borderId="0" xfId="1" applyNumberFormat="1" applyFont="1"/>
    <xf numFmtId="166" fontId="5" fillId="0" borderId="0" xfId="1" applyNumberFormat="1" applyFont="1" applyAlignment="1">
      <alignment horizontal="center"/>
    </xf>
    <xf numFmtId="0" fontId="36" fillId="0" borderId="0" xfId="0" applyFont="1"/>
    <xf numFmtId="0" fontId="11" fillId="0" borderId="0" xfId="0" applyFont="1" applyAlignment="1">
      <alignment vertical="center"/>
    </xf>
    <xf numFmtId="0" fontId="36" fillId="0" borderId="0" xfId="0" applyFont="1" applyAlignment="1">
      <alignment vertical="center"/>
    </xf>
    <xf numFmtId="165" fontId="36" fillId="0" borderId="0" xfId="0" applyNumberFormat="1" applyFont="1" applyAlignment="1">
      <alignment vertical="center"/>
    </xf>
    <xf numFmtId="165" fontId="36" fillId="0" borderId="0" xfId="1" applyFont="1" applyFill="1" applyBorder="1" applyAlignment="1">
      <alignment vertical="center"/>
    </xf>
    <xf numFmtId="41" fontId="36" fillId="0" borderId="0" xfId="62" applyFont="1" applyFill="1" applyBorder="1" applyAlignment="1">
      <alignment vertical="center"/>
    </xf>
    <xf numFmtId="41" fontId="36" fillId="0" borderId="0" xfId="0" applyNumberFormat="1" applyFont="1" applyAlignment="1">
      <alignment vertical="center"/>
    </xf>
    <xf numFmtId="43" fontId="36" fillId="0" borderId="0" xfId="0" applyNumberFormat="1" applyFont="1" applyAlignment="1">
      <alignment vertical="center"/>
    </xf>
    <xf numFmtId="166" fontId="0" fillId="0" borderId="0" xfId="0" applyNumberFormat="1"/>
    <xf numFmtId="166" fontId="0" fillId="0" borderId="11" xfId="1" applyNumberFormat="1" applyFont="1" applyBorder="1" applyAlignment="1">
      <alignment horizontal="right" vertical="center"/>
    </xf>
    <xf numFmtId="166" fontId="0" fillId="0" borderId="10" xfId="1" applyNumberFormat="1" applyFont="1" applyBorder="1" applyAlignment="1">
      <alignment horizontal="right" vertical="center"/>
    </xf>
    <xf numFmtId="0" fontId="0" fillId="0" borderId="11" xfId="0" applyBorder="1"/>
    <xf numFmtId="14" fontId="0" fillId="0" borderId="13" xfId="0" applyNumberFormat="1" applyBorder="1" applyAlignment="1">
      <alignment horizontal="center" vertical="center" wrapText="1"/>
    </xf>
    <xf numFmtId="49" fontId="0" fillId="0" borderId="12" xfId="0" applyNumberFormat="1" applyBorder="1" applyAlignment="1" applyProtection="1">
      <alignment horizontal="center" vertical="center" wrapText="1"/>
      <protection locked="0"/>
    </xf>
    <xf numFmtId="49" fontId="0" fillId="37" borderId="12" xfId="0" applyNumberFormat="1" applyFill="1" applyBorder="1" applyAlignment="1" applyProtection="1">
      <alignment vertical="center" wrapText="1"/>
      <protection locked="0"/>
    </xf>
    <xf numFmtId="0" fontId="0" fillId="0" borderId="13" xfId="0" applyBorder="1" applyAlignment="1">
      <alignment horizontal="center" vertical="center"/>
    </xf>
    <xf numFmtId="0" fontId="0" fillId="0" borderId="13" xfId="0" applyBorder="1" applyAlignment="1">
      <alignment vertical="center" wrapText="1"/>
    </xf>
    <xf numFmtId="166" fontId="0" fillId="0" borderId="13" xfId="1" applyNumberFormat="1" applyFont="1" applyBorder="1" applyAlignment="1">
      <alignment vertical="center"/>
    </xf>
    <xf numFmtId="166" fontId="0" fillId="37" borderId="12" xfId="1" applyNumberFormat="1" applyFont="1" applyFill="1" applyBorder="1" applyAlignment="1" applyProtection="1">
      <alignment vertical="center" wrapText="1"/>
      <protection locked="0"/>
    </xf>
    <xf numFmtId="165" fontId="0" fillId="0" borderId="0" xfId="0" applyNumberFormat="1" applyAlignment="1">
      <alignment vertical="center"/>
    </xf>
    <xf numFmtId="166" fontId="11" fillId="2" borderId="13" xfId="1" applyNumberFormat="1" applyFont="1" applyFill="1" applyBorder="1" applyAlignment="1">
      <alignment vertical="center"/>
    </xf>
    <xf numFmtId="166" fontId="11" fillId="0" borderId="13" xfId="1" applyNumberFormat="1" applyFont="1" applyFill="1" applyBorder="1" applyAlignment="1">
      <alignment vertical="center"/>
    </xf>
    <xf numFmtId="166" fontId="13" fillId="2" borderId="13" xfId="1" applyNumberFormat="1" applyFont="1" applyFill="1" applyBorder="1" applyAlignment="1">
      <alignment vertical="center"/>
    </xf>
    <xf numFmtId="0" fontId="0" fillId="0" borderId="13" xfId="0" applyBorder="1" applyAlignment="1">
      <alignment horizontal="center" vertical="center" wrapText="1"/>
    </xf>
    <xf numFmtId="166" fontId="11" fillId="34" borderId="13" xfId="60" applyNumberFormat="1" applyFont="1" applyFill="1" applyBorder="1" applyAlignment="1">
      <alignment vertical="center" wrapText="1"/>
    </xf>
    <xf numFmtId="17" fontId="0" fillId="0" borderId="13" xfId="0" applyNumberFormat="1" applyBorder="1" applyAlignment="1">
      <alignment horizontal="center" vertical="center"/>
    </xf>
    <xf numFmtId="0" fontId="38" fillId="2" borderId="0" xfId="0" applyFont="1" applyFill="1" applyAlignment="1">
      <alignment horizontal="center" vertical="center" wrapText="1"/>
    </xf>
    <xf numFmtId="0" fontId="13" fillId="0" borderId="13" xfId="0" quotePrefix="1" applyFont="1" applyBorder="1" applyAlignment="1">
      <alignment horizontal="center" vertical="center" wrapText="1"/>
    </xf>
    <xf numFmtId="0" fontId="11" fillId="0" borderId="13" xfId="0" applyFont="1" applyBorder="1" applyAlignment="1">
      <alignment horizontal="center" vertical="center" wrapText="1" readingOrder="1"/>
    </xf>
    <xf numFmtId="0" fontId="11" fillId="0" borderId="13" xfId="0" applyFont="1" applyBorder="1" applyAlignment="1">
      <alignment horizontal="justify" vertical="center" wrapText="1"/>
    </xf>
    <xf numFmtId="0" fontId="11" fillId="0" borderId="13" xfId="0" applyFont="1" applyBorder="1" applyAlignment="1">
      <alignment horizontal="center" vertical="center" wrapText="1"/>
    </xf>
    <xf numFmtId="15" fontId="11" fillId="0" borderId="13" xfId="0"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0" fontId="11" fillId="0" borderId="13" xfId="0" applyFont="1" applyBorder="1" applyAlignment="1">
      <alignment horizontal="left" vertical="center" wrapText="1"/>
    </xf>
    <xf numFmtId="42" fontId="11" fillId="0" borderId="13" xfId="73" applyFont="1" applyFill="1" applyBorder="1" applyAlignment="1">
      <alignment horizontal="center" vertical="center" wrapText="1"/>
    </xf>
    <xf numFmtId="14" fontId="11" fillId="0" borderId="13" xfId="0" applyNumberFormat="1" applyFont="1" applyBorder="1" applyAlignment="1">
      <alignment horizontal="center" vertical="center" wrapText="1"/>
    </xf>
    <xf numFmtId="0" fontId="11" fillId="2" borderId="0" xfId="0" applyFont="1" applyFill="1" applyAlignment="1">
      <alignment horizontal="center" vertical="center" wrapText="1"/>
    </xf>
    <xf numFmtId="42" fontId="0" fillId="2" borderId="0" xfId="0" applyNumberFormat="1" applyFill="1"/>
    <xf numFmtId="0" fontId="3" fillId="0" borderId="13" xfId="0" applyFont="1" applyBorder="1"/>
    <xf numFmtId="165" fontId="13" fillId="2" borderId="13" xfId="1" applyFont="1" applyFill="1" applyBorder="1" applyAlignment="1">
      <alignment vertical="center"/>
    </xf>
    <xf numFmtId="165" fontId="0" fillId="0" borderId="0" xfId="0" applyNumberFormat="1"/>
    <xf numFmtId="44" fontId="33" fillId="0" borderId="0" xfId="0" applyNumberFormat="1" applyFont="1"/>
    <xf numFmtId="174" fontId="12" fillId="2" borderId="0" xfId="0" applyNumberFormat="1" applyFont="1" applyFill="1"/>
    <xf numFmtId="14" fontId="0" fillId="2" borderId="0" xfId="0" applyNumberFormat="1" applyFill="1"/>
    <xf numFmtId="0" fontId="7" fillId="2" borderId="0" xfId="0" applyFont="1" applyFill="1"/>
    <xf numFmtId="166" fontId="0" fillId="2" borderId="0" xfId="0" applyNumberFormat="1" applyFill="1"/>
    <xf numFmtId="0" fontId="3" fillId="0" borderId="0" xfId="0" applyFont="1" applyAlignment="1">
      <alignment horizontal="center" wrapText="1"/>
    </xf>
    <xf numFmtId="0" fontId="13" fillId="38" borderId="13" xfId="0" applyFont="1" applyFill="1" applyBorder="1" applyAlignment="1">
      <alignment horizontal="center" vertical="center"/>
    </xf>
    <xf numFmtId="43" fontId="33" fillId="0" borderId="0" xfId="0" applyNumberFormat="1" applyFont="1"/>
    <xf numFmtId="0" fontId="11" fillId="0" borderId="13" xfId="0" applyFont="1" applyBorder="1" applyAlignment="1">
      <alignment horizontal="center" vertical="center"/>
    </xf>
    <xf numFmtId="166" fontId="11" fillId="0" borderId="13" xfId="46" applyNumberFormat="1" applyFont="1" applyFill="1" applyBorder="1" applyAlignment="1">
      <alignment horizontal="center" vertical="center"/>
    </xf>
    <xf numFmtId="166" fontId="13" fillId="0" borderId="13" xfId="46" applyNumberFormat="1" applyFont="1" applyFill="1" applyBorder="1" applyAlignment="1">
      <alignment horizontal="center" vertical="center"/>
    </xf>
    <xf numFmtId="166" fontId="11" fillId="0" borderId="13" xfId="1" applyNumberFormat="1" applyFont="1" applyFill="1" applyBorder="1" applyAlignment="1">
      <alignment horizontal="center" vertical="center"/>
    </xf>
    <xf numFmtId="166" fontId="13" fillId="36" borderId="13" xfId="46" applyNumberFormat="1" applyFont="1" applyFill="1" applyBorder="1" applyAlignment="1">
      <alignment horizontal="center" vertical="center"/>
    </xf>
    <xf numFmtId="166" fontId="3" fillId="36" borderId="13" xfId="1" applyNumberFormat="1" applyFont="1" applyFill="1" applyBorder="1" applyAlignment="1">
      <alignment vertical="center"/>
    </xf>
    <xf numFmtId="3" fontId="11" fillId="0" borderId="13" xfId="0" applyNumberFormat="1" applyFont="1" applyBorder="1" applyAlignment="1" applyProtection="1">
      <alignment horizontal="center" vertical="center"/>
      <protection hidden="1"/>
    </xf>
    <xf numFmtId="1" fontId="11" fillId="0" borderId="13" xfId="0" applyNumberFormat="1" applyFont="1" applyBorder="1" applyAlignment="1" applyProtection="1">
      <alignment horizontal="center" vertical="center" wrapText="1"/>
      <protection hidden="1"/>
    </xf>
    <xf numFmtId="0" fontId="11" fillId="0" borderId="13" xfId="0" applyFont="1" applyBorder="1" applyAlignment="1" applyProtection="1">
      <alignment horizontal="center" vertical="center"/>
      <protection hidden="1"/>
    </xf>
    <xf numFmtId="0" fontId="11" fillId="0" borderId="13" xfId="0" applyFont="1" applyBorder="1" applyAlignment="1" applyProtection="1">
      <alignment horizontal="center" vertical="center" wrapText="1"/>
      <protection hidden="1"/>
    </xf>
    <xf numFmtId="3" fontId="11" fillId="0" borderId="13" xfId="0" applyNumberFormat="1" applyFont="1" applyBorder="1" applyAlignment="1" applyProtection="1">
      <alignment horizontal="center" vertical="center" wrapText="1"/>
      <protection hidden="1"/>
    </xf>
    <xf numFmtId="14" fontId="11" fillId="0" borderId="13" xfId="0" applyNumberFormat="1" applyFont="1" applyBorder="1" applyAlignment="1" applyProtection="1">
      <alignment horizontal="center" vertical="center" wrapText="1"/>
      <protection hidden="1"/>
    </xf>
    <xf numFmtId="3" fontId="11" fillId="0" borderId="13" xfId="0" applyNumberFormat="1" applyFont="1" applyBorder="1" applyAlignment="1" applyProtection="1">
      <alignment horizontal="right" vertical="center"/>
      <protection hidden="1"/>
    </xf>
    <xf numFmtId="14" fontId="11" fillId="0" borderId="13" xfId="2" applyNumberFormat="1" applyFont="1" applyFill="1" applyBorder="1" applyAlignment="1" applyProtection="1">
      <alignment horizontal="center" vertical="center" wrapText="1"/>
      <protection hidden="1"/>
    </xf>
    <xf numFmtId="3" fontId="11" fillId="0" borderId="13" xfId="0" applyNumberFormat="1" applyFont="1" applyBorder="1" applyAlignment="1" applyProtection="1">
      <alignment vertical="center" wrapText="1"/>
      <protection hidden="1"/>
    </xf>
    <xf numFmtId="166" fontId="11" fillId="0" borderId="13" xfId="60" applyNumberFormat="1" applyFont="1" applyFill="1" applyBorder="1" applyAlignment="1">
      <alignment horizontal="center" vertical="center"/>
    </xf>
    <xf numFmtId="175" fontId="11" fillId="0" borderId="13" xfId="60" applyNumberFormat="1" applyFont="1" applyFill="1" applyBorder="1" applyAlignment="1">
      <alignment vertical="center"/>
    </xf>
    <xf numFmtId="14" fontId="11" fillId="0" borderId="13" xfId="60" applyNumberFormat="1" applyFont="1" applyFill="1" applyBorder="1" applyAlignment="1">
      <alignment horizontal="center" vertical="center"/>
    </xf>
    <xf numFmtId="14" fontId="0" fillId="0" borderId="13" xfId="1" applyNumberFormat="1" applyFont="1" applyBorder="1" applyAlignment="1">
      <alignment horizontal="center" vertical="center"/>
    </xf>
    <xf numFmtId="166" fontId="0" fillId="0" borderId="13" xfId="1" applyNumberFormat="1" applyFont="1" applyBorder="1" applyAlignment="1">
      <alignment horizontal="center" vertical="center" wrapText="1"/>
    </xf>
    <xf numFmtId="166" fontId="0" fillId="0" borderId="13" xfId="1" applyNumberFormat="1" applyFont="1" applyBorder="1" applyAlignment="1">
      <alignment horizontal="right" vertical="center"/>
    </xf>
    <xf numFmtId="0" fontId="13" fillId="36" borderId="13" xfId="0" applyFont="1" applyFill="1" applyBorder="1" applyAlignment="1">
      <alignment horizontal="center" vertical="center"/>
    </xf>
    <xf numFmtId="0" fontId="2" fillId="40" borderId="13" xfId="0" applyFont="1" applyFill="1" applyBorder="1" applyAlignment="1" applyProtection="1">
      <alignment horizontal="center" vertical="center" wrapText="1"/>
      <protection hidden="1"/>
    </xf>
    <xf numFmtId="166" fontId="2" fillId="40" borderId="13" xfId="0" applyNumberFormat="1" applyFont="1" applyFill="1" applyBorder="1" applyAlignment="1" applyProtection="1">
      <alignment horizontal="center" vertical="center" wrapText="1"/>
      <protection hidden="1"/>
    </xf>
    <xf numFmtId="0" fontId="2" fillId="40" borderId="13" xfId="0" applyFont="1" applyFill="1" applyBorder="1" applyAlignment="1">
      <alignment horizontal="center" vertical="center" wrapText="1"/>
    </xf>
    <xf numFmtId="49" fontId="2" fillId="40" borderId="13" xfId="0" applyNumberFormat="1" applyFont="1" applyFill="1" applyBorder="1" applyAlignment="1">
      <alignment horizontal="center" vertical="center" wrapText="1"/>
    </xf>
    <xf numFmtId="17" fontId="2" fillId="40" borderId="13" xfId="0" applyNumberFormat="1" applyFont="1" applyFill="1" applyBorder="1" applyAlignment="1">
      <alignment horizontal="center" vertical="center" wrapText="1"/>
    </xf>
    <xf numFmtId="0" fontId="2" fillId="39" borderId="13" xfId="0" applyFont="1" applyFill="1" applyBorder="1" applyAlignment="1" applyProtection="1">
      <alignment horizontal="center" vertical="center" wrapText="1"/>
      <protection hidden="1"/>
    </xf>
    <xf numFmtId="166" fontId="2" fillId="39" borderId="13" xfId="1" applyNumberFormat="1" applyFont="1" applyFill="1" applyBorder="1" applyAlignment="1" applyProtection="1">
      <alignment horizontal="center" vertical="center" wrapText="1"/>
      <protection hidden="1"/>
    </xf>
    <xf numFmtId="165" fontId="2" fillId="39" borderId="13" xfId="1" applyFont="1" applyFill="1" applyBorder="1" applyAlignment="1" applyProtection="1">
      <alignment horizontal="center" vertical="center" wrapText="1"/>
      <protection hidden="1"/>
    </xf>
    <xf numFmtId="14" fontId="2" fillId="39" borderId="13" xfId="0" applyNumberFormat="1" applyFont="1" applyFill="1" applyBorder="1" applyAlignment="1" applyProtection="1">
      <alignment horizontal="center" vertical="center" wrapText="1"/>
      <protection hidden="1"/>
    </xf>
    <xf numFmtId="9" fontId="2" fillId="39" borderId="13" xfId="59" applyFont="1" applyFill="1" applyBorder="1" applyAlignment="1" applyProtection="1">
      <alignment horizontal="center" vertical="center" wrapText="1"/>
      <protection hidden="1"/>
    </xf>
    <xf numFmtId="0" fontId="2" fillId="39" borderId="13" xfId="0" applyFont="1" applyFill="1" applyBorder="1" applyAlignment="1">
      <alignment horizontal="center" vertical="center" wrapText="1"/>
    </xf>
    <xf numFmtId="165" fontId="13" fillId="36" borderId="13" xfId="1" applyFont="1" applyFill="1" applyBorder="1" applyAlignment="1">
      <alignment vertical="center"/>
    </xf>
    <xf numFmtId="166" fontId="13" fillId="36" borderId="13" xfId="1" applyNumberFormat="1" applyFont="1" applyFill="1" applyBorder="1" applyAlignment="1">
      <alignment horizontal="right" vertical="center"/>
    </xf>
    <xf numFmtId="3" fontId="13" fillId="36" borderId="13" xfId="2" quotePrefix="1" applyNumberFormat="1" applyFont="1" applyFill="1" applyBorder="1" applyAlignment="1" applyProtection="1">
      <alignment horizontal="center" vertical="center" wrapText="1"/>
      <protection hidden="1"/>
    </xf>
    <xf numFmtId="44" fontId="13" fillId="41" borderId="13" xfId="72" applyFont="1" applyFill="1" applyBorder="1" applyAlignment="1">
      <alignment vertical="center" wrapText="1"/>
    </xf>
    <xf numFmtId="166" fontId="13" fillId="41" borderId="13" xfId="60" applyNumberFormat="1" applyFont="1" applyFill="1" applyBorder="1" applyAlignment="1">
      <alignment horizontal="center" vertical="center" wrapText="1"/>
    </xf>
    <xf numFmtId="0" fontId="3" fillId="36" borderId="13" xfId="0" applyFont="1" applyFill="1" applyBorder="1"/>
    <xf numFmtId="3" fontId="0" fillId="2" borderId="0" xfId="0" applyNumberFormat="1" applyFill="1"/>
    <xf numFmtId="168" fontId="40" fillId="2" borderId="0" xfId="0" applyNumberFormat="1" applyFont="1" applyFill="1" applyAlignment="1">
      <alignment horizontal="center"/>
    </xf>
    <xf numFmtId="166" fontId="3" fillId="36" borderId="15" xfId="1" applyNumberFormat="1" applyFont="1" applyFill="1" applyBorder="1" applyAlignment="1">
      <alignment horizontal="center" vertical="center"/>
    </xf>
    <xf numFmtId="0" fontId="11" fillId="0" borderId="15" xfId="0" applyFont="1" applyBorder="1" applyAlignment="1">
      <alignment horizontal="center" vertical="center"/>
    </xf>
    <xf numFmtId="166" fontId="11" fillId="0" borderId="15" xfId="46" applyNumberFormat="1" applyFont="1" applyFill="1" applyBorder="1" applyAlignment="1">
      <alignment horizontal="center" vertical="center"/>
    </xf>
    <xf numFmtId="166" fontId="13" fillId="36" borderId="15" xfId="46" applyNumberFormat="1" applyFont="1" applyFill="1" applyBorder="1" applyAlignment="1">
      <alignment horizontal="center" vertical="center"/>
    </xf>
    <xf numFmtId="0" fontId="11" fillId="0" borderId="15" xfId="0" applyFont="1" applyBorder="1" applyAlignment="1">
      <alignment horizontal="center" vertical="center" wrapText="1"/>
    </xf>
    <xf numFmtId="166" fontId="0" fillId="0" borderId="15" xfId="1" applyNumberFormat="1" applyFont="1" applyBorder="1" applyAlignment="1">
      <alignment horizontal="center" vertical="center"/>
    </xf>
    <xf numFmtId="166" fontId="13" fillId="41" borderId="13" xfId="60" applyNumberFormat="1" applyFont="1" applyFill="1" applyBorder="1" applyAlignment="1">
      <alignment vertical="center" wrapText="1"/>
    </xf>
    <xf numFmtId="166" fontId="13" fillId="36" borderId="13" xfId="60" applyNumberFormat="1" applyFont="1" applyFill="1" applyBorder="1" applyAlignment="1">
      <alignment horizontal="center" vertical="center"/>
    </xf>
    <xf numFmtId="175" fontId="13" fillId="36" borderId="13" xfId="60" applyNumberFormat="1" applyFont="1" applyFill="1" applyBorder="1" applyAlignment="1">
      <alignment vertical="center"/>
    </xf>
    <xf numFmtId="14" fontId="13" fillId="36" borderId="13" xfId="60" applyNumberFormat="1" applyFont="1" applyFill="1" applyBorder="1" applyAlignment="1">
      <alignment horizontal="center" vertical="center"/>
    </xf>
    <xf numFmtId="173" fontId="13" fillId="41" borderId="14" xfId="1" applyNumberFormat="1" applyFont="1" applyFill="1" applyBorder="1" applyAlignment="1">
      <alignment horizontal="center" vertical="center" wrapText="1"/>
    </xf>
    <xf numFmtId="173" fontId="11" fillId="34" borderId="14" xfId="59" applyNumberFormat="1" applyFont="1" applyFill="1" applyBorder="1" applyAlignment="1">
      <alignment horizontal="center" vertical="center" wrapText="1"/>
    </xf>
    <xf numFmtId="173" fontId="13" fillId="41" borderId="14" xfId="59" applyNumberFormat="1" applyFont="1" applyFill="1" applyBorder="1" applyAlignment="1">
      <alignment horizontal="center" vertical="center" wrapText="1"/>
    </xf>
    <xf numFmtId="173" fontId="11" fillId="34" borderId="14" xfId="1" applyNumberFormat="1" applyFont="1" applyFill="1" applyBorder="1" applyAlignment="1">
      <alignment horizontal="center" vertical="center" wrapText="1"/>
    </xf>
    <xf numFmtId="173" fontId="13" fillId="41" borderId="13" xfId="59" applyNumberFormat="1" applyFont="1" applyFill="1" applyBorder="1" applyAlignment="1">
      <alignment horizontal="center" vertical="center" wrapText="1"/>
    </xf>
    <xf numFmtId="165" fontId="0" fillId="0" borderId="0" xfId="1" applyFont="1"/>
    <xf numFmtId="165" fontId="0" fillId="0" borderId="13" xfId="1" applyFont="1" applyBorder="1" applyAlignment="1">
      <alignment vertical="center"/>
    </xf>
    <xf numFmtId="165" fontId="3" fillId="36" borderId="13" xfId="1" applyFont="1" applyFill="1" applyBorder="1" applyAlignment="1">
      <alignment vertical="center"/>
    </xf>
    <xf numFmtId="165" fontId="13" fillId="36" borderId="13" xfId="1" applyFont="1" applyFill="1" applyBorder="1" applyAlignment="1">
      <alignment horizontal="right" vertical="center"/>
    </xf>
    <xf numFmtId="165" fontId="3" fillId="0" borderId="13" xfId="1" applyFont="1" applyBorder="1" applyAlignment="1">
      <alignment vertical="center"/>
    </xf>
    <xf numFmtId="166" fontId="13" fillId="0" borderId="0" xfId="46" applyNumberFormat="1" applyFont="1" applyFill="1" applyBorder="1" applyAlignment="1">
      <alignment horizontal="center" vertical="center"/>
    </xf>
    <xf numFmtId="165" fontId="3" fillId="36" borderId="13" xfId="0" applyNumberFormat="1" applyFont="1" applyFill="1" applyBorder="1"/>
    <xf numFmtId="165" fontId="11" fillId="0" borderId="13" xfId="1" applyFont="1" applyFill="1" applyBorder="1" applyAlignment="1">
      <alignment vertical="center"/>
    </xf>
    <xf numFmtId="49" fontId="11" fillId="0" borderId="13" xfId="0" applyNumberFormat="1" applyFont="1" applyBorder="1" applyAlignment="1" applyProtection="1">
      <alignment horizontal="center" vertical="center" wrapText="1"/>
      <protection hidden="1"/>
    </xf>
    <xf numFmtId="166" fontId="0" fillId="0" borderId="0" xfId="0" applyNumberFormat="1" applyAlignment="1">
      <alignment vertical="center" wrapText="1"/>
    </xf>
    <xf numFmtId="165" fontId="11" fillId="0" borderId="13" xfId="1" applyFont="1" applyFill="1" applyBorder="1" applyAlignment="1" applyProtection="1">
      <alignment vertical="center"/>
      <protection hidden="1"/>
    </xf>
    <xf numFmtId="165" fontId="13" fillId="36" borderId="13" xfId="1" applyFont="1" applyFill="1" applyBorder="1" applyAlignment="1" applyProtection="1">
      <alignment horizontal="right" vertical="center"/>
      <protection hidden="1"/>
    </xf>
    <xf numFmtId="165" fontId="11" fillId="0" borderId="13" xfId="1" applyFont="1" applyFill="1" applyBorder="1" applyAlignment="1" applyProtection="1">
      <alignment horizontal="right" vertical="center"/>
      <protection hidden="1"/>
    </xf>
    <xf numFmtId="165" fontId="11" fillId="0" borderId="13" xfId="1" applyFont="1" applyFill="1" applyBorder="1" applyAlignment="1" applyProtection="1">
      <alignment horizontal="center" vertical="center"/>
      <protection hidden="1"/>
    </xf>
    <xf numFmtId="165" fontId="13" fillId="38" borderId="13" xfId="1" applyFont="1" applyFill="1" applyBorder="1" applyAlignment="1" applyProtection="1">
      <alignment horizontal="right" vertical="center"/>
      <protection hidden="1"/>
    </xf>
    <xf numFmtId="165" fontId="13" fillId="36" borderId="13" xfId="1" applyFont="1" applyFill="1" applyBorder="1" applyAlignment="1" applyProtection="1">
      <alignment horizontal="center" vertical="center"/>
      <protection hidden="1"/>
    </xf>
    <xf numFmtId="165" fontId="13" fillId="36" borderId="13" xfId="1" applyFont="1" applyFill="1" applyBorder="1" applyAlignment="1">
      <alignment horizontal="center" vertical="center"/>
    </xf>
    <xf numFmtId="10" fontId="11" fillId="0" borderId="13" xfId="59" applyNumberFormat="1" applyFont="1" applyFill="1" applyBorder="1" applyAlignment="1" applyProtection="1">
      <alignment horizontal="center" vertical="center"/>
      <protection hidden="1"/>
    </xf>
    <xf numFmtId="10" fontId="13" fillId="36" borderId="13" xfId="59" applyNumberFormat="1" applyFont="1" applyFill="1" applyBorder="1" applyAlignment="1">
      <alignment horizontal="center" vertical="center"/>
    </xf>
    <xf numFmtId="165" fontId="13" fillId="38" borderId="13" xfId="1" applyFont="1" applyFill="1" applyBorder="1" applyAlignment="1">
      <alignment horizontal="right" vertical="center"/>
    </xf>
    <xf numFmtId="165" fontId="0" fillId="0" borderId="13" xfId="1" applyFont="1" applyFill="1" applyBorder="1" applyAlignment="1">
      <alignment vertical="center"/>
    </xf>
    <xf numFmtId="165" fontId="0" fillId="0" borderId="13" xfId="1" applyFont="1" applyBorder="1"/>
    <xf numFmtId="3" fontId="13" fillId="36" borderId="15" xfId="2" quotePrefix="1" applyNumberFormat="1" applyFont="1" applyFill="1" applyBorder="1" applyAlignment="1" applyProtection="1">
      <alignment vertical="center" wrapText="1"/>
      <protection hidden="1"/>
    </xf>
    <xf numFmtId="14" fontId="11" fillId="0" borderId="15" xfId="2" applyNumberFormat="1" applyFont="1" applyFill="1" applyBorder="1" applyAlignment="1" applyProtection="1">
      <alignment vertical="center" wrapText="1"/>
      <protection hidden="1"/>
    </xf>
    <xf numFmtId="14" fontId="11" fillId="0" borderId="15" xfId="0" applyNumberFormat="1" applyFont="1" applyBorder="1" applyAlignment="1" applyProtection="1">
      <alignment vertical="center" wrapText="1"/>
      <protection hidden="1"/>
    </xf>
    <xf numFmtId="3" fontId="11" fillId="0" borderId="15" xfId="0" applyNumberFormat="1" applyFont="1" applyBorder="1" applyAlignment="1" applyProtection="1">
      <alignment horizontal="center" vertical="center"/>
      <protection hidden="1"/>
    </xf>
    <xf numFmtId="3" fontId="11" fillId="0" borderId="15" xfId="0" applyNumberFormat="1" applyFont="1" applyBorder="1" applyAlignment="1" applyProtection="1">
      <alignment vertical="center" wrapText="1"/>
      <protection hidden="1"/>
    </xf>
    <xf numFmtId="165" fontId="11" fillId="0" borderId="15" xfId="1" applyFont="1" applyFill="1" applyBorder="1" applyAlignment="1" applyProtection="1">
      <alignment vertical="center"/>
      <protection hidden="1"/>
    </xf>
    <xf numFmtId="165" fontId="13" fillId="36" borderId="15" xfId="1" applyFont="1" applyFill="1" applyBorder="1" applyAlignment="1" applyProtection="1">
      <alignment vertical="center"/>
      <protection hidden="1"/>
    </xf>
    <xf numFmtId="165" fontId="13" fillId="38" borderId="15" xfId="1" applyFont="1" applyFill="1" applyBorder="1" applyAlignment="1" applyProtection="1">
      <alignment vertical="center"/>
      <protection hidden="1"/>
    </xf>
    <xf numFmtId="166" fontId="5" fillId="2" borderId="0" xfId="0" applyNumberFormat="1" applyFont="1" applyFill="1" applyAlignment="1">
      <alignment horizontal="center"/>
    </xf>
    <xf numFmtId="43" fontId="2" fillId="39" borderId="13" xfId="0" applyNumberFormat="1" applyFont="1" applyFill="1" applyBorder="1" applyAlignment="1">
      <alignment horizontal="center" vertical="center" wrapText="1"/>
    </xf>
    <xf numFmtId="165" fontId="3" fillId="0" borderId="21" xfId="1" applyFont="1" applyFill="1" applyBorder="1" applyAlignment="1">
      <alignment horizontal="center" vertical="center"/>
    </xf>
    <xf numFmtId="165" fontId="3" fillId="0" borderId="23" xfId="1" applyFont="1" applyFill="1" applyBorder="1" applyAlignment="1">
      <alignment horizontal="center" vertical="center"/>
    </xf>
    <xf numFmtId="165" fontId="2" fillId="40" borderId="13" xfId="0" applyNumberFormat="1" applyFont="1" applyFill="1" applyBorder="1" applyAlignment="1" applyProtection="1">
      <alignment horizontal="center" vertical="center" wrapText="1"/>
      <protection hidden="1"/>
    </xf>
    <xf numFmtId="43" fontId="0" fillId="0" borderId="0" xfId="0" applyNumberFormat="1" applyAlignment="1">
      <alignment horizontal="center" vertical="center" wrapText="1"/>
    </xf>
    <xf numFmtId="8" fontId="13" fillId="41" borderId="13" xfId="72" applyNumberFormat="1" applyFont="1" applyFill="1" applyBorder="1" applyAlignment="1">
      <alignment vertical="center" wrapText="1"/>
    </xf>
    <xf numFmtId="165" fontId="0" fillId="42" borderId="13" xfId="1" applyFont="1" applyFill="1" applyBorder="1" applyAlignment="1">
      <alignment vertical="center"/>
    </xf>
    <xf numFmtId="165" fontId="13" fillId="0" borderId="23" xfId="1" applyFont="1" applyFill="1" applyBorder="1" applyAlignment="1">
      <alignment horizontal="center" vertical="center"/>
    </xf>
    <xf numFmtId="0" fontId="12" fillId="0" borderId="0" xfId="0" applyFont="1"/>
    <xf numFmtId="0" fontId="44" fillId="0" borderId="0" xfId="0" applyFont="1"/>
    <xf numFmtId="166" fontId="5" fillId="0" borderId="0" xfId="0" applyNumberFormat="1" applyFont="1" applyAlignment="1">
      <alignment horizontal="right"/>
    </xf>
    <xf numFmtId="44" fontId="5" fillId="0" borderId="0" xfId="72" applyFont="1" applyAlignment="1">
      <alignment horizontal="right"/>
    </xf>
    <xf numFmtId="10" fontId="1" fillId="0" borderId="13" xfId="59" applyNumberFormat="1" applyFont="1" applyFill="1" applyBorder="1" applyAlignment="1" applyProtection="1">
      <alignment horizontal="center" vertical="center"/>
      <protection hidden="1"/>
    </xf>
    <xf numFmtId="10" fontId="1" fillId="0" borderId="15" xfId="59" applyNumberFormat="1" applyFont="1" applyFill="1" applyBorder="1" applyAlignment="1" applyProtection="1">
      <alignment vertical="center"/>
      <protection hidden="1"/>
    </xf>
    <xf numFmtId="43" fontId="0" fillId="0" borderId="13" xfId="0" applyNumberFormat="1" applyBorder="1" applyAlignment="1">
      <alignment horizontal="center" vertical="center"/>
    </xf>
    <xf numFmtId="0" fontId="1" fillId="0" borderId="13" xfId="0" applyFont="1" applyBorder="1" applyAlignment="1">
      <alignment horizontal="center" vertical="center"/>
    </xf>
    <xf numFmtId="44" fontId="0" fillId="0" borderId="0" xfId="72" applyFont="1"/>
    <xf numFmtId="44" fontId="5" fillId="0" borderId="0" xfId="0" applyNumberFormat="1" applyFont="1" applyAlignment="1">
      <alignment horizontal="right"/>
    </xf>
    <xf numFmtId="165" fontId="5" fillId="0" borderId="0" xfId="1" applyFont="1" applyAlignment="1">
      <alignment horizontal="center"/>
    </xf>
    <xf numFmtId="4" fontId="11" fillId="0" borderId="13" xfId="0" applyNumberFormat="1" applyFont="1" applyBorder="1" applyAlignment="1" applyProtection="1">
      <alignment horizontal="right" vertical="center"/>
      <protection hidden="1"/>
    </xf>
    <xf numFmtId="4" fontId="0" fillId="0" borderId="0" xfId="0" applyNumberFormat="1"/>
    <xf numFmtId="165" fontId="11" fillId="0" borderId="14" xfId="1" applyFont="1" applyFill="1" applyBorder="1" applyAlignment="1" applyProtection="1">
      <alignment vertical="center"/>
      <protection hidden="1"/>
    </xf>
    <xf numFmtId="165" fontId="11" fillId="0" borderId="13" xfId="1" applyFont="1" applyBorder="1" applyAlignment="1">
      <alignment vertical="center"/>
    </xf>
    <xf numFmtId="3" fontId="11" fillId="0" borderId="15" xfId="0" applyNumberFormat="1" applyFont="1" applyBorder="1" applyAlignment="1" applyProtection="1">
      <alignment vertical="center"/>
      <protection hidden="1"/>
    </xf>
    <xf numFmtId="43" fontId="12" fillId="0" borderId="0" xfId="0" applyNumberFormat="1" applyFont="1"/>
    <xf numFmtId="3" fontId="11" fillId="0" borderId="14" xfId="0" applyNumberFormat="1" applyFont="1" applyBorder="1" applyAlignment="1" applyProtection="1">
      <alignment vertical="center" wrapText="1"/>
      <protection hidden="1"/>
    </xf>
    <xf numFmtId="14" fontId="11" fillId="0" borderId="14" xfId="0" applyNumberFormat="1" applyFont="1" applyBorder="1" applyAlignment="1" applyProtection="1">
      <alignment vertical="center" wrapText="1"/>
      <protection hidden="1"/>
    </xf>
    <xf numFmtId="14" fontId="11" fillId="0" borderId="14" xfId="2" applyNumberFormat="1" applyFont="1" applyFill="1" applyBorder="1" applyAlignment="1" applyProtection="1">
      <alignment vertical="center" wrapText="1"/>
      <protection hidden="1"/>
    </xf>
    <xf numFmtId="3" fontId="13" fillId="36" borderId="14" xfId="2" quotePrefix="1" applyNumberFormat="1" applyFont="1" applyFill="1" applyBorder="1" applyAlignment="1" applyProtection="1">
      <alignment vertical="center" wrapText="1"/>
      <protection hidden="1"/>
    </xf>
    <xf numFmtId="0" fontId="0" fillId="0" borderId="15" xfId="0" applyBorder="1" applyAlignment="1">
      <alignment vertical="center" wrapText="1"/>
    </xf>
    <xf numFmtId="0" fontId="0" fillId="0" borderId="14" xfId="0" applyBorder="1" applyAlignment="1">
      <alignment vertical="center" wrapText="1"/>
    </xf>
    <xf numFmtId="165" fontId="13" fillId="36" borderId="14" xfId="1" applyFont="1" applyFill="1" applyBorder="1" applyAlignment="1" applyProtection="1">
      <alignment vertical="center"/>
      <protection hidden="1"/>
    </xf>
    <xf numFmtId="10" fontId="1" fillId="0" borderId="14" xfId="59" applyNumberFormat="1" applyFont="1" applyFill="1" applyBorder="1" applyAlignment="1" applyProtection="1">
      <alignment vertical="center"/>
      <protection hidden="1"/>
    </xf>
    <xf numFmtId="43" fontId="0" fillId="0" borderId="13" xfId="0" applyNumberFormat="1" applyBorder="1" applyAlignment="1">
      <alignment horizontal="center" vertical="center" wrapText="1"/>
    </xf>
    <xf numFmtId="0" fontId="2" fillId="40" borderId="15" xfId="0" applyFont="1" applyFill="1" applyBorder="1" applyAlignment="1" applyProtection="1">
      <alignment horizontal="center" vertical="center" wrapText="1"/>
      <protection hidden="1"/>
    </xf>
    <xf numFmtId="0" fontId="2" fillId="39" borderId="15" xfId="0" applyFont="1" applyFill="1" applyBorder="1" applyAlignment="1">
      <alignment horizontal="center" vertical="center" wrapText="1"/>
    </xf>
    <xf numFmtId="0" fontId="11" fillId="0" borderId="28" xfId="0" applyFont="1" applyBorder="1" applyAlignment="1">
      <alignment horizontal="center" vertical="center"/>
    </xf>
    <xf numFmtId="0" fontId="11" fillId="0" borderId="29" xfId="0" applyFont="1" applyBorder="1" applyAlignment="1">
      <alignment horizontal="center" vertical="center"/>
    </xf>
    <xf numFmtId="166" fontId="11" fillId="0" borderId="29" xfId="46" applyNumberFormat="1" applyFont="1" applyFill="1" applyBorder="1" applyAlignment="1">
      <alignment horizontal="center" vertical="center"/>
    </xf>
    <xf numFmtId="166" fontId="13" fillId="0" borderId="29" xfId="46" applyNumberFormat="1" applyFont="1" applyFill="1" applyBorder="1" applyAlignment="1">
      <alignment horizontal="center" vertical="center"/>
    </xf>
    <xf numFmtId="0" fontId="11" fillId="0" borderId="29" xfId="0" applyFont="1" applyBorder="1" applyAlignment="1">
      <alignment horizontal="center" vertical="center" wrapText="1"/>
    </xf>
    <xf numFmtId="166" fontId="11" fillId="0" borderId="29" xfId="1" applyNumberFormat="1" applyFont="1" applyFill="1" applyBorder="1" applyAlignment="1">
      <alignment horizontal="center" vertical="center"/>
    </xf>
    <xf numFmtId="166" fontId="11" fillId="0" borderId="29" xfId="1" applyNumberFormat="1" applyFont="1" applyFill="1" applyBorder="1" applyAlignment="1">
      <alignment vertical="center"/>
    </xf>
    <xf numFmtId="166" fontId="11" fillId="2" borderId="29" xfId="1" applyNumberFormat="1" applyFont="1" applyFill="1" applyBorder="1" applyAlignment="1">
      <alignment vertical="center"/>
    </xf>
    <xf numFmtId="166" fontId="3" fillId="36" borderId="29" xfId="1" applyNumberFormat="1" applyFont="1" applyFill="1" applyBorder="1" applyAlignment="1">
      <alignment vertical="center"/>
    </xf>
    <xf numFmtId="166" fontId="13" fillId="36" borderId="30" xfId="1" applyNumberFormat="1" applyFont="1" applyFill="1" applyBorder="1" applyAlignment="1">
      <alignment vertical="center"/>
    </xf>
    <xf numFmtId="0" fontId="11" fillId="0" borderId="31" xfId="0" applyFont="1" applyBorder="1" applyAlignment="1">
      <alignment horizontal="center" vertical="center"/>
    </xf>
    <xf numFmtId="166" fontId="13" fillId="36" borderId="32" xfId="1" applyNumberFormat="1" applyFont="1" applyFill="1" applyBorder="1" applyAlignment="1">
      <alignment vertical="center"/>
    </xf>
    <xf numFmtId="166" fontId="13" fillId="36" borderId="34" xfId="1" applyNumberFormat="1" applyFont="1" applyFill="1" applyBorder="1" applyAlignment="1">
      <alignment vertical="center"/>
    </xf>
    <xf numFmtId="165" fontId="13" fillId="36" borderId="34" xfId="46" applyNumberFormat="1" applyFont="1" applyFill="1" applyBorder="1" applyAlignment="1">
      <alignment horizontal="center" vertical="center"/>
    </xf>
    <xf numFmtId="166" fontId="13" fillId="36" borderId="35" xfId="1" applyNumberFormat="1" applyFont="1" applyFill="1" applyBorder="1" applyAlignment="1">
      <alignment vertical="center"/>
    </xf>
    <xf numFmtId="166" fontId="13" fillId="36" borderId="15" xfId="1" applyNumberFormat="1" applyFont="1" applyFill="1" applyBorder="1" applyAlignment="1">
      <alignment vertical="center"/>
    </xf>
    <xf numFmtId="170" fontId="0" fillId="2" borderId="13" xfId="0" applyNumberFormat="1" applyFill="1" applyBorder="1"/>
    <xf numFmtId="166" fontId="0" fillId="2" borderId="13" xfId="59" applyNumberFormat="1" applyFont="1" applyFill="1" applyBorder="1"/>
    <xf numFmtId="0" fontId="0" fillId="2" borderId="13" xfId="0" applyFill="1" applyBorder="1"/>
    <xf numFmtId="166" fontId="0" fillId="2" borderId="13" xfId="0" applyNumberFormat="1" applyFill="1" applyBorder="1"/>
    <xf numFmtId="10" fontId="0" fillId="2" borderId="13" xfId="59" applyNumberFormat="1" applyFont="1" applyFill="1" applyBorder="1"/>
    <xf numFmtId="3" fontId="11" fillId="0" borderId="15" xfId="0" applyNumberFormat="1" applyFont="1" applyBorder="1" applyAlignment="1" applyProtection="1">
      <alignment horizontal="center" vertical="center" wrapText="1"/>
      <protection hidden="1"/>
    </xf>
    <xf numFmtId="3" fontId="11" fillId="0" borderId="14" xfId="0" applyNumberFormat="1" applyFont="1" applyBorder="1" applyAlignment="1" applyProtection="1">
      <alignment horizontal="center" vertical="center" wrapText="1"/>
      <protection hidden="1"/>
    </xf>
    <xf numFmtId="3" fontId="13" fillId="36" borderId="15" xfId="2" quotePrefix="1" applyNumberFormat="1" applyFont="1" applyFill="1" applyBorder="1" applyAlignment="1" applyProtection="1">
      <alignment horizontal="center" vertical="center" wrapText="1"/>
      <protection hidden="1"/>
    </xf>
    <xf numFmtId="3" fontId="13" fillId="36" borderId="14" xfId="2" quotePrefix="1" applyNumberFormat="1" applyFont="1" applyFill="1" applyBorder="1" applyAlignment="1" applyProtection="1">
      <alignment horizontal="center" vertical="center" wrapText="1"/>
      <protection hidden="1"/>
    </xf>
    <xf numFmtId="43" fontId="0" fillId="0" borderId="15" xfId="0" applyNumberFormat="1" applyBorder="1" applyAlignment="1">
      <alignment horizontal="center" vertical="center"/>
    </xf>
    <xf numFmtId="43" fontId="0" fillId="0" borderId="14" xfId="0" applyNumberFormat="1" applyBorder="1" applyAlignment="1">
      <alignment horizontal="center" vertical="center"/>
    </xf>
    <xf numFmtId="0" fontId="39" fillId="2" borderId="0" xfId="0" applyFont="1" applyFill="1" applyAlignment="1">
      <alignment horizontal="left" vertical="center"/>
    </xf>
    <xf numFmtId="0" fontId="39" fillId="2" borderId="20" xfId="0" applyFont="1" applyFill="1" applyBorder="1" applyAlignment="1">
      <alignment horizontal="left" vertical="center"/>
    </xf>
    <xf numFmtId="0" fontId="7" fillId="2" borderId="19" xfId="0" applyFont="1" applyFill="1" applyBorder="1" applyAlignment="1">
      <alignment horizontal="center" vertical="center"/>
    </xf>
    <xf numFmtId="0" fontId="7" fillId="2" borderId="0" xfId="0" applyFont="1" applyFill="1" applyAlignment="1">
      <alignment horizontal="center" vertical="center"/>
    </xf>
    <xf numFmtId="0" fontId="3" fillId="2" borderId="0" xfId="0" applyFont="1" applyFill="1" applyAlignment="1">
      <alignment horizontal="left" indent="1"/>
    </xf>
    <xf numFmtId="168" fontId="37" fillId="39" borderId="0" xfId="0" applyNumberFormat="1" applyFont="1" applyFill="1" applyAlignment="1">
      <alignment horizontal="center"/>
    </xf>
    <xf numFmtId="0" fontId="2" fillId="40" borderId="15" xfId="0" applyFont="1" applyFill="1" applyBorder="1" applyAlignment="1" applyProtection="1">
      <alignment horizontal="center" vertical="center" wrapText="1"/>
      <protection hidden="1"/>
    </xf>
    <xf numFmtId="0" fontId="2" fillId="40" borderId="14" xfId="0" applyFont="1" applyFill="1" applyBorder="1" applyAlignment="1" applyProtection="1">
      <alignment horizontal="center" vertical="center" wrapText="1"/>
      <protection hidden="1"/>
    </xf>
    <xf numFmtId="0" fontId="2" fillId="40" borderId="16" xfId="0" applyFont="1" applyFill="1" applyBorder="1" applyAlignment="1" applyProtection="1">
      <alignment horizontal="center" vertical="center" wrapText="1"/>
      <protection hidden="1"/>
    </xf>
    <xf numFmtId="0" fontId="2" fillId="40" borderId="17" xfId="0" applyFont="1" applyFill="1" applyBorder="1" applyAlignment="1" applyProtection="1">
      <alignment horizontal="center" vertical="center" wrapText="1"/>
      <protection hidden="1"/>
    </xf>
    <xf numFmtId="0" fontId="2" fillId="40" borderId="18" xfId="0" applyFont="1" applyFill="1" applyBorder="1" applyAlignment="1" applyProtection="1">
      <alignment horizontal="center" vertical="center" wrapText="1"/>
      <protection hidden="1"/>
    </xf>
    <xf numFmtId="0" fontId="7" fillId="2" borderId="0" xfId="0" applyFont="1" applyFill="1" applyAlignment="1">
      <alignment horizontal="center"/>
    </xf>
    <xf numFmtId="168" fontId="40" fillId="2" borderId="0" xfId="0" applyNumberFormat="1" applyFont="1" applyFill="1" applyAlignment="1">
      <alignment horizontal="center"/>
    </xf>
    <xf numFmtId="0" fontId="0" fillId="0" borderId="0" xfId="0" quotePrefix="1" applyAlignment="1">
      <alignment horizontal="left" vertical="top" wrapText="1"/>
    </xf>
    <xf numFmtId="0" fontId="0" fillId="0" borderId="0" xfId="0" applyAlignment="1">
      <alignment horizontal="left" vertical="top" wrapText="1"/>
    </xf>
    <xf numFmtId="1" fontId="7" fillId="0" borderId="0" xfId="0" applyNumberFormat="1" applyFont="1" applyAlignment="1">
      <alignment horizontal="center"/>
    </xf>
    <xf numFmtId="0" fontId="2" fillId="39" borderId="13" xfId="0" applyFont="1" applyFill="1" applyBorder="1" applyAlignment="1">
      <alignment horizontal="center" vertical="center" wrapText="1"/>
    </xf>
    <xf numFmtId="0" fontId="11" fillId="0" borderId="0" xfId="0" applyFont="1" applyAlignment="1">
      <alignment horizontal="left" wrapText="1"/>
    </xf>
    <xf numFmtId="0" fontId="2" fillId="39" borderId="16" xfId="0" applyFont="1" applyFill="1" applyBorder="1" applyAlignment="1">
      <alignment horizontal="center" vertical="center" wrapText="1"/>
    </xf>
    <xf numFmtId="0" fontId="2" fillId="39" borderId="17" xfId="0" applyFont="1" applyFill="1" applyBorder="1" applyAlignment="1">
      <alignment horizontal="center" vertical="center" wrapText="1"/>
    </xf>
    <xf numFmtId="0" fontId="2" fillId="39" borderId="18" xfId="0" applyFont="1" applyFill="1" applyBorder="1" applyAlignment="1">
      <alignment horizontal="center" vertical="center" wrapText="1"/>
    </xf>
    <xf numFmtId="0" fontId="2" fillId="39" borderId="25" xfId="0" applyFont="1" applyFill="1" applyBorder="1" applyAlignment="1">
      <alignment horizontal="center" vertical="center" wrapText="1"/>
    </xf>
    <xf numFmtId="0" fontId="2" fillId="39" borderId="26" xfId="0" applyFont="1" applyFill="1" applyBorder="1" applyAlignment="1">
      <alignment horizontal="center" vertical="center" wrapText="1"/>
    </xf>
    <xf numFmtId="0" fontId="2" fillId="39" borderId="27"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8" xfId="0" applyFont="1" applyBorder="1" applyAlignment="1">
      <alignment horizontal="center" vertical="center"/>
    </xf>
    <xf numFmtId="0" fontId="3" fillId="0" borderId="13" xfId="0" applyFont="1" applyBorder="1" applyAlignment="1">
      <alignment horizontal="center" vertical="center"/>
    </xf>
    <xf numFmtId="0" fontId="3" fillId="0" borderId="24"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wrapText="1"/>
    </xf>
    <xf numFmtId="0" fontId="3" fillId="0" borderId="13" xfId="0" applyFont="1" applyBorder="1" applyAlignment="1">
      <alignment horizontal="center" vertical="center" wrapText="1"/>
    </xf>
    <xf numFmtId="0" fontId="13" fillId="36" borderId="33" xfId="0" applyFont="1" applyFill="1" applyBorder="1" applyAlignment="1">
      <alignment horizontal="center" vertical="center"/>
    </xf>
    <xf numFmtId="0" fontId="13" fillId="36" borderId="34" xfId="0" applyFont="1" applyFill="1" applyBorder="1" applyAlignment="1">
      <alignment horizontal="center" vertical="center"/>
    </xf>
    <xf numFmtId="17" fontId="7" fillId="0" borderId="0" xfId="0" applyNumberFormat="1" applyFont="1" applyAlignment="1">
      <alignment horizontal="center"/>
    </xf>
    <xf numFmtId="0" fontId="13" fillId="36" borderId="13" xfId="0" applyFont="1" applyFill="1" applyBorder="1" applyAlignment="1">
      <alignment horizontal="center" vertical="center"/>
    </xf>
    <xf numFmtId="3" fontId="11" fillId="0" borderId="15" xfId="0" applyNumberFormat="1" applyFont="1" applyBorder="1" applyAlignment="1" applyProtection="1">
      <alignment horizontal="center" vertical="center"/>
      <protection hidden="1"/>
    </xf>
    <xf numFmtId="3" fontId="11" fillId="0" borderId="14" xfId="0" applyNumberFormat="1" applyFont="1" applyBorder="1" applyAlignment="1" applyProtection="1">
      <alignment horizontal="center" vertical="center"/>
      <protection hidden="1"/>
    </xf>
    <xf numFmtId="168" fontId="40" fillId="2" borderId="0" xfId="0" applyNumberFormat="1" applyFont="1" applyFill="1" applyAlignment="1">
      <alignment horizontal="center" vertical="center"/>
    </xf>
    <xf numFmtId="0" fontId="3" fillId="36" borderId="13" xfId="0" applyFont="1" applyFill="1" applyBorder="1" applyAlignment="1">
      <alignment horizontal="center" vertical="center" textRotation="90"/>
    </xf>
    <xf numFmtId="165" fontId="7" fillId="0" borderId="0" xfId="0" applyNumberFormat="1" applyFont="1" applyAlignment="1">
      <alignment horizontal="center"/>
    </xf>
    <xf numFmtId="165" fontId="40" fillId="2" borderId="0" xfId="0" applyNumberFormat="1" applyFont="1" applyFill="1" applyAlignment="1">
      <alignment horizontal="center"/>
    </xf>
  </cellXfs>
  <cellStyles count="74">
    <cellStyle name="20% - Énfasis1" xfId="22" builtinId="30" customBuiltin="1"/>
    <cellStyle name="20% - Énfasis2" xfId="26" builtinId="34" customBuiltin="1"/>
    <cellStyle name="20% - Énfasis3" xfId="30" builtinId="38" customBuiltin="1"/>
    <cellStyle name="20% - Énfasis4" xfId="34" builtinId="42" customBuiltin="1"/>
    <cellStyle name="20% - Énfasis5" xfId="38" builtinId="46" customBuiltin="1"/>
    <cellStyle name="20% - Énfasis6" xfId="42" builtinId="50" customBuiltin="1"/>
    <cellStyle name="40% - Énfasis1" xfId="23" builtinId="31" customBuiltin="1"/>
    <cellStyle name="40% - Énfasis2" xfId="27" builtinId="35" customBuiltin="1"/>
    <cellStyle name="40% - Énfasis3" xfId="31" builtinId="39" customBuiltin="1"/>
    <cellStyle name="40% - Énfasis4" xfId="35" builtinId="43" customBuiltin="1"/>
    <cellStyle name="40% - Énfasis5" xfId="39" builtinId="47" customBuiltin="1"/>
    <cellStyle name="40% - Énfasis6" xfId="43" builtinId="51" customBuiltin="1"/>
    <cellStyle name="60% - Énfasis1" xfId="24" builtinId="32" customBuiltin="1"/>
    <cellStyle name="60% - Énfasis2" xfId="28" builtinId="36" customBuiltin="1"/>
    <cellStyle name="60% - Énfasis3" xfId="32" builtinId="40" customBuiltin="1"/>
    <cellStyle name="60% - Énfasis4" xfId="36" builtinId="44" customBuiltin="1"/>
    <cellStyle name="60% - Énfasis5" xfId="40" builtinId="48" customBuiltin="1"/>
    <cellStyle name="60% - Énfasis6" xfId="44" builtinId="52" customBuiltin="1"/>
    <cellStyle name="Bueno" xfId="9" builtinId="26" customBuiltin="1"/>
    <cellStyle name="Cálculo" xfId="14" builtinId="22" customBuiltin="1"/>
    <cellStyle name="Celda de comprobación" xfId="16" builtinId="23" customBuiltin="1"/>
    <cellStyle name="Celda vinculada" xfId="15" builtinId="24" customBuiltin="1"/>
    <cellStyle name="Encabezado 1" xfId="5" builtinId="16" customBuiltin="1"/>
    <cellStyle name="Encabezado 4" xfId="8" builtinId="19" customBuiltin="1"/>
    <cellStyle name="Énfasis1" xfId="21" builtinId="29" customBuiltin="1"/>
    <cellStyle name="Énfasis2" xfId="25" builtinId="33" customBuiltin="1"/>
    <cellStyle name="Énfasis3" xfId="29" builtinId="37" customBuiltin="1"/>
    <cellStyle name="Énfasis4" xfId="33" builtinId="41" customBuiltin="1"/>
    <cellStyle name="Énfasis5" xfId="37" builtinId="45" customBuiltin="1"/>
    <cellStyle name="Énfasis6" xfId="41" builtinId="49" customBuiltin="1"/>
    <cellStyle name="Entrada" xfId="12" builtinId="20" customBuiltin="1"/>
    <cellStyle name="Estilo 1" xfId="48" xr:uid="{00000000-0005-0000-0000-00001F000000}"/>
    <cellStyle name="Euro" xfId="49" xr:uid="{00000000-0005-0000-0000-000020000000}"/>
    <cellStyle name="Hipervínculo" xfId="2" builtinId="8"/>
    <cellStyle name="Incorrecto" xfId="10" builtinId="27" customBuiltin="1"/>
    <cellStyle name="Millares" xfId="1" builtinId="3"/>
    <cellStyle name="Millares [0]" xfId="62" builtinId="6"/>
    <cellStyle name="Millares [0] 2" xfId="61" xr:uid="{00000000-0005-0000-0000-000025000000}"/>
    <cellStyle name="Millares [0] 2 2" xfId="67" xr:uid="{00000000-0005-0000-0000-000026000000}"/>
    <cellStyle name="Millares [0] 3" xfId="68" xr:uid="{00000000-0005-0000-0000-000027000000}"/>
    <cellStyle name="Millares [0] 4" xfId="69" xr:uid="{00000000-0005-0000-0000-000028000000}"/>
    <cellStyle name="Millares 2" xfId="46" xr:uid="{00000000-0005-0000-0000-000029000000}"/>
    <cellStyle name="Millares 2 2" xfId="50" xr:uid="{00000000-0005-0000-0000-00002A000000}"/>
    <cellStyle name="Millares 2 2 2" xfId="65" xr:uid="{00000000-0005-0000-0000-00002B000000}"/>
    <cellStyle name="Millares 2 3" xfId="64" xr:uid="{00000000-0005-0000-0000-00002C000000}"/>
    <cellStyle name="Millares 23" xfId="70" xr:uid="{00000000-0005-0000-0000-00002D000000}"/>
    <cellStyle name="Millares 3" xfId="60" xr:uid="{00000000-0005-0000-0000-00002E000000}"/>
    <cellStyle name="Millares 3 2" xfId="66" xr:uid="{00000000-0005-0000-0000-00002F000000}"/>
    <cellStyle name="Millares 4" xfId="63" xr:uid="{00000000-0005-0000-0000-000030000000}"/>
    <cellStyle name="Moneda" xfId="72" builtinId="4"/>
    <cellStyle name="Moneda [0]" xfId="73" builtinId="7"/>
    <cellStyle name="Moneda 2" xfId="3" xr:uid="{00000000-0005-0000-0000-000033000000}"/>
    <cellStyle name="Moneda 2 2" xfId="51" xr:uid="{00000000-0005-0000-0000-000034000000}"/>
    <cellStyle name="Moneda 2 2 2" xfId="56" xr:uid="{00000000-0005-0000-0000-000035000000}"/>
    <cellStyle name="Moneda 3" xfId="55" xr:uid="{00000000-0005-0000-0000-000036000000}"/>
    <cellStyle name="Moneda 4" xfId="58" xr:uid="{00000000-0005-0000-0000-000037000000}"/>
    <cellStyle name="Moneda 4 2" xfId="71" xr:uid="{00000000-0005-0000-0000-000038000000}"/>
    <cellStyle name="Neutral" xfId="11" builtinId="28" customBuiltin="1"/>
    <cellStyle name="Normal" xfId="0" builtinId="0"/>
    <cellStyle name="Normal 2" xfId="52" xr:uid="{00000000-0005-0000-0000-00003B000000}"/>
    <cellStyle name="Normal 2 2" xfId="53" xr:uid="{00000000-0005-0000-0000-00003C000000}"/>
    <cellStyle name="Normal 3" xfId="45" xr:uid="{00000000-0005-0000-0000-00003D000000}"/>
    <cellStyle name="Normal 3 2" xfId="57" xr:uid="{00000000-0005-0000-0000-00003E000000}"/>
    <cellStyle name="Normal 4 2" xfId="47" xr:uid="{00000000-0005-0000-0000-00003F000000}"/>
    <cellStyle name="Notas" xfId="18" builtinId="10" customBuiltin="1"/>
    <cellStyle name="Porcentaje" xfId="59" builtinId="5"/>
    <cellStyle name="Porcentaje 2" xfId="54" xr:uid="{00000000-0005-0000-0000-000042000000}"/>
    <cellStyle name="Salida" xfId="13" builtinId="21" customBuiltin="1"/>
    <cellStyle name="Texto de advertencia" xfId="17" builtinId="11" customBuiltin="1"/>
    <cellStyle name="Texto explicativo" xfId="19" builtinId="53" customBuiltin="1"/>
    <cellStyle name="Título" xfId="4" builtinId="15" customBuiltin="1"/>
    <cellStyle name="Título 2" xfId="6" builtinId="17" customBuiltin="1"/>
    <cellStyle name="Título 3" xfId="7" builtinId="18" customBuiltin="1"/>
    <cellStyle name="Total" xfId="20" builtinId="25" customBuiltin="1"/>
  </cellStyles>
  <dxfs count="3">
    <dxf>
      <font>
        <color rgb="FF9C0006"/>
      </font>
      <fill>
        <patternFill>
          <bgColor rgb="FFFFC7CE"/>
        </patternFill>
      </fill>
    </dxf>
    <dxf>
      <fill>
        <patternFill>
          <bgColor theme="5" tint="0.39994506668294322"/>
        </patternFill>
      </fill>
    </dxf>
    <dxf>
      <fill>
        <patternFill>
          <bgColor theme="5" tint="0.39994506668294322"/>
        </patternFill>
      </fill>
    </dxf>
  </dxfs>
  <tableStyles count="0" defaultTableStyle="TableStyleMedium2" defaultPivotStyle="PivotStyleLight16"/>
  <colors>
    <mruColors>
      <color rgb="FF0B5D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412377</xdr:colOff>
      <xdr:row>0</xdr:row>
      <xdr:rowOff>98612</xdr:rowOff>
    </xdr:from>
    <xdr:to>
      <xdr:col>8</xdr:col>
      <xdr:colOff>367553</xdr:colOff>
      <xdr:row>6</xdr:row>
      <xdr:rowOff>135846</xdr:rowOff>
    </xdr:to>
    <xdr:pic>
      <xdr:nvPicPr>
        <xdr:cNvPr id="4" name="Picture 7">
          <a:extLst>
            <a:ext uri="{FF2B5EF4-FFF2-40B4-BE49-F238E27FC236}">
              <a16:creationId xmlns:a16="http://schemas.microsoft.com/office/drawing/2014/main" id="{5991C8A0-022E-4C79-B87D-E08F143EE2D0}"/>
            </a:ext>
          </a:extLst>
        </xdr:cNvPr>
        <xdr:cNvPicPr>
          <a:picLocks noChangeAspect="1"/>
        </xdr:cNvPicPr>
      </xdr:nvPicPr>
      <xdr:blipFill>
        <a:blip xmlns:r="http://schemas.openxmlformats.org/officeDocument/2006/relationships" r:embed="rId1"/>
        <a:stretch>
          <a:fillRect/>
        </a:stretch>
      </xdr:blipFill>
      <xdr:spPr>
        <a:xfrm>
          <a:off x="1272989" y="98612"/>
          <a:ext cx="2537011" cy="11053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15</xdr:col>
      <xdr:colOff>635498</xdr:colOff>
      <xdr:row>5</xdr:row>
      <xdr:rowOff>148764</xdr:rowOff>
    </xdr:to>
    <xdr:pic>
      <xdr:nvPicPr>
        <xdr:cNvPr id="2" name="Picture 7">
          <a:extLst>
            <a:ext uri="{FF2B5EF4-FFF2-40B4-BE49-F238E27FC236}">
              <a16:creationId xmlns:a16="http://schemas.microsoft.com/office/drawing/2014/main" id="{F2C3BF11-7BAB-476B-9704-6D8C69A9A2D3}"/>
            </a:ext>
          </a:extLst>
        </xdr:cNvPr>
        <xdr:cNvPicPr>
          <a:picLocks noChangeAspect="1"/>
        </xdr:cNvPicPr>
      </xdr:nvPicPr>
      <xdr:blipFill>
        <a:blip xmlns:r="http://schemas.openxmlformats.org/officeDocument/2006/relationships" r:embed="rId1"/>
        <a:stretch>
          <a:fillRect/>
        </a:stretch>
      </xdr:blipFill>
      <xdr:spPr>
        <a:xfrm>
          <a:off x="13368618" y="0"/>
          <a:ext cx="2698389" cy="1220719"/>
        </a:xfrm>
        <a:prstGeom prst="rect">
          <a:avLst/>
        </a:prstGeom>
      </xdr:spPr>
    </xdr:pic>
    <xdr:clientData/>
  </xdr:twoCellAnchor>
  <xdr:twoCellAnchor editAs="oneCell">
    <xdr:from>
      <xdr:col>0</xdr:col>
      <xdr:colOff>313763</xdr:colOff>
      <xdr:row>0</xdr:row>
      <xdr:rowOff>100223</xdr:rowOff>
    </xdr:from>
    <xdr:to>
      <xdr:col>2</xdr:col>
      <xdr:colOff>348276</xdr:colOff>
      <xdr:row>5</xdr:row>
      <xdr:rowOff>72950</xdr:rowOff>
    </xdr:to>
    <xdr:pic>
      <xdr:nvPicPr>
        <xdr:cNvPr id="3" name="Imagen 2">
          <a:extLst>
            <a:ext uri="{FF2B5EF4-FFF2-40B4-BE49-F238E27FC236}">
              <a16:creationId xmlns:a16="http://schemas.microsoft.com/office/drawing/2014/main" id="{FDDA0768-83AB-7C75-6B48-CCBE4117D7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3763" y="100223"/>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1030941</xdr:colOff>
      <xdr:row>0</xdr:row>
      <xdr:rowOff>0</xdr:rowOff>
    </xdr:from>
    <xdr:to>
      <xdr:col>14</xdr:col>
      <xdr:colOff>676100</xdr:colOff>
      <xdr:row>6</xdr:row>
      <xdr:rowOff>6897</xdr:rowOff>
    </xdr:to>
    <xdr:pic>
      <xdr:nvPicPr>
        <xdr:cNvPr id="2" name="Picture 7">
          <a:extLst>
            <a:ext uri="{FF2B5EF4-FFF2-40B4-BE49-F238E27FC236}">
              <a16:creationId xmlns:a16="http://schemas.microsoft.com/office/drawing/2014/main" id="{A4956A4E-17DD-44F0-8BCE-C943AA0E6C28}"/>
            </a:ext>
          </a:extLst>
        </xdr:cNvPr>
        <xdr:cNvPicPr>
          <a:picLocks noChangeAspect="1"/>
        </xdr:cNvPicPr>
      </xdr:nvPicPr>
      <xdr:blipFill>
        <a:blip xmlns:r="http://schemas.openxmlformats.org/officeDocument/2006/relationships" r:embed="rId1"/>
        <a:stretch>
          <a:fillRect/>
        </a:stretch>
      </xdr:blipFill>
      <xdr:spPr>
        <a:xfrm>
          <a:off x="15699441" y="0"/>
          <a:ext cx="2698389" cy="1220719"/>
        </a:xfrm>
        <a:prstGeom prst="rect">
          <a:avLst/>
        </a:prstGeom>
      </xdr:spPr>
    </xdr:pic>
    <xdr:clientData/>
  </xdr:twoCellAnchor>
  <xdr:twoCellAnchor editAs="oneCell">
    <xdr:from>
      <xdr:col>0</xdr:col>
      <xdr:colOff>62753</xdr:colOff>
      <xdr:row>0</xdr:row>
      <xdr:rowOff>143435</xdr:rowOff>
    </xdr:from>
    <xdr:to>
      <xdr:col>1</xdr:col>
      <xdr:colOff>866251</xdr:colOff>
      <xdr:row>5</xdr:row>
      <xdr:rowOff>141861</xdr:rowOff>
    </xdr:to>
    <xdr:pic>
      <xdr:nvPicPr>
        <xdr:cNvPr id="3" name="Imagen 2">
          <a:extLst>
            <a:ext uri="{FF2B5EF4-FFF2-40B4-BE49-F238E27FC236}">
              <a16:creationId xmlns:a16="http://schemas.microsoft.com/office/drawing/2014/main" id="{A0076224-E8BE-4A1D-A0AC-E69F69BCF68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753" y="143435"/>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0</xdr:colOff>
      <xdr:row>12</xdr:row>
      <xdr:rowOff>0</xdr:rowOff>
    </xdr:from>
    <xdr:to>
      <xdr:col>17</xdr:col>
      <xdr:colOff>304800</xdr:colOff>
      <xdr:row>21</xdr:row>
      <xdr:rowOff>122177</xdr:rowOff>
    </xdr:to>
    <xdr:sp macro="" textlink="">
      <xdr:nvSpPr>
        <xdr:cNvPr id="3"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14792325" y="440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15</xdr:row>
      <xdr:rowOff>0</xdr:rowOff>
    </xdr:from>
    <xdr:to>
      <xdr:col>17</xdr:col>
      <xdr:colOff>304800</xdr:colOff>
      <xdr:row>21</xdr:row>
      <xdr:rowOff>114301</xdr:rowOff>
    </xdr:to>
    <xdr:sp macro="" textlink="">
      <xdr:nvSpPr>
        <xdr:cNvPr id="4"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4792325" y="522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11</xdr:row>
      <xdr:rowOff>0</xdr:rowOff>
    </xdr:from>
    <xdr:to>
      <xdr:col>17</xdr:col>
      <xdr:colOff>304800</xdr:colOff>
      <xdr:row>11</xdr:row>
      <xdr:rowOff>304800</xdr:rowOff>
    </xdr:to>
    <xdr:sp macro="" textlink="">
      <xdr:nvSpPr>
        <xdr:cNvPr id="10"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A000000}"/>
            </a:ext>
          </a:extLst>
        </xdr:cNvPr>
        <xdr:cNvSpPr>
          <a:spLocks noChangeAspect="1" noChangeArrowheads="1"/>
        </xdr:cNvSpPr>
      </xdr:nvSpPr>
      <xdr:spPr bwMode="auto">
        <a:xfrm>
          <a:off x="17402175" y="2371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14</xdr:row>
      <xdr:rowOff>0</xdr:rowOff>
    </xdr:from>
    <xdr:to>
      <xdr:col>17</xdr:col>
      <xdr:colOff>304800</xdr:colOff>
      <xdr:row>21</xdr:row>
      <xdr:rowOff>114301</xdr:rowOff>
    </xdr:to>
    <xdr:sp macro="" textlink="">
      <xdr:nvSpPr>
        <xdr:cNvPr id="11"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B000000}"/>
            </a:ext>
          </a:extLst>
        </xdr:cNvPr>
        <xdr:cNvSpPr>
          <a:spLocks noChangeAspect="1" noChangeArrowheads="1"/>
        </xdr:cNvSpPr>
      </xdr:nvSpPr>
      <xdr:spPr bwMode="auto">
        <a:xfrm>
          <a:off x="17402175" y="3200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11</xdr:row>
      <xdr:rowOff>0</xdr:rowOff>
    </xdr:from>
    <xdr:to>
      <xdr:col>17</xdr:col>
      <xdr:colOff>304800</xdr:colOff>
      <xdr:row>11</xdr:row>
      <xdr:rowOff>304800</xdr:rowOff>
    </xdr:to>
    <xdr:sp macro="" textlink="">
      <xdr:nvSpPr>
        <xdr:cNvPr id="14"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E000000}"/>
            </a:ext>
          </a:extLst>
        </xdr:cNvPr>
        <xdr:cNvSpPr>
          <a:spLocks noChangeAspect="1" noChangeArrowheads="1"/>
        </xdr:cNvSpPr>
      </xdr:nvSpPr>
      <xdr:spPr bwMode="auto">
        <a:xfrm>
          <a:off x="16668750" y="2990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14</xdr:row>
      <xdr:rowOff>0</xdr:rowOff>
    </xdr:from>
    <xdr:to>
      <xdr:col>17</xdr:col>
      <xdr:colOff>304800</xdr:colOff>
      <xdr:row>21</xdr:row>
      <xdr:rowOff>114301</xdr:rowOff>
    </xdr:to>
    <xdr:sp macro="" textlink="">
      <xdr:nvSpPr>
        <xdr:cNvPr id="15"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0F000000}"/>
            </a:ext>
          </a:extLst>
        </xdr:cNvPr>
        <xdr:cNvSpPr>
          <a:spLocks noChangeAspect="1" noChangeArrowheads="1"/>
        </xdr:cNvSpPr>
      </xdr:nvSpPr>
      <xdr:spPr bwMode="auto">
        <a:xfrm>
          <a:off x="16668750" y="403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14</xdr:col>
      <xdr:colOff>0</xdr:colOff>
      <xdr:row>12</xdr:row>
      <xdr:rowOff>0</xdr:rowOff>
    </xdr:from>
    <xdr:ext cx="304800" cy="304800"/>
    <xdr:sp macro="" textlink="">
      <xdr:nvSpPr>
        <xdr:cNvPr id="16" name="AutoShape 3"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10000000}"/>
            </a:ext>
          </a:extLst>
        </xdr:cNvPr>
        <xdr:cNvSpPr>
          <a:spLocks noChangeAspect="1" noChangeArrowheads="1"/>
        </xdr:cNvSpPr>
      </xdr:nvSpPr>
      <xdr:spPr bwMode="auto">
        <a:xfrm>
          <a:off x="17402735" y="357467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14</xdr:col>
      <xdr:colOff>0</xdr:colOff>
      <xdr:row>15</xdr:row>
      <xdr:rowOff>0</xdr:rowOff>
    </xdr:from>
    <xdr:ext cx="304800" cy="304800"/>
    <xdr:sp macro="" textlink="">
      <xdr:nvSpPr>
        <xdr:cNvPr id="17" name="AutoShape 4" descr="data:image/png;base64,iVBORw0KGgoAAAANSUhEUgAAAJcAAACLCAMAAABbVfurAAAAaVBMVEX///8FBQUAAADV1dXg4OAfHx/S0tKIiIjm5ua8vLw3Nzf5+fn8/PxgYGAyMjIpKSmCgoJ2dnZBQUHz8/MYGBjs7OzGxsanp6dlZWVaWlqXl5dRUVG1tbV8fHwRERGurq6fn59ubm5JSUlFTzVxAAAH2UlEQVR4nO1c2bKqMBDUgAISAUHAFZf//8jLEpgGhiMoilXXfjilyNJJJj1LwpnNfvjhhx9+yBBGUWTKqVnUEUQ7UWBnBVOTIURHQThaU9NRsDdCzAlCbOypKWVo0MqIHafmlGFdZ5UzW0/fY3GbVtpjh6lp6QuGV0pMn5jXmaOVEjtPS0uKDl5JOCmvE08rJXaalJfRyWvSgbR3nbz8KXkF+05ezo9XGzYj9t/Aq0u+Ul67SXldO3lN64n0Dl2dT+2I/A69308cUVgdvKaV+9RBbth4YvrIMGQsTCTa1LRms+W8SUyIL6CVEhONvCP5kowo2BCz9NP6azJICQnkMZo+5wCYF2Oz2Rjx1HE9Aym/rDrxw/ciXF68o393F45/Xx8svZxkB6MNb5n+EFffYrrLpTh0QMOLPHXiE5GQaaxEHftL/oNcCAbZb3v6Sj77VhxIQDpCtzovGkorVjqpri8+7bKbSwcEtEaEImogVjh14QKvI53nmMNoRUq9xfZ2Pm+ckmMMvNr9BZE+VSfavC5FM4vzNsN47cvLCrPQ/OLpLvESW0sjLMM6r7lYaB289CSn5au2DhpJqWLQytGd9rsMN+TV0vV12ZH531XA89oXvbUs8mHhD6pilElhalNxpNe8MPGSdgVJvIS7V08MOF6H4vthpiVi+EhaoiKWjp5/9y5aSa6ye5+wOgEvP1wVH/ayzUsrjMuVZWFj4Jy8CoHUMnZnq84LzT4GXquyUpcXTuq87LuouKRykf90HxQULW8OUVM09novXnYWJ+YnGE1eBhHOKlTFN2MIr1RZo+ua5Ct/zsIGnXAJ20udVyZ/+QXXOi81igsl/soQxXIYsQxBdN3snYqZQXa/6JiPOS9VC0711QNeoa8uXeWtcVzVwlXfOal5Oc7K8+hxeYe1rHglf/KaKRnYOsDr3LSA0kT6jmSqfYVLLA+oIoTYyYf6Jfycl7ypHptXvCzGUcwHzUmlq0J4WvaQoOqvA41jcvYARrO/ZgHWBzJepXwIhti9Z4edwGtvy8tFfjnvH90Wr1noiBqvUnZNSdAdanAvxHPqZFGyMIIZxhOAvAbX4KXUQvGSlrrPpfac0kC2ffNg/eAntQ5Zq0RHbgWDxSyLX4ozK1dowe9L9eHYyEzKh7i9c7vAXFqGsbndDCP1kWF13ZJD1lxNfaQna/S7qT40Ay5dHY++JhX+4Y2w9WdRWZXUnkY3L327eArJjay9c8XoAfKwoIsXJwJ9AG21mxleX/zN66mmeniTzqW/l/rrmTs6tUhF+ewv4BXX76I9d5exeYlVs+z1lOmPzYsJn8zVM817cT627ndr3+fSPqvHfOyuNvbUifoDufC8sWqUBgyrh/C7+yuwHuNyrlfrPe5GUf2cRaybj9FJqyc02GKC2UwES6EehtHHD0UxB+B1pcM+yD6uGg2vvz0JWqTF3QiXNBwlE4khjP7UalG1qC0ErQRlaSsorE2m/6n+Ij1HjcjEVAgyXjJ9sf4Mrz11F2W3el6bxNl543r1jbC4DF6uW/WsomSZH3U+sJRFmTTGEVaVO5Nq07T9xKYFmIyUpNqlRxQgHNCCdvlnbJhUwAdVALJzMn0Y8YEV8eHwWI1IQEWBwvFjGsZrBO5VQL4UN2HnvgM0+efUA/UdAWJFp4MCv3Wjx4k6gKaYbEY1MPvmROydHbagx5AeNKNAXI+KP6IVrEaYbjM6hb1ftHENB35k6C6ZMYVUXpNWzVNrH3CTNO2g6K5zBURYxdjQ0L8proCm00BJdqcoGJPucJ08ImivarW8OENNn4NaYMATc0Y5Ik7c1LJJ6YVIIEalCo8EN/mGTdOwsr2g8YAZ6ljLeMsZExsYjYYDJ90QY+XGA9+hxAwR4uhaEVJX+CSpVLpR/QP9R7G+/katYNsMMbwKoOWdC7JjOjiy6ZNrhjjCPtKolfMv4gIOmwTZHXfPEzGAFT7WLYGOUsATcf5+BIBG0JSipSlxJyPXyRAp3aAaonBHDKmBAdQjPE4UOtINnY0nXwWrEaxbShHQmMM6mUG3eGJBmwcVQaAeIfecyWVgM23o8tFexrpxbb3Q06+N88mVg+nTRupmnfhZsFN/RsreKoxq9BsEPCsa3nG0ArZ8kdEbvNEXuHLTd0lsR3GTrEaAGuyY1idcU2j+zkfQCkiwYVCO3IMJEEKQldujukmQIxL1iA6ydV/JFpmuf439QIAg0jaHgLxzxy4WUzDTAvzp/UWtkGzaAHbdlUazqg8z+0WtiLiSTMj1YQMByQIEPNRK96WQmqq3aN9Uddh2+xTQUXJT9HYpb5d9ceXiE9pJ8ufLhHvO9A9cLw6HWRp4ucEyAwj3XwkhqD4lKuWMEcJ7SfRNNYVAI059jZeWIUGQy406r4aHMieWbUlTgATkwUtCUF9NyA6z4RUtVz8cYf4fCUgjwEIeBVIQclR73LKwbQxasyxsAY2ABOTxG7RQX0XTH6l2KM8wd2iWbR8vGMLMpR3HdjJarkajCMHFtceFYPrUu28oUoRkyr2KRoEYR68eAYy+X0QApr97X+E3HBxBQX31PdWvDBBctPevdgCyubf9ywCNtiT3l+vS9IU4vs3CTEMoN9LfuRWJoxCO9c6FheCab+8asgCbSosQ97e/bxumsc96SCwg7yK5fGIHhTwM2xqyjH/v+f3www//Bf4BTThqtO7mK0IAAAAASUVORK5CYII=">
          <a:extLst>
            <a:ext uri="{FF2B5EF4-FFF2-40B4-BE49-F238E27FC236}">
              <a16:creationId xmlns:a16="http://schemas.microsoft.com/office/drawing/2014/main" id="{00000000-0008-0000-0200-000011000000}"/>
            </a:ext>
          </a:extLst>
        </xdr:cNvPr>
        <xdr:cNvSpPr>
          <a:spLocks noChangeAspect="1" noChangeArrowheads="1"/>
        </xdr:cNvSpPr>
      </xdr:nvSpPr>
      <xdr:spPr bwMode="auto">
        <a:xfrm>
          <a:off x="17402735" y="428064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14</xdr:col>
      <xdr:colOff>1142999</xdr:colOff>
      <xdr:row>0</xdr:row>
      <xdr:rowOff>0</xdr:rowOff>
    </xdr:from>
    <xdr:to>
      <xdr:col>16</xdr:col>
      <xdr:colOff>72295</xdr:colOff>
      <xdr:row>6</xdr:row>
      <xdr:rowOff>27405</xdr:rowOff>
    </xdr:to>
    <xdr:pic>
      <xdr:nvPicPr>
        <xdr:cNvPr id="12" name="Picture 7">
          <a:extLst>
            <a:ext uri="{FF2B5EF4-FFF2-40B4-BE49-F238E27FC236}">
              <a16:creationId xmlns:a16="http://schemas.microsoft.com/office/drawing/2014/main" id="{A5FB82F7-B183-4805-82B2-0B5563859C58}"/>
            </a:ext>
          </a:extLst>
        </xdr:cNvPr>
        <xdr:cNvPicPr>
          <a:picLocks noChangeAspect="1"/>
        </xdr:cNvPicPr>
      </xdr:nvPicPr>
      <xdr:blipFill>
        <a:blip xmlns:r="http://schemas.openxmlformats.org/officeDocument/2006/relationships" r:embed="rId1"/>
        <a:stretch>
          <a:fillRect/>
        </a:stretch>
      </xdr:blipFill>
      <xdr:spPr>
        <a:xfrm>
          <a:off x="14713323" y="0"/>
          <a:ext cx="2698389" cy="1220719"/>
        </a:xfrm>
        <a:prstGeom prst="rect">
          <a:avLst/>
        </a:prstGeom>
      </xdr:spPr>
    </xdr:pic>
    <xdr:clientData/>
  </xdr:twoCellAnchor>
  <xdr:twoCellAnchor editAs="oneCell">
    <xdr:from>
      <xdr:col>0</xdr:col>
      <xdr:colOff>26894</xdr:colOff>
      <xdr:row>0</xdr:row>
      <xdr:rowOff>1</xdr:rowOff>
    </xdr:from>
    <xdr:to>
      <xdr:col>1</xdr:col>
      <xdr:colOff>745505</xdr:colOff>
      <xdr:row>5</xdr:row>
      <xdr:rowOff>38730</xdr:rowOff>
    </xdr:to>
    <xdr:pic>
      <xdr:nvPicPr>
        <xdr:cNvPr id="5" name="Imagen 4">
          <a:extLst>
            <a:ext uri="{FF2B5EF4-FFF2-40B4-BE49-F238E27FC236}">
              <a16:creationId xmlns:a16="http://schemas.microsoft.com/office/drawing/2014/main" id="{13C513D2-B59C-428A-905B-2B95BB85CE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894" y="1"/>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201705</xdr:colOff>
      <xdr:row>0</xdr:row>
      <xdr:rowOff>0</xdr:rowOff>
    </xdr:from>
    <xdr:to>
      <xdr:col>10</xdr:col>
      <xdr:colOff>1432124</xdr:colOff>
      <xdr:row>6</xdr:row>
      <xdr:rowOff>21690</xdr:rowOff>
    </xdr:to>
    <xdr:pic>
      <xdr:nvPicPr>
        <xdr:cNvPr id="2" name="Picture 7">
          <a:extLst>
            <a:ext uri="{FF2B5EF4-FFF2-40B4-BE49-F238E27FC236}">
              <a16:creationId xmlns:a16="http://schemas.microsoft.com/office/drawing/2014/main" id="{8C197A38-AAF1-4F23-8073-84DA253B5A8E}"/>
            </a:ext>
          </a:extLst>
        </xdr:cNvPr>
        <xdr:cNvPicPr>
          <a:picLocks noChangeAspect="1"/>
        </xdr:cNvPicPr>
      </xdr:nvPicPr>
      <xdr:blipFill>
        <a:blip xmlns:r="http://schemas.openxmlformats.org/officeDocument/2006/relationships" r:embed="rId1"/>
        <a:stretch>
          <a:fillRect/>
        </a:stretch>
      </xdr:blipFill>
      <xdr:spPr>
        <a:xfrm>
          <a:off x="13357411" y="0"/>
          <a:ext cx="2698389" cy="1220719"/>
        </a:xfrm>
        <a:prstGeom prst="rect">
          <a:avLst/>
        </a:prstGeom>
      </xdr:spPr>
    </xdr:pic>
    <xdr:clientData/>
  </xdr:twoCellAnchor>
  <xdr:twoCellAnchor editAs="oneCell">
    <xdr:from>
      <xdr:col>0</xdr:col>
      <xdr:colOff>62753</xdr:colOff>
      <xdr:row>0</xdr:row>
      <xdr:rowOff>0</xdr:rowOff>
    </xdr:from>
    <xdr:to>
      <xdr:col>2</xdr:col>
      <xdr:colOff>60062</xdr:colOff>
      <xdr:row>5</xdr:row>
      <xdr:rowOff>38729</xdr:rowOff>
    </xdr:to>
    <xdr:pic>
      <xdr:nvPicPr>
        <xdr:cNvPr id="3" name="Imagen 2">
          <a:extLst>
            <a:ext uri="{FF2B5EF4-FFF2-40B4-BE49-F238E27FC236}">
              <a16:creationId xmlns:a16="http://schemas.microsoft.com/office/drawing/2014/main" id="{AAC07FE8-E8DC-46A2-B7ED-BA009FF6F6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753" y="0"/>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18</xdr:col>
      <xdr:colOff>560294</xdr:colOff>
      <xdr:row>0</xdr:row>
      <xdr:rowOff>0</xdr:rowOff>
    </xdr:from>
    <xdr:to>
      <xdr:col>19</xdr:col>
      <xdr:colOff>1974039</xdr:colOff>
      <xdr:row>6</xdr:row>
      <xdr:rowOff>35025</xdr:rowOff>
    </xdr:to>
    <xdr:pic>
      <xdr:nvPicPr>
        <xdr:cNvPr id="2" name="Picture 7">
          <a:extLst>
            <a:ext uri="{FF2B5EF4-FFF2-40B4-BE49-F238E27FC236}">
              <a16:creationId xmlns:a16="http://schemas.microsoft.com/office/drawing/2014/main" id="{E592ADE9-6EE1-4EA3-996A-0C8EBB93C262}"/>
            </a:ext>
          </a:extLst>
        </xdr:cNvPr>
        <xdr:cNvPicPr>
          <a:picLocks noChangeAspect="1"/>
        </xdr:cNvPicPr>
      </xdr:nvPicPr>
      <xdr:blipFill>
        <a:blip xmlns:r="http://schemas.openxmlformats.org/officeDocument/2006/relationships" r:embed="rId1"/>
        <a:stretch>
          <a:fillRect/>
        </a:stretch>
      </xdr:blipFill>
      <xdr:spPr>
        <a:xfrm>
          <a:off x="16663147" y="0"/>
          <a:ext cx="2698389" cy="1220719"/>
        </a:xfrm>
        <a:prstGeom prst="rect">
          <a:avLst/>
        </a:prstGeom>
      </xdr:spPr>
    </xdr:pic>
    <xdr:clientData/>
  </xdr:twoCellAnchor>
  <xdr:twoCellAnchor editAs="oneCell">
    <xdr:from>
      <xdr:col>0</xdr:col>
      <xdr:colOff>106516</xdr:colOff>
      <xdr:row>0</xdr:row>
      <xdr:rowOff>16387</xdr:rowOff>
    </xdr:from>
    <xdr:to>
      <xdr:col>1</xdr:col>
      <xdr:colOff>1211802</xdr:colOff>
      <xdr:row>5</xdr:row>
      <xdr:rowOff>73248</xdr:rowOff>
    </xdr:to>
    <xdr:pic>
      <xdr:nvPicPr>
        <xdr:cNvPr id="3" name="Imagen 2">
          <a:extLst>
            <a:ext uri="{FF2B5EF4-FFF2-40B4-BE49-F238E27FC236}">
              <a16:creationId xmlns:a16="http://schemas.microsoft.com/office/drawing/2014/main" id="{2A950DC3-C1E9-4054-8598-1B8A650A25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516" y="16387"/>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1411941</xdr:colOff>
      <xdr:row>0</xdr:row>
      <xdr:rowOff>22412</xdr:rowOff>
    </xdr:from>
    <xdr:to>
      <xdr:col>7</xdr:col>
      <xdr:colOff>2048448</xdr:colOff>
      <xdr:row>6</xdr:row>
      <xdr:rowOff>10484</xdr:rowOff>
    </xdr:to>
    <xdr:pic>
      <xdr:nvPicPr>
        <xdr:cNvPr id="2" name="Picture 7">
          <a:extLst>
            <a:ext uri="{FF2B5EF4-FFF2-40B4-BE49-F238E27FC236}">
              <a16:creationId xmlns:a16="http://schemas.microsoft.com/office/drawing/2014/main" id="{CB501666-3129-4B55-809D-95584AD554E1}"/>
            </a:ext>
          </a:extLst>
        </xdr:cNvPr>
        <xdr:cNvPicPr>
          <a:picLocks noChangeAspect="1"/>
        </xdr:cNvPicPr>
      </xdr:nvPicPr>
      <xdr:blipFill>
        <a:blip xmlns:r="http://schemas.openxmlformats.org/officeDocument/2006/relationships" r:embed="rId1"/>
        <a:stretch>
          <a:fillRect/>
        </a:stretch>
      </xdr:blipFill>
      <xdr:spPr>
        <a:xfrm>
          <a:off x="13435853" y="22412"/>
          <a:ext cx="2698389" cy="1220719"/>
        </a:xfrm>
        <a:prstGeom prst="rect">
          <a:avLst/>
        </a:prstGeom>
      </xdr:spPr>
    </xdr:pic>
    <xdr:clientData/>
  </xdr:twoCellAnchor>
  <xdr:twoCellAnchor editAs="oneCell">
    <xdr:from>
      <xdr:col>0</xdr:col>
      <xdr:colOff>89647</xdr:colOff>
      <xdr:row>0</xdr:row>
      <xdr:rowOff>44823</xdr:rowOff>
    </xdr:from>
    <xdr:to>
      <xdr:col>0</xdr:col>
      <xdr:colOff>1682674</xdr:colOff>
      <xdr:row>5</xdr:row>
      <xdr:rowOff>47694</xdr:rowOff>
    </xdr:to>
    <xdr:pic>
      <xdr:nvPicPr>
        <xdr:cNvPr id="3" name="Imagen 2">
          <a:extLst>
            <a:ext uri="{FF2B5EF4-FFF2-40B4-BE49-F238E27FC236}">
              <a16:creationId xmlns:a16="http://schemas.microsoft.com/office/drawing/2014/main" id="{95BA4F15-3D3D-4C8E-AA21-0B07B87B3C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647" y="44823"/>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11</xdr:col>
      <xdr:colOff>750794</xdr:colOff>
      <xdr:row>0</xdr:row>
      <xdr:rowOff>0</xdr:rowOff>
    </xdr:from>
    <xdr:to>
      <xdr:col>13</xdr:col>
      <xdr:colOff>835187</xdr:colOff>
      <xdr:row>5</xdr:row>
      <xdr:rowOff>183017</xdr:rowOff>
    </xdr:to>
    <xdr:pic>
      <xdr:nvPicPr>
        <xdr:cNvPr id="2" name="Picture 7">
          <a:extLst>
            <a:ext uri="{FF2B5EF4-FFF2-40B4-BE49-F238E27FC236}">
              <a16:creationId xmlns:a16="http://schemas.microsoft.com/office/drawing/2014/main" id="{4B4584FF-96C3-443E-8A4D-BADF7E2E689B}"/>
            </a:ext>
          </a:extLst>
        </xdr:cNvPr>
        <xdr:cNvPicPr>
          <a:picLocks noChangeAspect="1"/>
        </xdr:cNvPicPr>
      </xdr:nvPicPr>
      <xdr:blipFill>
        <a:blip xmlns:r="http://schemas.openxmlformats.org/officeDocument/2006/relationships" r:embed="rId1"/>
        <a:stretch>
          <a:fillRect/>
        </a:stretch>
      </xdr:blipFill>
      <xdr:spPr>
        <a:xfrm>
          <a:off x="14276294" y="0"/>
          <a:ext cx="2698389" cy="1220719"/>
        </a:xfrm>
        <a:prstGeom prst="rect">
          <a:avLst/>
        </a:prstGeom>
      </xdr:spPr>
    </xdr:pic>
    <xdr:clientData/>
  </xdr:twoCellAnchor>
  <xdr:twoCellAnchor editAs="oneCell">
    <xdr:from>
      <xdr:col>0</xdr:col>
      <xdr:colOff>0</xdr:colOff>
      <xdr:row>0</xdr:row>
      <xdr:rowOff>0</xdr:rowOff>
    </xdr:from>
    <xdr:to>
      <xdr:col>2</xdr:col>
      <xdr:colOff>113851</xdr:colOff>
      <xdr:row>5</xdr:row>
      <xdr:rowOff>2871</xdr:rowOff>
    </xdr:to>
    <xdr:pic>
      <xdr:nvPicPr>
        <xdr:cNvPr id="3" name="Imagen 2">
          <a:extLst>
            <a:ext uri="{FF2B5EF4-FFF2-40B4-BE49-F238E27FC236}">
              <a16:creationId xmlns:a16="http://schemas.microsoft.com/office/drawing/2014/main" id="{302AED41-63F0-4730-AB23-9E4180BAC0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930088</xdr:colOff>
      <xdr:row>0</xdr:row>
      <xdr:rowOff>0</xdr:rowOff>
    </xdr:from>
    <xdr:to>
      <xdr:col>9</xdr:col>
      <xdr:colOff>48944</xdr:colOff>
      <xdr:row>6</xdr:row>
      <xdr:rowOff>6897</xdr:rowOff>
    </xdr:to>
    <xdr:pic>
      <xdr:nvPicPr>
        <xdr:cNvPr id="2" name="Picture 7">
          <a:extLst>
            <a:ext uri="{FF2B5EF4-FFF2-40B4-BE49-F238E27FC236}">
              <a16:creationId xmlns:a16="http://schemas.microsoft.com/office/drawing/2014/main" id="{06EFC347-9EFD-4422-96FA-87EC57D4D5AA}"/>
            </a:ext>
          </a:extLst>
        </xdr:cNvPr>
        <xdr:cNvPicPr>
          <a:picLocks noChangeAspect="1"/>
        </xdr:cNvPicPr>
      </xdr:nvPicPr>
      <xdr:blipFill>
        <a:blip xmlns:r="http://schemas.openxmlformats.org/officeDocument/2006/relationships" r:embed="rId1"/>
        <a:stretch>
          <a:fillRect/>
        </a:stretch>
      </xdr:blipFill>
      <xdr:spPr>
        <a:xfrm>
          <a:off x="13480676" y="0"/>
          <a:ext cx="2698389" cy="1220719"/>
        </a:xfrm>
        <a:prstGeom prst="rect">
          <a:avLst/>
        </a:prstGeom>
      </xdr:spPr>
    </xdr:pic>
    <xdr:clientData/>
  </xdr:twoCellAnchor>
  <xdr:twoCellAnchor editAs="oneCell">
    <xdr:from>
      <xdr:col>0</xdr:col>
      <xdr:colOff>89647</xdr:colOff>
      <xdr:row>0</xdr:row>
      <xdr:rowOff>53788</xdr:rowOff>
    </xdr:from>
    <xdr:to>
      <xdr:col>0</xdr:col>
      <xdr:colOff>1687119</xdr:colOff>
      <xdr:row>5</xdr:row>
      <xdr:rowOff>65549</xdr:rowOff>
    </xdr:to>
    <xdr:pic>
      <xdr:nvPicPr>
        <xdr:cNvPr id="3" name="Imagen 2">
          <a:extLst>
            <a:ext uri="{FF2B5EF4-FFF2-40B4-BE49-F238E27FC236}">
              <a16:creationId xmlns:a16="http://schemas.microsoft.com/office/drawing/2014/main" id="{B9DE86EE-EFF5-408D-A1E1-1F1627D504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647" y="53788"/>
          <a:ext cx="1593027" cy="10248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esktop\CDR%20AGUA%20SAN%20ANDRES\INFORMES%20FINANCIEROS\Informe%20financiero%20Enero%20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2F2AA6B\Resumen%20Contrato(s)%20-%20ConvocatoriasAA_Actualizado_10OCT13.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mineducaciongovco.sharepoint.com/sites/DIRECCIONDEPLANEACIONDENEGOCIOSFIDUCIARIOS/Documentos%20compartidos/CTO%20COID-254-2021%20PA%20DEPORTE%20SAN%20ANDRES/INFORMES%20DE%20EJECUCION/29.%20MAYO%202023/Resumen%20Contrato(s)%20-%20ConvocatoriasAA_Actualizado%202014.xlsx?23B2711B" TargetMode="External"/><Relationship Id="rId1" Type="http://schemas.openxmlformats.org/officeDocument/2006/relationships/externalLinkPath" Target="file:///\\23B2711B\Resumen%20Contrato(s)%20-%20ConvocatoriasAA_Actualizado%20201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CTO%209677-SAIPRO-127-2021%20-%20FNGRD%20SAN%20ANDRES%20VIVIENDA\INFORMES%20FINANCIEROS\06.%20JUNIO%202021\9677%20Informe%20Financiero%20con%20corte%20Junio%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PAGOS - OCT 20"/>
      <sheetName val="SALDOS FUENTE DE RECURSOS"/>
      <sheetName val="DESEMBOLSOS"/>
      <sheetName val="RENDIMIENTOS FINANCIEROS"/>
      <sheetName val="RESUMEN INFORME"/>
      <sheetName val="PAGOS DEL MES"/>
      <sheetName val="REMUNERACIÓN FINDETER"/>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trapartidas"/>
      <sheetName val="Contrato 036"/>
      <sheetName val="Contrato 159"/>
      <sheetName val="CONVOCATORIA GRUPO 1"/>
      <sheetName val="INTERAGUAS"/>
      <sheetName val="CONVOCATORIA GRUPO 2"/>
      <sheetName val="IEH GRUCON S.A."/>
      <sheetName val="HMV INGENIEROS LTDA"/>
      <sheetName val="CONVOCATORIA GRUPO 3"/>
      <sheetName val="CONSORCIO PROSPERIDAD"/>
      <sheetName val="CONVOCATORIA GRUPO 4"/>
      <sheetName val="CONVOCATORIA GRUPO 1A"/>
      <sheetName val="CONVOCATORIA GRUPO 5"/>
      <sheetName val="AGUAS DE COLOMBIA S.A."/>
      <sheetName val="CONVOCATORIA GRUPO 6"/>
      <sheetName val="CONSORCIO MAB-GIS"/>
      <sheetName val="CONVOCATORIA GRUPO 7"/>
      <sheetName val="CONSORCIO ACUEDUCTO Y SANEA"/>
      <sheetName val="CONVOCATORIA GRUPO 8"/>
      <sheetName val="UT SAN ISIDRO ZONA 2"/>
      <sheetName val="CONVOCATORIA GRUPO 9"/>
      <sheetName val="CONSORCIO HICON"/>
      <sheetName val="CONVOCATORIA GRUPO 10"/>
      <sheetName val="CONSORCIO EHSB"/>
      <sheetName val="CONVOCATORIA GRUPO 11"/>
      <sheetName val="CONTRATO FIRMADO"/>
      <sheetName val="Resumen 159 Original"/>
      <sheetName val="R. Contrato 036 Original"/>
      <sheetName val="FC MAYO (036)"/>
      <sheetName val="FC MAYO (159)"/>
      <sheetName val="FCaja Proyectado Contrato 036"/>
      <sheetName val="FCaja Proyectado Contrato 159"/>
      <sheetName val="CONVOCATORIA GRUPO 12"/>
      <sheetName val="CONVOCATORIA GRUPO 13"/>
      <sheetName val="Hoja3"/>
      <sheetName val="Resumen 036 Junio 12"/>
      <sheetName val="Resumen 159 Junio 12"/>
      <sheetName val="CONVOCATORIA GRUPO 15"/>
      <sheetName val="INTERV GRUPO 15"/>
      <sheetName val="PAGOS OBRA"/>
      <sheetName val="PAGOS INTERVENTORIA"/>
      <sheetName val="FACTURA FIND OBRA"/>
      <sheetName val="FACTURA FIND INTERV"/>
      <sheetName val="FIN EJEC. INTEGRAL"/>
      <sheetName val="CONSOLIDADO"/>
      <sheetName val="SEGUIMIENTO CONSULTORIA"/>
      <sheetName val="Hoja1"/>
      <sheetName val="SEGUIMIENTO PN-PJ"/>
      <sheetName val="Hoja2"/>
      <sheetName val="INTERVENTORIA ZONA 1 - COSTA"/>
      <sheetName val="PAGOS OBRA MVCT"/>
      <sheetName val="PAGOS INTERVENTORIA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3">
          <cell r="A3" t="str">
            <v>CONVOCATORIA</v>
          </cell>
          <cell r="B3" t="str">
            <v>FUENTE DE RECURSOS</v>
          </cell>
        </row>
        <row r="4">
          <cell r="A4" t="str">
            <v>PAF-ATF-001-2012</v>
          </cell>
          <cell r="B4" t="str">
            <v>Contrato No. 036 de 2012
CDP 274712
11 Recursos del Tesoro</v>
          </cell>
        </row>
        <row r="5">
          <cell r="A5" t="str">
            <v>PAF-ATF-002-2012</v>
          </cell>
          <cell r="B5" t="str">
            <v xml:space="preserve">Contrato No. 036 de 2012
CDP 1413                                                                                                                                                                                                                              </v>
          </cell>
        </row>
        <row r="6">
          <cell r="A6" t="str">
            <v>PAF-ATF-003-2012
PAF-ATF-041-2012</v>
          </cell>
          <cell r="B6" t="str">
            <v>Contrato No. 036 de 2012 
CDP 274712
10 Recursos Corrientes</v>
          </cell>
        </row>
        <row r="7">
          <cell r="A7" t="str">
            <v>PAF-ATF-004-2012</v>
          </cell>
          <cell r="B7" t="str">
            <v>Contrato No. 036 de 2012
CDP 274712
11 Recursos del Tesoro</v>
          </cell>
        </row>
        <row r="8">
          <cell r="A8" t="str">
            <v>PAF-ATF-005-2012</v>
          </cell>
          <cell r="B8" t="str">
            <v>Contrato No. 036 de 2012
CDP 274712
11 Recursos del Tesoro</v>
          </cell>
        </row>
        <row r="9">
          <cell r="A9" t="str">
            <v>PAF-ATF-006-2012</v>
          </cell>
          <cell r="B9" t="str">
            <v xml:space="preserve">Contrato No. 036 de 2012
CDP 1413                                                                                                                                                                                                                              </v>
          </cell>
        </row>
        <row r="10">
          <cell r="A10" t="str">
            <v>PAF-ATF-007-2012</v>
          </cell>
          <cell r="B10" t="str">
            <v xml:space="preserve">Contrato No. 036 de 2012
CDP 1413                                                                                                                                                                                                                              </v>
          </cell>
        </row>
        <row r="11">
          <cell r="A11" t="str">
            <v>PAF-ATF-008-2012</v>
          </cell>
          <cell r="B11" t="str">
            <v>Contrato No. 036 de 2012
CDP 274712
16 Fondos Especiales</v>
          </cell>
        </row>
        <row r="12">
          <cell r="A12" t="str">
            <v>PAF-ATF-009-2012</v>
          </cell>
          <cell r="B12" t="str">
            <v>Contrato No. 036 de 2012
CDP 274712
16 Fondos Especiales</v>
          </cell>
        </row>
        <row r="13">
          <cell r="A13" t="str">
            <v>PAF-ATF-010-2012</v>
          </cell>
          <cell r="B13" t="str">
            <v>Contrato No. 036 de 2012 
CDP 274712
10 Recursos Corrientes</v>
          </cell>
        </row>
        <row r="14">
          <cell r="A14" t="str">
            <v>PAF-ATF-011-2012</v>
          </cell>
          <cell r="B14" t="str">
            <v>Contrato No. 036 de 2012
CDP 274712
16 Fondos Especiales</v>
          </cell>
        </row>
        <row r="15">
          <cell r="A15" t="str">
            <v>PAF-ATF-012-2012</v>
          </cell>
          <cell r="B15" t="str">
            <v>Contrato No. 036 de 2012 
CDP 274712
10 Recursos Corrientes</v>
          </cell>
        </row>
        <row r="16">
          <cell r="A16" t="str">
            <v>PAF-ATF-013-2012</v>
          </cell>
          <cell r="B16" t="str">
            <v>Contrato No. 036 de 2012
CDP 274712
16 Fondos Especiales</v>
          </cell>
        </row>
        <row r="17">
          <cell r="A17" t="str">
            <v>PAF-ATF-014-2012</v>
          </cell>
          <cell r="B17" t="str">
            <v>Contrato No. 036 de 2012
CDP 274712
16 Fondos Especiales</v>
          </cell>
        </row>
        <row r="18">
          <cell r="A18" t="str">
            <v>PAF-ATF-015-2012</v>
          </cell>
          <cell r="B18" t="str">
            <v>Contrato No. 036 de 2012 
CDP 274712
10 Recursos Corrientes</v>
          </cell>
        </row>
        <row r="19">
          <cell r="A19" t="str">
            <v>PAF-ATF-016-2012</v>
          </cell>
          <cell r="B19" t="str">
            <v>Contrato No. 036 de 2012
CDP 274712
16 Fondos Especiales</v>
          </cell>
        </row>
        <row r="20">
          <cell r="A20" t="str">
            <v>PAF-ATF-017-2012
PAF-ATF-039-2013
PAF-ATF-075-2013
PAF-ATF-087-2013
PAF-ATF-099-2013</v>
          </cell>
          <cell r="B20" t="str">
            <v>Contrato No. 036 de 2012
CDP 274712
16 Fondos Especiales</v>
          </cell>
        </row>
        <row r="21">
          <cell r="A21" t="str">
            <v>PAF-ATF-018-2012
PAF-ATF-040-2012</v>
          </cell>
          <cell r="B21" t="str">
            <v>Contrato No. 036 de 2012
CDP 274712
16 Fondos Especiales</v>
          </cell>
        </row>
        <row r="22">
          <cell r="A22" t="str">
            <v>PAF-ATF-019-2012</v>
          </cell>
          <cell r="B22" t="str">
            <v>Contrato No. 036 de 2012
CDP 274712
16 Fondos Especiales</v>
          </cell>
        </row>
        <row r="23">
          <cell r="A23" t="str">
            <v>PAF-ATF-020-2012</v>
          </cell>
          <cell r="B23" t="str">
            <v>Contrato No. 036 de 2012
CDP 274712
16 Fondos Especiales</v>
          </cell>
        </row>
        <row r="24">
          <cell r="A24" t="str">
            <v>PAF-ATF-021-2012</v>
          </cell>
          <cell r="B24" t="str">
            <v>Contrato No. 036 de 2012
CDP 274712
16 Fondos Especiales</v>
          </cell>
        </row>
        <row r="25">
          <cell r="A25" t="str">
            <v>PAF-ATF-022-2012</v>
          </cell>
          <cell r="B25" t="str">
            <v>Contrato No. 036 de 2012
CDP 274712
16 Fondos Especiales</v>
          </cell>
        </row>
        <row r="26">
          <cell r="A26" t="str">
            <v>PAF-ATF-023-2012</v>
          </cell>
          <cell r="B26" t="str">
            <v>Contrato No. 036 de 2012
CDP 304012
11 Nación</v>
          </cell>
        </row>
        <row r="27">
          <cell r="A27" t="str">
            <v>PAF-ATF-024-2012</v>
          </cell>
          <cell r="B27" t="str">
            <v>Contrato No. 036 de 2012
CDP 274712
16 Fondos Especiales</v>
          </cell>
        </row>
        <row r="28">
          <cell r="A28" t="str">
            <v>PAF-ATF-025-2012</v>
          </cell>
          <cell r="B28" t="str">
            <v>Contrato No. 036 de 2012
CDP 274712
16 Fondos Especiales</v>
          </cell>
        </row>
        <row r="29">
          <cell r="A29" t="str">
            <v>PAF-ATF-026-2012</v>
          </cell>
          <cell r="B29" t="str">
            <v xml:space="preserve">CDP 235012                                                                                                                                                                                                                                                     </v>
          </cell>
        </row>
        <row r="30">
          <cell r="A30" t="str">
            <v>PAF-ATF-027-2012</v>
          </cell>
          <cell r="B30" t="str">
            <v>Contrato No. 036 de 2012
CDP 304012
11 Nación</v>
          </cell>
        </row>
        <row r="31">
          <cell r="A31" t="str">
            <v>PAF-ATF-028-2012</v>
          </cell>
          <cell r="B31" t="str">
            <v>Contrato No. 036 de 2012
CDP 290212
11 Recursos del Tesoro</v>
          </cell>
        </row>
        <row r="32">
          <cell r="A32" t="str">
            <v>PAF-ATF-029-2012
PAF-ATF-076-2013</v>
          </cell>
          <cell r="B32" t="str">
            <v xml:space="preserve">Contrato No. 036 de 2012
CDP 1413                                                                                                                                                                                                                              </v>
          </cell>
        </row>
        <row r="33">
          <cell r="A33" t="str">
            <v>PAF-ATF-030-2012</v>
          </cell>
          <cell r="B33" t="str">
            <v>Contrato No. 036 de 2012 
CDP 274712
10 Recursos Corrientes</v>
          </cell>
        </row>
        <row r="34">
          <cell r="A34" t="str">
            <v>PAF-ATF-031-2012</v>
          </cell>
          <cell r="B34" t="str">
            <v>Contrato No. 036 de 2012 
CDP 274712
10 Recursos Corrientes</v>
          </cell>
        </row>
        <row r="35">
          <cell r="A35" t="str">
            <v>PAF-ATF-032-2012</v>
          </cell>
          <cell r="B35" t="str">
            <v>Contrato No. 036 de 2012 
CDP 274712
10 Recursos Corrientes</v>
          </cell>
        </row>
        <row r="36">
          <cell r="A36" t="str">
            <v>PAF-ATF-033-2012
PAF-ATF-074-2013</v>
          </cell>
          <cell r="B36" t="str">
            <v>Contrato No. 036 de 2012
CDP 274712
11 Recursos del Tesoro</v>
          </cell>
        </row>
        <row r="37">
          <cell r="A37" t="str">
            <v>PAF-ATF-034-2012</v>
          </cell>
          <cell r="B37" t="str">
            <v>Contrato No. 036 de 2012 
CDP 274712
10 Recursos Corrientes</v>
          </cell>
        </row>
        <row r="38">
          <cell r="A38" t="str">
            <v>PAF-ATF-035-2012***</v>
          </cell>
          <cell r="B38" t="str">
            <v>Contrato No. 036 de 2012
CDP 274712
16 Fondos Especiales</v>
          </cell>
        </row>
        <row r="39">
          <cell r="A39" t="str">
            <v>PAF-ATF-036-2012</v>
          </cell>
          <cell r="B39" t="str">
            <v>Contrato No. 036 de 2012
CDP 274712
16 Fondos Especiales</v>
          </cell>
        </row>
        <row r="40">
          <cell r="A40" t="str">
            <v>PAF-ATF-037-2012</v>
          </cell>
          <cell r="B40" t="str">
            <v>Contrato No. 036 de 2012
CDP 274712
16 Fondos Especiales</v>
          </cell>
        </row>
        <row r="41">
          <cell r="A41" t="str">
            <v>PAF-ATF-038-2012</v>
          </cell>
          <cell r="B41" t="str">
            <v>Contrato No. 036 de 2012 
CDP 274712
10 Recursos Corrientes</v>
          </cell>
        </row>
        <row r="42">
          <cell r="A42" t="str">
            <v>PAF-ATF-042-2013</v>
          </cell>
          <cell r="B42" t="str">
            <v>Contrato No. 159 de 2013
CDP 22813
11 Recursos del Tesoro</v>
          </cell>
        </row>
        <row r="43">
          <cell r="A43" t="str">
            <v>PAF-ATF-043-2013</v>
          </cell>
          <cell r="B43" t="str">
            <v>Contrato No. 159 de 2013
CDP 22813
11 Recursos del Tesoro</v>
          </cell>
        </row>
        <row r="44">
          <cell r="A44" t="str">
            <v>PAF-ATF-044-2013</v>
          </cell>
          <cell r="B44" t="str">
            <v>Contrato No. 159 de 2013
CDP 22813
11 Recursos del Tesoro</v>
          </cell>
        </row>
        <row r="45">
          <cell r="A45" t="str">
            <v>PAF-ATF-045-2013</v>
          </cell>
          <cell r="B45" t="str">
            <v>Contrato No. 159 de 2013
CDP 22813
11 Recursos del Tesoro</v>
          </cell>
        </row>
        <row r="46">
          <cell r="A46" t="str">
            <v>PAF-ATF-046-2013</v>
          </cell>
          <cell r="B46" t="str">
            <v>Contrato No. 036 de 2012 
CDP 274712
10 Recursos Corrientes</v>
          </cell>
        </row>
        <row r="47">
          <cell r="A47" t="str">
            <v>PAF-ATF-047-2013</v>
          </cell>
          <cell r="B47" t="str">
            <v>Contrato No. 159 de 2013
CDP 22813
11 Recursos del Tesoro</v>
          </cell>
        </row>
        <row r="48">
          <cell r="A48" t="str">
            <v>PAF-ATF-048-2013</v>
          </cell>
          <cell r="B48" t="str">
            <v>Contrato No. 159 de 2013
CDP 22813
11 Recursos del Tesoro</v>
          </cell>
        </row>
        <row r="49">
          <cell r="A49" t="str">
            <v>PAF-ATF-049-2013</v>
          </cell>
          <cell r="B49" t="str">
            <v>Contrato No. 159 de 2013
CDP 22813
11 Recursos del Tesoro</v>
          </cell>
        </row>
        <row r="50">
          <cell r="A50" t="str">
            <v>PAF-ATF-050-2013</v>
          </cell>
          <cell r="B50" t="str">
            <v>Contrato No. 036 de 2012
CDP 274712
16 Fondos Especiales</v>
          </cell>
        </row>
        <row r="51">
          <cell r="A51" t="str">
            <v>PAF-ATF-051-2013</v>
          </cell>
          <cell r="B51" t="str">
            <v>Contrato No. 036 de 2012
CDP 274712
16 Fondos Especiales</v>
          </cell>
        </row>
        <row r="52">
          <cell r="A52" t="str">
            <v>PAF-ATF-052-2013</v>
          </cell>
          <cell r="B52" t="str">
            <v>Contrato No. 159 de 2013
CDP 22813
11 Recursos del Tesoro</v>
          </cell>
        </row>
        <row r="53">
          <cell r="A53" t="str">
            <v>PAF-ATF-053-2013
PAF-ATF-102-2013</v>
          </cell>
          <cell r="B53" t="str">
            <v>Contrato No. 159 de 2013
CDP 22813
11 Recursos del Tesoro</v>
          </cell>
        </row>
        <row r="54">
          <cell r="A54" t="str">
            <v>PAF-ATF-054-2013</v>
          </cell>
          <cell r="B54" t="str">
            <v>Contrato No. 159 de 2013
CDP 22813
11 Recursos del Tesoro</v>
          </cell>
        </row>
        <row r="55">
          <cell r="A55" t="str">
            <v>PAF-ATF-055-2013</v>
          </cell>
          <cell r="B55" t="str">
            <v>Contrato No. 159 de 2013
CDP 22813
11 Recursos del Tesoro</v>
          </cell>
        </row>
        <row r="56">
          <cell r="A56" t="str">
            <v>PAF-ATF-056-2013</v>
          </cell>
          <cell r="B56" t="str">
            <v>Contrato No. 036 de 2012 
CDP 274712
10 Recursos Corrientes</v>
          </cell>
        </row>
        <row r="57">
          <cell r="A57" t="str">
            <v>PAF-ATF-057-2013</v>
          </cell>
          <cell r="B57" t="str">
            <v>Contrato No. 036 de 2012 
CDP 274712
10 Recursos Corrientes</v>
          </cell>
        </row>
        <row r="58">
          <cell r="A58" t="str">
            <v>PAF-ATF-058-2013</v>
          </cell>
          <cell r="B58" t="str">
            <v>Contrato No. 036 de 2012
CDP 274712
16 Fondos Especiales</v>
          </cell>
        </row>
        <row r="59">
          <cell r="A59" t="str">
            <v>PAF-ATF-059-2013</v>
          </cell>
          <cell r="B59" t="str">
            <v>Contrato No. 159 de 2013
CDP 22813
11 Recursos del Tesoro</v>
          </cell>
        </row>
        <row r="60">
          <cell r="A60" t="str">
            <v>PAF-ATF-060-2013</v>
          </cell>
          <cell r="B60" t="str">
            <v>Contrato No. 159 de 2013
CDP 22813
11 Recursos del Tesoro</v>
          </cell>
        </row>
        <row r="61">
          <cell r="A61" t="str">
            <v>PAF-ATF-061-2013</v>
          </cell>
          <cell r="B61" t="str">
            <v>Contrato No. 036 de 2012
CDP 274712
16 Fondos Especiales</v>
          </cell>
        </row>
        <row r="62">
          <cell r="A62" t="str">
            <v>PAF-ATF-062-2013</v>
          </cell>
          <cell r="B62" t="str">
            <v>Contrato No. 159 de 2013
CDP 22813
11 Recursos del Tesoro</v>
          </cell>
        </row>
        <row r="63">
          <cell r="A63" t="str">
            <v>PAF-ATF-063-2013</v>
          </cell>
          <cell r="B63" t="str">
            <v>Contrato No. 159 de 2013
CDP 22813
11 Recursos del Tesoro</v>
          </cell>
        </row>
        <row r="64">
          <cell r="A64" t="str">
            <v>PAF-ATF-064-2013</v>
          </cell>
          <cell r="B64" t="str">
            <v>Contrato No. 159 de 2013
CDP 22813
11 Recursos del Tesoro</v>
          </cell>
        </row>
        <row r="65">
          <cell r="A65" t="str">
            <v>PAF-ATF-065-2013</v>
          </cell>
          <cell r="B65" t="str">
            <v>Contrato No. 159 de 2013
CDP 22813
11 Recursos del Tesoro</v>
          </cell>
        </row>
        <row r="66">
          <cell r="A66" t="str">
            <v>PAF-ATF-066-2013</v>
          </cell>
          <cell r="B66" t="str">
            <v>Contrato No. 159 de 2013
CDP 22813
11 Recursos del Tesoro</v>
          </cell>
        </row>
        <row r="67">
          <cell r="A67" t="str">
            <v>PAF-ATF-067-2013</v>
          </cell>
          <cell r="B67" t="str">
            <v>Contrato No. 159 de 2013
CDP 22813
11 Recursos del Tesoro</v>
          </cell>
        </row>
        <row r="68">
          <cell r="A68" t="str">
            <v>PAF-ATF-069-2013</v>
          </cell>
          <cell r="B68" t="str">
            <v>Contrato No. 036 de 2012 
CDP 274712
10 Recursos Corrientes</v>
          </cell>
        </row>
        <row r="69">
          <cell r="A69" t="str">
            <v>PAF-ATF-070-2013</v>
          </cell>
          <cell r="B69" t="str">
            <v>Contrato No. 159 de 2013
CDP 22813
16 Fondos Especiales</v>
          </cell>
        </row>
        <row r="70">
          <cell r="A70" t="str">
            <v>PAF-ATF-071-2013</v>
          </cell>
          <cell r="B70" t="str">
            <v>Contrato No. 159 de 2013
CDP 22813
16 Fondos Especiales</v>
          </cell>
        </row>
        <row r="71">
          <cell r="A71" t="str">
            <v>PAF-ATF-072-2013</v>
          </cell>
          <cell r="B71" t="str">
            <v>Contrato No. 159 de 2013
CDP 22813
16 Fondos Especiales</v>
          </cell>
        </row>
        <row r="72">
          <cell r="A72" t="str">
            <v>PAF-ATF-073-2013</v>
          </cell>
          <cell r="B72" t="str">
            <v xml:space="preserve">CDP 152012  
SEGUN MAIL REMITIDO DEL MVCT                                                                                                                                                                                                                      </v>
          </cell>
        </row>
        <row r="73">
          <cell r="A73" t="str">
            <v>PAF-ATF-077-2013</v>
          </cell>
          <cell r="B73" t="str">
            <v>Contrato No. 036 de 2012
CDP 274712
16 Fondos Especiales</v>
          </cell>
        </row>
        <row r="74">
          <cell r="A74" t="str">
            <v>PAF-ATF-078-2013</v>
          </cell>
          <cell r="B74" t="str">
            <v>Contrato No. 159 de 2013
CDP 22813
16 Fondos Especiales</v>
          </cell>
        </row>
        <row r="75">
          <cell r="A75" t="str">
            <v>PAF-ATF-079-2013</v>
          </cell>
          <cell r="B75" t="str">
            <v>Contrato No. 159 de 2013
CDP 22813
16 Fondos Especiales</v>
          </cell>
        </row>
        <row r="76">
          <cell r="A76" t="str">
            <v>PAF-ATF-080-2013</v>
          </cell>
          <cell r="B76" t="str">
            <v>Contrato No. 159 de 2013
CDP 22813
16 Fondos Especiales</v>
          </cell>
        </row>
        <row r="77">
          <cell r="A77" t="str">
            <v>PAF-ATF-081-2013</v>
          </cell>
          <cell r="B77" t="str">
            <v>Contrato No. 159 de 2013
CDP 22813
16 Fondos Especiales</v>
          </cell>
        </row>
        <row r="78">
          <cell r="A78" t="str">
            <v>PAF-ATF-082-2013</v>
          </cell>
          <cell r="B78" t="str">
            <v>Contrato No. 159 de 2013
CDP 22813
16 Fondos Especiales</v>
          </cell>
        </row>
        <row r="79">
          <cell r="A79" t="str">
            <v>PAF-ATF-083-2013</v>
          </cell>
          <cell r="B79" t="str">
            <v>Contrato No. 159 de 2013
CDP 22813
16 Fondos Especiales</v>
          </cell>
        </row>
        <row r="80">
          <cell r="A80" t="str">
            <v>PAF-ATF-084-2013</v>
          </cell>
          <cell r="B80" t="str">
            <v>Contrato No. 036 de 2012
CDP 274712
16 Fondos Especiales</v>
          </cell>
        </row>
        <row r="81">
          <cell r="A81" t="str">
            <v>PAF-ATF-085-2013</v>
          </cell>
          <cell r="B81" t="str">
            <v>Contrato No. 159 de 2013
CDP 22813
16 Fondos Especiales</v>
          </cell>
        </row>
        <row r="82">
          <cell r="A82" t="str">
            <v>PAF-ATF-086-2013</v>
          </cell>
          <cell r="B82" t="str">
            <v>Contrato No. 036 de 2012
CDP 274712
16 Fondos Especiales</v>
          </cell>
        </row>
        <row r="83">
          <cell r="A83" t="str">
            <v>PAF-ATF-090-2013</v>
          </cell>
          <cell r="B83" t="str">
            <v>Contrato No. 159 de 2013
CDP 22813
16 Fondos Especiales</v>
          </cell>
        </row>
        <row r="84">
          <cell r="A84" t="str">
            <v>PAF-ATF-091-2013</v>
          </cell>
          <cell r="B84" t="str">
            <v>Contrato No. 159 de 2013
CDP 22813
16 Fondos Especiales</v>
          </cell>
        </row>
        <row r="85">
          <cell r="A85" t="str">
            <v>PAF-ATF-093-2013</v>
          </cell>
          <cell r="B85" t="str">
            <v>Contrato No. 036 de 2012
CDP 274712
16 Fondos Especiales</v>
          </cell>
        </row>
        <row r="86">
          <cell r="A86" t="str">
            <v>PAF-ATF-094-2013</v>
          </cell>
          <cell r="B86" t="str">
            <v>SALDOS CONTRATO 036 DE 2012
TODOS LOS CDP VER RELACIÓN ANEXA</v>
          </cell>
        </row>
        <row r="87">
          <cell r="A87" t="str">
            <v>PAF-ATF-095-2013</v>
          </cell>
          <cell r="B87" t="str">
            <v>Contrato No. 159 de 2013
CDP 137513
11 Nación</v>
          </cell>
        </row>
        <row r="88">
          <cell r="A88" t="str">
            <v>PAF-ATF-096-2013</v>
          </cell>
          <cell r="B88" t="str">
            <v>Contrato No. 159 de 2013
CDP 137513
11 Nación</v>
          </cell>
        </row>
        <row r="89">
          <cell r="A89" t="str">
            <v>PAF-ATF-097-2013</v>
          </cell>
          <cell r="B89" t="str">
            <v>Contrato No. 159 de 2013
CDP 137513
11 Nación</v>
          </cell>
        </row>
        <row r="90">
          <cell r="A90" t="str">
            <v>PAF-ATF-098-2013</v>
          </cell>
          <cell r="B90" t="str">
            <v>Contrato No. 159 de 2013
CDP 155913
11 Nación</v>
          </cell>
        </row>
        <row r="91">
          <cell r="A91" t="str">
            <v>PAF-ATF-100-2013</v>
          </cell>
          <cell r="B91" t="str">
            <v>Contrato No. 159 de 2013
CDP 155913
11 Nación</v>
          </cell>
        </row>
        <row r="92">
          <cell r="A92" t="str">
            <v>PAF-ATF-101-2013</v>
          </cell>
          <cell r="B92" t="str">
            <v>Contrato No. 159 de 2013
CDP 137513
11 Nación</v>
          </cell>
        </row>
        <row r="93">
          <cell r="A93" t="str">
            <v>PAF-ATF-103-2013</v>
          </cell>
          <cell r="B93" t="str">
            <v>Contrato No. 159 de 2013
CDP 155913
11 Nación</v>
          </cell>
        </row>
      </sheetData>
      <sheetData sheetId="41"/>
      <sheetData sheetId="42"/>
      <sheetData sheetId="43"/>
      <sheetData sheetId="44"/>
      <sheetData sheetId="45">
        <row r="3">
          <cell r="A3" t="str">
            <v>CONVOCATORIA</v>
          </cell>
          <cell r="B3" t="str">
            <v>CONCEPTO</v>
          </cell>
          <cell r="C3" t="str">
            <v>PRESUPUESTO OBRA</v>
          </cell>
          <cell r="D3" t="str">
            <v>PRESUPUESTO OBRA NACIÓN</v>
          </cell>
          <cell r="E3" t="str">
            <v>CONTRAPARTIDA OBRA</v>
          </cell>
          <cell r="F3" t="str">
            <v>PRESUPUESTO INTERVENTORIA</v>
          </cell>
          <cell r="G3" t="str">
            <v>INTERVENTORIA NACIÓN</v>
          </cell>
          <cell r="H3" t="str">
            <v>CONTRAPARTIDA INTERVENTORIA</v>
          </cell>
          <cell r="I3" t="str">
            <v>ENTIDADES RESPONSABLES CONTRAPARTIDAS</v>
          </cell>
          <cell r="J3" t="str">
            <v>SEGUIMIENTO (MTSJ)</v>
          </cell>
          <cell r="K3" t="str">
            <v>SEGUIMIENTO (VIABILIZACIÓN)</v>
          </cell>
          <cell r="L3" t="str">
            <v>CONTRAPARTIDA SEGUIMIENTO (VIABILIZACIÓN)</v>
          </cell>
          <cell r="M3" t="str">
            <v>FECHA APERTURA</v>
          </cell>
          <cell r="N3" t="str">
            <v>FUENTE DE RECURSOS OBRA ASIGNADO MTSJ</v>
          </cell>
          <cell r="O3" t="str">
            <v>FUENTE DE RECURSOS INTERVENTORIA ASIGNADO</v>
          </cell>
          <cell r="P3" t="str">
            <v>FUENTE DE RECURSOS OBRA MVCT</v>
          </cell>
          <cell r="Q3" t="str">
            <v>GRUPO</v>
          </cell>
          <cell r="R3" t="str">
            <v>PROPONENTES</v>
          </cell>
          <cell r="S3" t="str">
            <v>IDENTIFICACIÓN (NIT)</v>
          </cell>
          <cell r="T3" t="str">
            <v>FECHA ADJUDICACIÓN</v>
          </cell>
          <cell r="U3" t="str">
            <v>MONTO ADJUDICADO OBRA</v>
          </cell>
          <cell r="V3" t="str">
            <v>MONTO ADJUDICADO OBRA (NACIÓN)</v>
          </cell>
          <cell r="W3" t="str">
            <v>CONTRAPARTIDA OBRA</v>
          </cell>
          <cell r="X3" t="str">
            <v>MONTO ADJUDICADO INTERVENTORIA</v>
          </cell>
          <cell r="Y3" t="str">
            <v>MONTO ADJUDICADO INTERVENTORIA (NACIÓN)</v>
          </cell>
          <cell r="Z3" t="str">
            <v>INTERVENTORIA CONTRAPARTIDA</v>
          </cell>
          <cell r="AA3" t="str">
            <v>CONTRAPARTIDA SEGUIMIENTO</v>
          </cell>
          <cell r="AB3" t="str">
            <v>MUNICIPIO</v>
          </cell>
          <cell r="AC3" t="str">
            <v>DEPARTAMENTO</v>
          </cell>
          <cell r="AD3" t="str">
            <v>FECHA SUSCRIPCIÓN DEL CONTRATO</v>
          </cell>
          <cell r="AE3" t="str">
            <v>PLAZO DE EJECUCIÓN (MESES)</v>
          </cell>
          <cell r="AF3" t="str">
            <v>FECHA ACTA DE INCIO</v>
          </cell>
          <cell r="AG3" t="str">
            <v>ANTICIPO OBRA</v>
          </cell>
        </row>
        <row r="4">
          <cell r="A4" t="str">
            <v>PAF-ATF-001-2012</v>
          </cell>
          <cell r="B4" t="str">
            <v>CONSTRUCCIÓN DE LA INFRAESTRUCTURA MATRIZ PARA EL SUMINISTRO DE AGUA POTABLE AL PROYECTO CIUDAD DEL  BICENTENARIO ETAPA 1 FASE 2B</v>
          </cell>
          <cell r="C4">
            <v>10256430884</v>
          </cell>
          <cell r="D4">
            <v>10256430884</v>
          </cell>
          <cell r="E4">
            <v>0</v>
          </cell>
          <cell r="F4">
            <v>615385853</v>
          </cell>
          <cell r="G4">
            <v>0</v>
          </cell>
          <cell r="H4">
            <v>615385853</v>
          </cell>
          <cell r="I4" t="str">
            <v xml:space="preserve">CONVENIO INTERADMINISTRATIVO 131           ACUACAR S.A. E.S.P.                                                                                                                                                                                                                                               31-12-2012                                                                                                                                                                                                                                                                                                         $824.700.769
</v>
          </cell>
          <cell r="J4">
            <v>217436334.74000001</v>
          </cell>
          <cell r="K4">
            <v>209314916</v>
          </cell>
          <cell r="L4">
            <v>0</v>
          </cell>
          <cell r="M4">
            <v>41222</v>
          </cell>
          <cell r="N4" t="str">
            <v>Contrato No. 036 de 2012
CDP 274712
11 Recursos del Tesoro</v>
          </cell>
          <cell r="O4" t="str">
            <v>Contrato No. 036 de 2012
CDP 274712
11 Recursos del Tesoro</v>
          </cell>
          <cell r="P4" t="str">
            <v>Contrato No. 036 de 2012
CDP 274712
11 Recursos del Tesoro</v>
          </cell>
          <cell r="Q4" t="str">
            <v>GRUPO 1</v>
          </cell>
          <cell r="R4" t="str">
            <v xml:space="preserve">U.T ACUEDUCTO 2012
CONSTRUCCIONES E INVERSIONES BETA S.A.S.
PROMOTORA EL CAMPIN S.A.
</v>
          </cell>
          <cell r="S4">
            <v>900587967</v>
          </cell>
          <cell r="T4">
            <v>41271</v>
          </cell>
          <cell r="U4">
            <v>9999927181</v>
          </cell>
          <cell r="V4">
            <v>9999927181</v>
          </cell>
          <cell r="W4">
            <v>0</v>
          </cell>
          <cell r="X4">
            <v>615385853</v>
          </cell>
          <cell r="Y4">
            <v>0</v>
          </cell>
          <cell r="Z4">
            <v>615385853</v>
          </cell>
          <cell r="AA4">
            <v>0</v>
          </cell>
          <cell r="AB4" t="str">
            <v>CARTAGENA D.T.</v>
          </cell>
          <cell r="AC4" t="str">
            <v>BOLIVAR</v>
          </cell>
          <cell r="AD4">
            <v>41297</v>
          </cell>
          <cell r="AE4">
            <v>10</v>
          </cell>
          <cell r="AF4">
            <v>0</v>
          </cell>
          <cell r="AG4">
            <v>2999978154.2999997</v>
          </cell>
        </row>
        <row r="5">
          <cell r="A5" t="str">
            <v>PAF-ATF-002-2012</v>
          </cell>
          <cell r="B5" t="str">
            <v>CONSTRUCCIÓN OBRAS DE OPTIMIZACIÓN DE REDES DE ACUEDUCTO PARA LA PIMERA ETAPA DEL SISTEMA ESTRATEGICO DE TRANSPORTE PUBLICO DEL MUNICIPIO DE POPAYAN"</v>
          </cell>
          <cell r="C5">
            <v>10115388621</v>
          </cell>
          <cell r="D5">
            <v>10115388621</v>
          </cell>
          <cell r="E5">
            <v>0</v>
          </cell>
          <cell r="F5">
            <v>539287636</v>
          </cell>
          <cell r="G5">
            <v>539287636</v>
          </cell>
          <cell r="H5">
            <v>0</v>
          </cell>
          <cell r="I5">
            <v>0</v>
          </cell>
          <cell r="J5">
            <v>213093525.14000002</v>
          </cell>
          <cell r="K5">
            <v>217662781</v>
          </cell>
          <cell r="L5">
            <v>0</v>
          </cell>
          <cell r="M5">
            <v>41222</v>
          </cell>
          <cell r="N5" t="str">
            <v>Contrato No. 036 de 2012
CDP 1413                                                                                                                                                                                                                                                                                                          
Vigencias Futuras 2013</v>
          </cell>
          <cell r="O5" t="str">
            <v>Contrato No. 036 de 2012
CDP 1413                                                                                                                                                                                                                                                                                                         
 Vigencias Futuras 2013</v>
          </cell>
          <cell r="P5" t="str">
            <v>Contrato No. 036 de 2012
CDP 1413                                                                                                                                                                                                                                                                                                          Vigencias Futuras 2013</v>
          </cell>
          <cell r="Q5" t="str">
            <v>GRUPO 1</v>
          </cell>
          <cell r="R5" t="str">
            <v>FAGAR SERVICIOS
FAGAR SERVICIOS  97 S. L.  SUCURSAL COLOMBIA</v>
          </cell>
          <cell r="S5">
            <v>900400391</v>
          </cell>
          <cell r="T5">
            <v>41271</v>
          </cell>
          <cell r="U5">
            <v>10022371708</v>
          </cell>
          <cell r="V5">
            <v>10022371708</v>
          </cell>
          <cell r="W5">
            <v>0</v>
          </cell>
          <cell r="X5">
            <v>512323280</v>
          </cell>
          <cell r="Y5">
            <v>512323280</v>
          </cell>
          <cell r="Z5">
            <v>0</v>
          </cell>
          <cell r="AA5">
            <v>0</v>
          </cell>
          <cell r="AB5" t="str">
            <v>POPAYAN</v>
          </cell>
          <cell r="AC5" t="str">
            <v>CAUCA</v>
          </cell>
          <cell r="AD5">
            <v>41304</v>
          </cell>
          <cell r="AE5">
            <v>14</v>
          </cell>
          <cell r="AF5">
            <v>0</v>
          </cell>
          <cell r="AG5">
            <v>3006711512.4000001</v>
          </cell>
        </row>
        <row r="6">
          <cell r="A6" t="str">
            <v>PAF-ATF-003-2012
PAF-ATF-041-2012</v>
          </cell>
          <cell r="B6" t="str">
            <v>CONSTRUCCIÓN OBRAS DE OPTIMIZACIÓN REDES DE ALCANTARILLADO PRIMERA ETAPA DEL SISTEMA ESTRATÉGICO DE TRANSPORTE PÚBLICO DEL MUNICIPIO DE POPAYÁN</v>
          </cell>
          <cell r="C6">
            <v>7826096261</v>
          </cell>
          <cell r="D6">
            <v>7826096261</v>
          </cell>
          <cell r="E6">
            <v>0</v>
          </cell>
          <cell r="F6">
            <v>501934144</v>
          </cell>
          <cell r="G6">
            <v>501934144</v>
          </cell>
          <cell r="H6">
            <v>0</v>
          </cell>
          <cell r="I6">
            <v>0</v>
          </cell>
          <cell r="J6">
            <v>166560608.09999999</v>
          </cell>
          <cell r="K6">
            <v>169959804</v>
          </cell>
          <cell r="L6">
            <v>0</v>
          </cell>
          <cell r="M6" t="str">
            <v>09-11-2012
08-01-2013</v>
          </cell>
          <cell r="N6" t="str">
            <v>Contrato No. 036 de 2012 
CDP 274712
10 Recursos Corrientes</v>
          </cell>
          <cell r="O6" t="str">
            <v>Contrato No. 036 de 2012 
CDP 274712
10 Recursos Corrientes</v>
          </cell>
          <cell r="P6" t="str">
            <v>Contrato No. 036 de 2012 
CDP 274712
10 Recursos Corrientes</v>
          </cell>
          <cell r="Q6" t="str">
            <v>GRUPO 1</v>
          </cell>
          <cell r="R6" t="str">
            <v>CONSORCIO REDES ALCANTARILLADO POPAYAN
JUAN CARLOS CANENCIO SANCHEZ
ESPINA Y DELFIN COLOMBIA</v>
          </cell>
          <cell r="S6">
            <v>900600452</v>
          </cell>
          <cell r="T6">
            <v>41332</v>
          </cell>
          <cell r="U6">
            <v>7720288571</v>
          </cell>
          <cell r="V6">
            <v>7720288571</v>
          </cell>
          <cell r="W6">
            <v>0</v>
          </cell>
          <cell r="X6">
            <v>476843520</v>
          </cell>
          <cell r="Y6">
            <v>476843520</v>
          </cell>
          <cell r="Z6">
            <v>0</v>
          </cell>
          <cell r="AA6">
            <v>40000000</v>
          </cell>
          <cell r="AB6" t="str">
            <v>POPAYAN</v>
          </cell>
          <cell r="AC6" t="str">
            <v>CAUCA</v>
          </cell>
          <cell r="AD6">
            <v>41353</v>
          </cell>
          <cell r="AE6">
            <v>18</v>
          </cell>
          <cell r="AF6">
            <v>0</v>
          </cell>
          <cell r="AG6">
            <v>2316086571.2999997</v>
          </cell>
        </row>
        <row r="7">
          <cell r="A7" t="str">
            <v>PAF-ATF-004-2012</v>
          </cell>
          <cell r="B7" t="str">
            <v>CONSTRUCCIÓN DEL INTERCEPTOR RANCHO GRANDE EN EL MUNICIPIO DE MONTERIA</v>
          </cell>
          <cell r="C7">
            <v>2604552906</v>
          </cell>
          <cell r="D7">
            <v>2604552906</v>
          </cell>
          <cell r="E7">
            <v>0</v>
          </cell>
          <cell r="F7">
            <v>92807928</v>
          </cell>
          <cell r="G7">
            <v>0</v>
          </cell>
          <cell r="H7">
            <v>92807928</v>
          </cell>
          <cell r="I7" t="str">
            <v xml:space="preserve">PROACTIVA S.A. ESP               $92.807.928                                                                                                                                                                                                                                                                 </v>
          </cell>
          <cell r="J7">
            <v>53947216.68</v>
          </cell>
          <cell r="K7">
            <v>53154141</v>
          </cell>
          <cell r="L7">
            <v>0</v>
          </cell>
          <cell r="M7">
            <v>41222</v>
          </cell>
          <cell r="N7" t="str">
            <v>Contrato No. 036 de 2012
CDP 274712
11 Recursos del Tesoro</v>
          </cell>
          <cell r="O7" t="str">
            <v>Contrato No. 036 de 2012
CDP 274712
11 Recursos del Tesoro</v>
          </cell>
          <cell r="P7" t="str">
            <v>Contrato No. 036 de 2012
CDP 274712
11 Recursos del Tesoro</v>
          </cell>
          <cell r="Q7" t="str">
            <v>GRUPO 1</v>
          </cell>
          <cell r="R7" t="str">
            <v>CONSORCIO RANCHO GRANDE MV-LM
MEJIA VILLEGAS CONSTRUCCIONES S.A.
LUIS FERNANDO MESA BALLESTEROS</v>
          </cell>
          <cell r="S7">
            <v>900583182</v>
          </cell>
          <cell r="T7">
            <v>41271</v>
          </cell>
          <cell r="U7">
            <v>2545265423</v>
          </cell>
          <cell r="V7">
            <v>2545265423</v>
          </cell>
          <cell r="W7">
            <v>0</v>
          </cell>
          <cell r="X7">
            <v>92807928</v>
          </cell>
          <cell r="Y7">
            <v>0</v>
          </cell>
          <cell r="Z7">
            <v>92807928</v>
          </cell>
          <cell r="AA7">
            <v>0</v>
          </cell>
          <cell r="AB7" t="str">
            <v>MONTERIA</v>
          </cell>
          <cell r="AC7" t="str">
            <v>CORDOBA</v>
          </cell>
          <cell r="AD7">
            <v>41305</v>
          </cell>
          <cell r="AE7">
            <v>8</v>
          </cell>
          <cell r="AF7">
            <v>0</v>
          </cell>
          <cell r="AG7">
            <v>763579626.89999998</v>
          </cell>
        </row>
        <row r="8">
          <cell r="A8" t="str">
            <v>PAF-ATF-005-2012</v>
          </cell>
          <cell r="B8" t="str">
            <v>EXTENSIÓN DE REDES DE ALCANTARILLADO SANITARIO EN LOS BARRIOS VILLA MARGARITA ETAPA III Y COMUNA 6 SECTOR 4 DE LA CIUDAD DE MONTERIA</v>
          </cell>
          <cell r="C8">
            <v>4604435444</v>
          </cell>
          <cell r="D8">
            <v>4604435444</v>
          </cell>
          <cell r="E8">
            <v>0</v>
          </cell>
          <cell r="F8">
            <v>176503359</v>
          </cell>
          <cell r="G8">
            <v>0</v>
          </cell>
          <cell r="H8">
            <v>176503359</v>
          </cell>
          <cell r="I8" t="str">
            <v xml:space="preserve">PROACTIVA S.A. ESP     $176.503.359                                                                                                                                                                                                                                                                          
 </v>
          </cell>
          <cell r="J8">
            <v>95618776.060000002</v>
          </cell>
          <cell r="K8">
            <v>93968070</v>
          </cell>
          <cell r="L8">
            <v>0</v>
          </cell>
          <cell r="M8">
            <v>41222</v>
          </cell>
          <cell r="N8" t="str">
            <v>Contrato No. 036 de 2012
CDP 274712
11 Recursos del Tesoro</v>
          </cell>
          <cell r="O8" t="str">
            <v>Contrato No. 036 de 2012
CDP 274712
11 Recursos del Tesoro</v>
          </cell>
          <cell r="P8" t="str">
            <v>Contrato No. 036 de 2012
CDP 274712
11 Recursos del Tesoro</v>
          </cell>
          <cell r="Q8" t="str">
            <v>GRUPO 1</v>
          </cell>
          <cell r="R8" t="str">
            <v>CONSORCIO SANEAMIENTO MONTERIA
ORLANDO FAJARDO CASTILLO
LUIS GABRIEL NIETO GARCIA                                                                                                                                                                                                                                                                                                                      CONSTRUCTORA FAJARDO NIETO LIMITADA</v>
          </cell>
          <cell r="S8">
            <v>900583845</v>
          </cell>
          <cell r="T8">
            <v>41271</v>
          </cell>
          <cell r="U8">
            <v>4500586137</v>
          </cell>
          <cell r="V8">
            <v>4500586137</v>
          </cell>
          <cell r="W8">
            <v>0</v>
          </cell>
          <cell r="X8">
            <v>176503359</v>
          </cell>
          <cell r="Y8">
            <v>0</v>
          </cell>
          <cell r="Z8">
            <v>176503359</v>
          </cell>
          <cell r="AA8">
            <v>0</v>
          </cell>
          <cell r="AB8" t="str">
            <v>MONTERIA</v>
          </cell>
          <cell r="AC8" t="str">
            <v>CORDOBA</v>
          </cell>
          <cell r="AD8">
            <v>41305</v>
          </cell>
          <cell r="AE8">
            <v>8</v>
          </cell>
          <cell r="AF8">
            <v>0</v>
          </cell>
          <cell r="AG8">
            <v>1350175841.0999999</v>
          </cell>
        </row>
        <row r="9">
          <cell r="A9" t="str">
            <v>PAF-ATF-006-2012</v>
          </cell>
          <cell r="B9" t="str">
            <v>OPTIMIZACIÓN Y AMPLIACIÓN DEL SISTEMA DE ACUEDUCTO EN EL MUNICIPIO DE SAHAGUN CORDOBA</v>
          </cell>
          <cell r="C9">
            <v>11337319249</v>
          </cell>
          <cell r="D9">
            <v>11337319249</v>
          </cell>
          <cell r="E9">
            <v>0</v>
          </cell>
          <cell r="F9">
            <v>793612347</v>
          </cell>
          <cell r="G9">
            <v>793612347</v>
          </cell>
          <cell r="H9">
            <v>0</v>
          </cell>
          <cell r="I9">
            <v>0</v>
          </cell>
          <cell r="J9">
            <v>242618631.92000002</v>
          </cell>
          <cell r="K9">
            <v>247570033</v>
          </cell>
          <cell r="L9">
            <v>0</v>
          </cell>
          <cell r="M9">
            <v>41222</v>
          </cell>
          <cell r="N9" t="str">
            <v>Contrato No. 036 de 2012
CDP 1413                                                                                                                                                                                                                                                                                                          Vigencias Futuras 2013</v>
          </cell>
          <cell r="O9" t="str">
            <v>Contrato No. 036 de 2012
CDP 1413                                                                                                                                                                                                                                                                                                          Vigencias Futuras 2013</v>
          </cell>
          <cell r="P9" t="str">
            <v>Contrato No. 036 de 2012
CDP 1413                                                                                                                                                                                                                                                                                                          Vigencias Futuras 2013</v>
          </cell>
          <cell r="Q9" t="str">
            <v>GRUPO 1</v>
          </cell>
          <cell r="R9" t="str">
            <v>UNION TEMPORAL ACUEDUCTO SAHAGUN
INGECOL S.A.
OINCO LTDA
LYDCO INGENIERIA S.A.S.
CONALRED S.A.S.
CONSTRUSOCIAL S.A.S.</v>
          </cell>
          <cell r="S9">
            <v>900584606</v>
          </cell>
          <cell r="T9">
            <v>41271</v>
          </cell>
          <cell r="U9">
            <v>11136353815</v>
          </cell>
          <cell r="V9">
            <v>11136353815</v>
          </cell>
          <cell r="W9">
            <v>0</v>
          </cell>
          <cell r="X9">
            <v>690432000</v>
          </cell>
          <cell r="Y9">
            <v>690432000</v>
          </cell>
          <cell r="Z9">
            <v>0</v>
          </cell>
          <cell r="AA9">
            <v>0</v>
          </cell>
          <cell r="AB9" t="str">
            <v>SAHAGUN</v>
          </cell>
          <cell r="AC9" t="str">
            <v>CORDOBA</v>
          </cell>
          <cell r="AD9">
            <v>41305</v>
          </cell>
          <cell r="AE9">
            <v>6</v>
          </cell>
          <cell r="AF9">
            <v>0</v>
          </cell>
          <cell r="AG9">
            <v>3340906144.5</v>
          </cell>
        </row>
        <row r="10">
          <cell r="A10" t="str">
            <v>PAF-ATF-007-2012</v>
          </cell>
          <cell r="B10" t="str">
            <v>CONSTRUCCIÓN COLECTORES REGIONAL LOS OLIVOS Y REDES SECUNDARIAS DE ALCANTARILLADO SANITARIO EN EL MUNICIPIO DE SAN JUAN DEL CESAR, GUAJIRA</v>
          </cell>
          <cell r="C10">
            <v>11252844580</v>
          </cell>
          <cell r="D10">
            <v>11252844580</v>
          </cell>
          <cell r="E10">
            <v>0</v>
          </cell>
          <cell r="F10">
            <v>787699122</v>
          </cell>
          <cell r="G10">
            <v>787699122</v>
          </cell>
          <cell r="H10">
            <v>0</v>
          </cell>
          <cell r="I10">
            <v>0</v>
          </cell>
          <cell r="J10">
            <v>240810874.03999999</v>
          </cell>
          <cell r="K10">
            <v>245725382</v>
          </cell>
          <cell r="L10">
            <v>0</v>
          </cell>
          <cell r="M10">
            <v>41222</v>
          </cell>
          <cell r="N10" t="str">
            <v>Contrato No. 036 de 2012
CDP 1413                                                                                                                                                                                                                                                                                                          Vigencias Futuras 2013</v>
          </cell>
          <cell r="O10" t="str">
            <v>Contrato No. 036 de 2012
CDP 1413                                                                                                                                                                                                                                                                                                          Vigencias Futuras 2013</v>
          </cell>
          <cell r="P10" t="str">
            <v>Contrato No. 036 de 2012
CDP 1413                                                                                                                                                                                                                                                                                                          Vigencias Futuras 2013</v>
          </cell>
          <cell r="Q10" t="str">
            <v>GRUPO 1</v>
          </cell>
          <cell r="R10" t="str">
            <v>CONSORCIO AGUA CLARA
KMA CONSTRUCCIONES S.A.
CICON S.A.</v>
          </cell>
          <cell r="S10">
            <v>900582961</v>
          </cell>
          <cell r="T10">
            <v>41271</v>
          </cell>
          <cell r="U10">
            <v>11043891234</v>
          </cell>
          <cell r="V10">
            <v>11043891234</v>
          </cell>
          <cell r="W10">
            <v>0</v>
          </cell>
          <cell r="X10">
            <v>777809000</v>
          </cell>
          <cell r="Y10">
            <v>777809000</v>
          </cell>
          <cell r="Z10">
            <v>0</v>
          </cell>
          <cell r="AA10">
            <v>0</v>
          </cell>
          <cell r="AB10" t="str">
            <v>SAN JUAN DEL CESAR</v>
          </cell>
          <cell r="AC10" t="str">
            <v>GUAJIRA</v>
          </cell>
          <cell r="AD10">
            <v>41303</v>
          </cell>
          <cell r="AE10">
            <v>11</v>
          </cell>
          <cell r="AF10">
            <v>0</v>
          </cell>
          <cell r="AG10">
            <v>3313167370.1999998</v>
          </cell>
        </row>
        <row r="11">
          <cell r="A11" t="str">
            <v>PAF-ATF-008-2012</v>
          </cell>
          <cell r="B11" t="str">
            <v>CONSTRUCCIÓN DE LA LÍNEA DE ABASTECIMIENTO DESDE LA QUEBRADA CINCO MIL, OPTIMIZACIÓN DEL SISTEMA DE TRATAMIENTO Y ALMACENAMIENTO DEL ACUEDUCTO URBANO DEL MUNICIPIO DE SOCORRO, SANTANDER</v>
          </cell>
          <cell r="C11">
            <v>26537113862</v>
          </cell>
          <cell r="D11">
            <v>26537113862</v>
          </cell>
          <cell r="E11">
            <v>0</v>
          </cell>
          <cell r="F11">
            <v>1612680939</v>
          </cell>
          <cell r="G11">
            <v>1612680939</v>
          </cell>
          <cell r="H11">
            <v>0</v>
          </cell>
          <cell r="I11">
            <v>0</v>
          </cell>
          <cell r="J11">
            <v>562995896.01999998</v>
          </cell>
          <cell r="K11">
            <v>574485608</v>
          </cell>
          <cell r="L11">
            <v>0</v>
          </cell>
          <cell r="M11">
            <v>41222</v>
          </cell>
          <cell r="N11" t="str">
            <v>Contrato No. 036 de 2012
CDP 274712
16 Fondos Especiales</v>
          </cell>
          <cell r="O11" t="str">
            <v>Contrato No. 036 de 2012
CDP 274712
16 Fondos Especiales</v>
          </cell>
          <cell r="P11" t="str">
            <v>Contrato No. 036 de 2012
CDP 274712
16 Fondos Especiales</v>
          </cell>
          <cell r="Q11" t="str">
            <v>GRUPO 1</v>
          </cell>
          <cell r="R11" t="str">
            <v>CONSORCIO ALIANZA YDM SOCORRO
YAMIL SABAAGH CONSTRUCCIONES  S.A.S.
CONSTRUCCIONES NAMUS S.A.
CONSTRUCCIONES CIVILES PORTUARIAS S.A.
D&amp;S S.A.</v>
          </cell>
          <cell r="S11">
            <v>900581329</v>
          </cell>
          <cell r="T11">
            <v>41271</v>
          </cell>
          <cell r="U11">
            <v>26140330594</v>
          </cell>
          <cell r="V11">
            <v>26140330594</v>
          </cell>
          <cell r="W11">
            <v>0</v>
          </cell>
          <cell r="X11">
            <v>1591395300</v>
          </cell>
          <cell r="Y11">
            <v>1591395300</v>
          </cell>
          <cell r="Z11">
            <v>0</v>
          </cell>
          <cell r="AA11">
            <v>0</v>
          </cell>
          <cell r="AB11" t="str">
            <v>SOCORRO</v>
          </cell>
          <cell r="AC11" t="str">
            <v>SANTANDER</v>
          </cell>
          <cell r="AD11">
            <v>41303</v>
          </cell>
          <cell r="AE11">
            <v>22</v>
          </cell>
          <cell r="AF11">
            <v>0</v>
          </cell>
          <cell r="AG11">
            <v>7842099178.1999998</v>
          </cell>
        </row>
        <row r="12">
          <cell r="A12" t="str">
            <v>PAF-ATF-009-2012</v>
          </cell>
          <cell r="B12" t="str">
            <v>CONSTRUCCIÓN ALCANTARILLADO SANITARIO EN EL MUNICIPIO DE LOS SANTOS SANTANDER</v>
          </cell>
          <cell r="C12">
            <v>4303834880</v>
          </cell>
          <cell r="D12">
            <v>4303834880</v>
          </cell>
          <cell r="E12">
            <v>0</v>
          </cell>
          <cell r="F12">
            <v>301268442</v>
          </cell>
          <cell r="G12">
            <v>301268442</v>
          </cell>
          <cell r="H12">
            <v>0</v>
          </cell>
          <cell r="I12">
            <v>0</v>
          </cell>
          <cell r="J12">
            <v>92102066.439999998</v>
          </cell>
          <cell r="K12">
            <v>93981700</v>
          </cell>
          <cell r="L12">
            <v>0</v>
          </cell>
          <cell r="M12">
            <v>41222</v>
          </cell>
          <cell r="N12" t="str">
            <v>Contrato No. 036 de 2012
CDP 274712
16 Fondos Especiales</v>
          </cell>
          <cell r="O12" t="str">
            <v>Contrato No. 036 de 2012
CDP 274712
16 Fondos Especiales</v>
          </cell>
          <cell r="P12" t="str">
            <v>Contrato No. 036 de 2012
CDP 274712
16 Fondos Especiales</v>
          </cell>
          <cell r="Q12" t="str">
            <v>GRUPO 1</v>
          </cell>
          <cell r="R12" t="str">
            <v xml:space="preserve">CONSTRUCCIONES E INVERSIONES BETA S.A.S.
CONSTRUCCIONES E INVERSIONES BETA S.A.S.
</v>
          </cell>
          <cell r="S12">
            <v>890108661</v>
          </cell>
          <cell r="T12">
            <v>41271</v>
          </cell>
          <cell r="U12">
            <v>4221438949</v>
          </cell>
          <cell r="V12">
            <v>4221438949</v>
          </cell>
          <cell r="W12">
            <v>0</v>
          </cell>
          <cell r="X12">
            <v>296266320</v>
          </cell>
          <cell r="Y12">
            <v>296266320</v>
          </cell>
          <cell r="Z12">
            <v>0</v>
          </cell>
          <cell r="AA12">
            <v>0</v>
          </cell>
          <cell r="AB12" t="str">
            <v>LOS SANTOS</v>
          </cell>
          <cell r="AC12" t="str">
            <v>SANTANDER</v>
          </cell>
          <cell r="AD12">
            <v>41303</v>
          </cell>
          <cell r="AE12">
            <v>9</v>
          </cell>
          <cell r="AF12">
            <v>0</v>
          </cell>
          <cell r="AG12">
            <v>1266431684.7</v>
          </cell>
        </row>
        <row r="13">
          <cell r="A13" t="str">
            <v>PAF-ATF-010-2012</v>
          </cell>
          <cell r="B13" t="str">
            <v>CONSTRUCCIÓN, OPTIMIZACIÓN Y AUTOMATIZACIÓN PLANTA DE TRATAMIENTO DE AGUA POTABLE –PTAP, MUNICIPIO DE SAN GIL”.</v>
          </cell>
          <cell r="C13">
            <v>10395936387</v>
          </cell>
          <cell r="D13">
            <v>10395936387</v>
          </cell>
          <cell r="E13">
            <v>0</v>
          </cell>
          <cell r="F13">
            <v>727715547</v>
          </cell>
          <cell r="G13">
            <v>727715547</v>
          </cell>
          <cell r="H13">
            <v>0</v>
          </cell>
          <cell r="I13">
            <v>0</v>
          </cell>
          <cell r="J13">
            <v>222473038.68000001</v>
          </cell>
          <cell r="K13">
            <v>227013305</v>
          </cell>
          <cell r="L13">
            <v>0</v>
          </cell>
          <cell r="M13">
            <v>0</v>
          </cell>
          <cell r="N13" t="str">
            <v>Contrato No. 036 de 2012 
CDP 274712
10 Recursos Corrientes</v>
          </cell>
          <cell r="O13" t="str">
            <v>Contrato 036 de 2012
CDP 316212
13 Nación</v>
          </cell>
          <cell r="P13" t="str">
            <v>Contrato No. 036 de 2012 
CDP 274712
10 Recursos Corrientes</v>
          </cell>
          <cell r="Q13" t="str">
            <v>GRUPO 1</v>
          </cell>
          <cell r="R13" t="str">
            <v>CONSTRUCCIONES OBRAS SAN GIL
JORGE TRIANA &amp; CIA LTDA
COINGENIERIA
EDUARDO GIRONZA</v>
          </cell>
          <cell r="S13">
            <v>900638748</v>
          </cell>
          <cell r="T13">
            <v>41463</v>
          </cell>
          <cell r="U13">
            <v>9858424464</v>
          </cell>
          <cell r="V13">
            <v>9858424464</v>
          </cell>
          <cell r="W13">
            <v>0</v>
          </cell>
          <cell r="X13">
            <v>698760800</v>
          </cell>
          <cell r="Y13">
            <v>698760800</v>
          </cell>
          <cell r="Z13">
            <v>0</v>
          </cell>
          <cell r="AA13">
            <v>0</v>
          </cell>
          <cell r="AB13" t="str">
            <v>SAN GIL</v>
          </cell>
          <cell r="AC13" t="str">
            <v>SANTANDER</v>
          </cell>
          <cell r="AD13">
            <v>41477</v>
          </cell>
          <cell r="AE13">
            <v>11</v>
          </cell>
          <cell r="AF13">
            <v>0</v>
          </cell>
          <cell r="AG13">
            <v>2957527339.1999998</v>
          </cell>
        </row>
        <row r="14">
          <cell r="A14" t="str">
            <v>PAF-ATF-011-2012</v>
          </cell>
          <cell r="B14" t="str">
            <v>CONSTRUCCIÓN DE LAS LÍNEAS DE CONDUCCIÓN VEREDAS LAGUNA VERDE, LAGUNAS, SAN ANDRÉS Y ALTO DEL TIGRE DEL MUNICIPIO DE LA MESA Y VEREDAS LA CHICA Y EL HIGUERÓN DEL MUNICIPIO DE ANAPOIMA</v>
          </cell>
          <cell r="C14">
            <v>4569415997</v>
          </cell>
          <cell r="D14">
            <v>4569415997</v>
          </cell>
          <cell r="E14">
            <v>0</v>
          </cell>
          <cell r="F14">
            <v>319859120</v>
          </cell>
          <cell r="G14">
            <v>319859120</v>
          </cell>
          <cell r="H14">
            <v>0</v>
          </cell>
          <cell r="I14">
            <v>0</v>
          </cell>
          <cell r="J14">
            <v>97785502.340000004</v>
          </cell>
          <cell r="K14">
            <v>99781125</v>
          </cell>
          <cell r="L14">
            <v>0</v>
          </cell>
          <cell r="M14">
            <v>41222</v>
          </cell>
          <cell r="N14" t="str">
            <v>Contrato No. 036 de 2012
CDP 274712
16 Fondos Especiales</v>
          </cell>
          <cell r="O14" t="str">
            <v>Contrato No. 036 de 2012
CDP 274712
16 Fondos Especiales</v>
          </cell>
          <cell r="P14" t="str">
            <v>Contrato No. 036 de 2012
CDP 274712
16 Fondos Especiales</v>
          </cell>
          <cell r="Q14" t="str">
            <v>GRUPO 1</v>
          </cell>
          <cell r="R14" t="str">
            <v>CONSTRUCCIONES E INVERSIONES BETA S.A.S.
CONSTRUCCIONES E INVERSIONES BETA S.A.S.</v>
          </cell>
          <cell r="S14">
            <v>890108661</v>
          </cell>
          <cell r="T14">
            <v>41271</v>
          </cell>
          <cell r="U14">
            <v>4479229199</v>
          </cell>
          <cell r="V14">
            <v>4479229199</v>
          </cell>
          <cell r="W14">
            <v>0</v>
          </cell>
          <cell r="X14">
            <v>316022280</v>
          </cell>
          <cell r="Y14">
            <v>316022280</v>
          </cell>
          <cell r="Z14">
            <v>0</v>
          </cell>
          <cell r="AA14">
            <v>0</v>
          </cell>
          <cell r="AB14" t="str">
            <v>LA MESA ANAPOIMA</v>
          </cell>
          <cell r="AC14" t="str">
            <v>CUNDINAMARCA</v>
          </cell>
          <cell r="AD14">
            <v>41296</v>
          </cell>
          <cell r="AE14">
            <v>7</v>
          </cell>
          <cell r="AF14">
            <v>0</v>
          </cell>
          <cell r="AG14">
            <v>1343768759.7</v>
          </cell>
        </row>
        <row r="15">
          <cell r="A15" t="str">
            <v>PAF-ATF-012-2012</v>
          </cell>
          <cell r="B15" t="str">
            <v>AMPLIACIÓN RED DE ACUEDUCTO TANQUES CHARRASQUERO I Y II Y LÍNEA DE DISTRIBUCIÓN VÍA NARIÑO EN EL MUNICIPIO DE GIRARDOT</v>
          </cell>
          <cell r="C15">
            <v>8396127793</v>
          </cell>
          <cell r="D15">
            <v>8396127793</v>
          </cell>
          <cell r="E15">
            <v>0</v>
          </cell>
          <cell r="F15">
            <v>587728945</v>
          </cell>
          <cell r="G15">
            <v>587728945</v>
          </cell>
          <cell r="H15">
            <v>0</v>
          </cell>
          <cell r="I15">
            <v>0</v>
          </cell>
          <cell r="J15">
            <v>179677134.75999999</v>
          </cell>
          <cell r="K15">
            <v>183344015</v>
          </cell>
          <cell r="L15">
            <v>0</v>
          </cell>
          <cell r="M15">
            <v>41222</v>
          </cell>
          <cell r="N15" t="str">
            <v>Contrato No. 036 de 2012 
CDP 274712
10 Recursos Corrientes</v>
          </cell>
          <cell r="O15" t="str">
            <v>Contrato No. 036 de 2012 
CDP 274712
10 Recursos Corrientes</v>
          </cell>
          <cell r="P15" t="str">
            <v>Contrato No. 036 de 2012 
CDP 274712
10 Recursos Corrientes</v>
          </cell>
          <cell r="Q15" t="str">
            <v>GRUPO 1</v>
          </cell>
          <cell r="R15" t="str">
            <v>CONSTRUCCIONES E INVERSIONES BETA S.A.S.
CONSTRUCCIONES E INVERSIONES BETA S.A.S.</v>
          </cell>
          <cell r="S15">
            <v>890108661</v>
          </cell>
          <cell r="T15">
            <v>41271</v>
          </cell>
          <cell r="U15">
            <v>8281900353</v>
          </cell>
          <cell r="V15">
            <v>8281900353</v>
          </cell>
          <cell r="W15">
            <v>0</v>
          </cell>
          <cell r="X15">
            <v>546029400</v>
          </cell>
          <cell r="Y15">
            <v>546029400</v>
          </cell>
          <cell r="Z15">
            <v>0</v>
          </cell>
          <cell r="AA15">
            <v>0</v>
          </cell>
          <cell r="AB15" t="str">
            <v>GIRARDOT</v>
          </cell>
          <cell r="AC15" t="str">
            <v>CUNDINAMARCA</v>
          </cell>
          <cell r="AD15">
            <v>41296</v>
          </cell>
          <cell r="AE15">
            <v>6</v>
          </cell>
          <cell r="AF15">
            <v>0</v>
          </cell>
          <cell r="AG15">
            <v>2484570105.9000001</v>
          </cell>
        </row>
        <row r="16">
          <cell r="A16" t="str">
            <v>PAF-ATF-013-2012</v>
          </cell>
          <cell r="B16" t="str">
            <v>OPTIMIZACIÓN DE UNIDADES DE FILTRACIÓN PLANTA DE TRATAMIENTO DE AGUA POTABLE –PTAP CENTENARIO MUNICIPIO DE PASTO</v>
          </cell>
          <cell r="C16">
            <v>6918165118</v>
          </cell>
          <cell r="D16">
            <v>6918165118</v>
          </cell>
          <cell r="E16">
            <v>0</v>
          </cell>
          <cell r="F16">
            <v>484271558</v>
          </cell>
          <cell r="G16">
            <v>484271558</v>
          </cell>
          <cell r="H16">
            <v>0</v>
          </cell>
          <cell r="I16">
            <v>0</v>
          </cell>
          <cell r="J16">
            <v>148048733.52000001</v>
          </cell>
          <cell r="K16">
            <v>151070136</v>
          </cell>
          <cell r="L16">
            <v>0</v>
          </cell>
          <cell r="M16">
            <v>41222</v>
          </cell>
          <cell r="N16" t="str">
            <v>Contrato No. 036 de 2012
CDP 274712
16 Fondos Especiales</v>
          </cell>
          <cell r="O16" t="str">
            <v>Contrato No. 036 de 2012
CDP 274712
16 Fondos Especiales</v>
          </cell>
          <cell r="P16" t="str">
            <v>Contrato No. 036 de 2012
CDP 274712
16 Fondos Especiales</v>
          </cell>
          <cell r="Q16" t="str">
            <v xml:space="preserve">GRUPO 1                                                                                                                                                                                                                                                                                                                            </v>
          </cell>
          <cell r="R16" t="str">
            <v>CONSORCIO OBRAS HIDAULICAS CENTENARIO PASTO
COINGENIERIA S.A.
EDUARDO GIRONZA LOZANO
JORGE TRIANA Y COMPANIA LTDA</v>
          </cell>
          <cell r="S16">
            <v>900587111</v>
          </cell>
          <cell r="T16">
            <v>41271</v>
          </cell>
          <cell r="U16">
            <v>6739826740</v>
          </cell>
          <cell r="V16">
            <v>6739826740</v>
          </cell>
          <cell r="W16">
            <v>0</v>
          </cell>
          <cell r="X16">
            <v>460056000</v>
          </cell>
          <cell r="Y16">
            <v>460056000</v>
          </cell>
          <cell r="Z16">
            <v>0</v>
          </cell>
          <cell r="AA16">
            <v>0</v>
          </cell>
          <cell r="AB16" t="str">
            <v>PASTO</v>
          </cell>
          <cell r="AC16" t="str">
            <v>NARIÑO</v>
          </cell>
          <cell r="AD16">
            <v>41304</v>
          </cell>
          <cell r="AE16">
            <v>15</v>
          </cell>
          <cell r="AF16">
            <v>0</v>
          </cell>
          <cell r="AG16">
            <v>2021948022</v>
          </cell>
        </row>
        <row r="17">
          <cell r="A17" t="str">
            <v>PAF-ATF-014-2012</v>
          </cell>
          <cell r="B17" t="str">
            <v>CONSTRUCCIÓN RED ALCANTARILLADO CALLE 20 ENTRE CARRERAS 19 Y 30 MUNICIPIO DE PASTO</v>
          </cell>
          <cell r="C17">
            <v>4782944758</v>
          </cell>
          <cell r="D17">
            <v>4782944758</v>
          </cell>
          <cell r="E17">
            <v>0</v>
          </cell>
          <cell r="F17">
            <v>334806133</v>
          </cell>
          <cell r="G17">
            <v>334806133</v>
          </cell>
          <cell r="H17">
            <v>0</v>
          </cell>
          <cell r="I17">
            <v>0</v>
          </cell>
          <cell r="J17">
            <v>102355017.82000001</v>
          </cell>
          <cell r="K17">
            <v>104443896</v>
          </cell>
          <cell r="L17">
            <v>0</v>
          </cell>
          <cell r="M17">
            <v>41222</v>
          </cell>
          <cell r="N17" t="str">
            <v>Contrato No. 036 de 2012
CDP 274712
16 Fondos Especiales</v>
          </cell>
          <cell r="O17" t="str">
            <v>Contrato No. 036 de 2012
CDP 274712
16 Fondos Especiales</v>
          </cell>
          <cell r="P17" t="str">
            <v>Contrato No. 036 de 2012
CDP 274712
16 Fondos Especiales</v>
          </cell>
          <cell r="Q17" t="str">
            <v>GRUPO 1</v>
          </cell>
          <cell r="R17" t="str">
            <v>CONSORCIO REDES PASTO
INGEAGUAS S.A.S.
ESPINA Y DELFIN COLOMBIA</v>
          </cell>
          <cell r="S17">
            <v>900583103</v>
          </cell>
          <cell r="T17">
            <v>41271</v>
          </cell>
          <cell r="U17">
            <v>4549768116</v>
          </cell>
          <cell r="V17">
            <v>4549768116</v>
          </cell>
          <cell r="W17">
            <v>0</v>
          </cell>
          <cell r="X17">
            <v>318072000</v>
          </cell>
          <cell r="Y17">
            <v>318072000</v>
          </cell>
          <cell r="Z17">
            <v>0</v>
          </cell>
          <cell r="AA17">
            <v>0</v>
          </cell>
          <cell r="AB17" t="str">
            <v>PASTO</v>
          </cell>
          <cell r="AC17" t="str">
            <v>NARIÑO</v>
          </cell>
          <cell r="AD17">
            <v>41304</v>
          </cell>
          <cell r="AE17">
            <v>4</v>
          </cell>
          <cell r="AF17">
            <v>0</v>
          </cell>
          <cell r="AG17">
            <v>1364930434.8</v>
          </cell>
        </row>
        <row r="18">
          <cell r="A18" t="str">
            <v>PAF-ATF-015-2012</v>
          </cell>
          <cell r="B18" t="str">
            <v>MODERNIZACIÓN DE LA PLANTA DE TRATAMIENTO DE AGUAS RESIDUALES RÍO FRÍO II ETAPA FASE 2 - REACTOR UASB No. 5 MUNICIPIO SAN JUAN DE GIRON</v>
          </cell>
          <cell r="C18">
            <v>13760573907</v>
          </cell>
          <cell r="D18">
            <v>13760573907</v>
          </cell>
          <cell r="E18">
            <v>0</v>
          </cell>
          <cell r="F18">
            <v>963240173</v>
          </cell>
          <cell r="G18">
            <v>963240173</v>
          </cell>
          <cell r="H18">
            <v>0</v>
          </cell>
          <cell r="I18">
            <v>0</v>
          </cell>
          <cell r="J18">
            <v>294476281.60000002</v>
          </cell>
          <cell r="K18">
            <v>300486002</v>
          </cell>
          <cell r="L18">
            <v>0</v>
          </cell>
          <cell r="M18">
            <v>0</v>
          </cell>
          <cell r="N18" t="str">
            <v>Contrato No. 036 de 2012 
CDP 274712
10 Recursos Corrientes</v>
          </cell>
          <cell r="O18" t="str">
            <v>Contrato No. 036 de 2012 
CDP 274712
10 Recursos Corrientes</v>
          </cell>
          <cell r="P18" t="str">
            <v>Contrato No. 036 de 2012 
CDP 274712
10 Recursos Corrientes</v>
          </cell>
          <cell r="Q18" t="str">
            <v>GRUPO 1</v>
          </cell>
          <cell r="R18" t="str">
            <v>CONSORCIO ALIANZA YDN GIRON
YAMIL SABAAGH SOLANO
YS CAPITAL S.A.S.                                                                                                                                                                                                                                                                                                                                       D&amp;S S.A.</v>
          </cell>
          <cell r="S18">
            <v>900600469</v>
          </cell>
          <cell r="T18">
            <v>41333</v>
          </cell>
          <cell r="U18">
            <v>13523411339</v>
          </cell>
          <cell r="V18">
            <v>13523411339</v>
          </cell>
          <cell r="W18">
            <v>0</v>
          </cell>
          <cell r="X18">
            <v>958500750</v>
          </cell>
          <cell r="Y18">
            <v>958500750</v>
          </cell>
          <cell r="Z18">
            <v>0</v>
          </cell>
          <cell r="AA18">
            <v>0</v>
          </cell>
          <cell r="AB18" t="str">
            <v>SAN JUAN DE GIRON</v>
          </cell>
          <cell r="AC18" t="str">
            <v>SANTANDER</v>
          </cell>
          <cell r="AD18">
            <v>41337</v>
          </cell>
          <cell r="AE18">
            <v>15</v>
          </cell>
          <cell r="AF18">
            <v>0</v>
          </cell>
          <cell r="AG18">
            <v>4057023401.6999998</v>
          </cell>
        </row>
        <row r="19">
          <cell r="A19" t="str">
            <v>PAF-ATF-016-2012</v>
          </cell>
          <cell r="B19" t="str">
            <v>CONSTRUCCIÓN COLECTOR NORTE DEL MUNICIPIO DE ESPINAL</v>
          </cell>
          <cell r="C19">
            <v>7242451114</v>
          </cell>
          <cell r="D19">
            <v>7242451114</v>
          </cell>
          <cell r="E19">
            <v>0</v>
          </cell>
          <cell r="F19">
            <v>506971578</v>
          </cell>
          <cell r="G19">
            <v>506971578</v>
          </cell>
          <cell r="H19">
            <v>0</v>
          </cell>
          <cell r="I19">
            <v>0</v>
          </cell>
          <cell r="J19">
            <v>154988453.84</v>
          </cell>
          <cell r="K19">
            <v>158151484</v>
          </cell>
          <cell r="L19">
            <v>0</v>
          </cell>
          <cell r="M19">
            <v>41222</v>
          </cell>
          <cell r="N19" t="str">
            <v>Contrato No. 036 de 2012
CDP 274712
16 Fondos Especiales</v>
          </cell>
          <cell r="O19" t="str">
            <v>Contrato No. 036 de 2012
CDP 274712
16 Fondos Especiales</v>
          </cell>
          <cell r="P19" t="str">
            <v>Contrato No. 036 de 2012
CDP 274712
16 Fondos Especiales</v>
          </cell>
          <cell r="Q19" t="str">
            <v>GRUPO 1</v>
          </cell>
          <cell r="R19" t="str">
            <v>CONSORCIO AGUA CLARA
CICON S.A.
KMA CONSTRUCCIONES S.A</v>
          </cell>
          <cell r="S19">
            <v>900582962</v>
          </cell>
          <cell r="T19">
            <v>41271</v>
          </cell>
          <cell r="U19">
            <v>7105543081</v>
          </cell>
          <cell r="V19">
            <v>7105543081</v>
          </cell>
          <cell r="W19">
            <v>0</v>
          </cell>
          <cell r="X19">
            <v>501968250</v>
          </cell>
          <cell r="Y19">
            <v>501968250</v>
          </cell>
          <cell r="Z19">
            <v>0</v>
          </cell>
          <cell r="AA19">
            <v>0</v>
          </cell>
          <cell r="AB19" t="str">
            <v>EL ESPINAL</v>
          </cell>
          <cell r="AC19" t="str">
            <v>TOLIMA</v>
          </cell>
          <cell r="AD19">
            <v>41296</v>
          </cell>
          <cell r="AE19">
            <v>9</v>
          </cell>
          <cell r="AF19">
            <v>0</v>
          </cell>
          <cell r="AG19">
            <v>2131662924.3</v>
          </cell>
        </row>
        <row r="20">
          <cell r="A20" t="str">
            <v>PAF-ATF-017-2012
PAF-ATF-039-2013
PAF-ATF-075-2013
PAF-ATF-087-2013
PAF-ATF-099-2013</v>
          </cell>
          <cell r="B20" t="str">
            <v>OPTIMIZACIÓN SISTEMA DE ALCANTARILLADO Y CONSTRUCCIÓN PLANTA DE TRATAMIENTO DE AGUAS RESIDUALES -PTAR EN EL MUNICIPIO DE BAJO BAUDÓ”</v>
          </cell>
          <cell r="C20">
            <v>8093728373</v>
          </cell>
          <cell r="D20">
            <v>8093728373</v>
          </cell>
          <cell r="E20">
            <v>0</v>
          </cell>
          <cell r="F20">
            <v>566560986</v>
          </cell>
          <cell r="G20">
            <v>566560986</v>
          </cell>
          <cell r="H20">
            <v>0</v>
          </cell>
          <cell r="I20">
            <v>0</v>
          </cell>
          <cell r="J20">
            <v>173205787.18000001</v>
          </cell>
          <cell r="K20">
            <v>176740599</v>
          </cell>
          <cell r="L20">
            <v>0</v>
          </cell>
          <cell r="M20" t="str">
            <v xml:space="preserve">09-11-2012
08-01-2013
06-03-2013
19-04-2013
</v>
          </cell>
          <cell r="N20" t="str">
            <v>Contrato No. 036 de 2012
CDP 274712
16 Fondos Especiales</v>
          </cell>
          <cell r="O20" t="str">
            <v>Contrato No. 036 de 2012
CDP 274712
16 Fondos Especiales</v>
          </cell>
          <cell r="P20" t="str">
            <v>Contrato No. 036 de 2012
CDP 274712
16 Fondos Especiales</v>
          </cell>
          <cell r="Q20" t="str">
            <v>GRUPO 1
GRUPO 1A
GRUPO 2A
GRUPO 3A
GRUPO 4A</v>
          </cell>
          <cell r="R20" t="str">
            <v>CONSORCIO CONSTRUYENDO BAJO BAUDO</v>
          </cell>
          <cell r="S20">
            <v>900656298</v>
          </cell>
          <cell r="T20">
            <v>41522</v>
          </cell>
          <cell r="U20">
            <v>7955474832</v>
          </cell>
          <cell r="V20">
            <v>7955474832</v>
          </cell>
          <cell r="W20">
            <v>0</v>
          </cell>
          <cell r="X20">
            <v>538235360</v>
          </cell>
          <cell r="Y20">
            <v>538235360</v>
          </cell>
          <cell r="Z20">
            <v>0</v>
          </cell>
          <cell r="AA20">
            <v>0</v>
          </cell>
          <cell r="AB20" t="str">
            <v>BAJO BAUDO</v>
          </cell>
          <cell r="AC20" t="str">
            <v>CHOCO</v>
          </cell>
          <cell r="AD20">
            <v>41530</v>
          </cell>
          <cell r="AE20">
            <v>8</v>
          </cell>
          <cell r="AF20">
            <v>0</v>
          </cell>
          <cell r="AG20">
            <v>2386642449.5999999</v>
          </cell>
        </row>
        <row r="21">
          <cell r="A21" t="str">
            <v>PAF-ATF-018-2012
PAF-ATF-040-2012</v>
          </cell>
          <cell r="B21" t="str">
            <v>OPTIMIZACIÓN DEL SISTEMA DE ALCANTARILLADO Y CONSTRUCCIÓN DE PLANTA DE TRATAMIENTO DE AGUAS RESIDUALES –PTAR- EN EL MUNICIPIO DE LLORÓ”</v>
          </cell>
          <cell r="C21">
            <v>6198706333</v>
          </cell>
          <cell r="D21">
            <v>6198706333</v>
          </cell>
          <cell r="E21">
            <v>0</v>
          </cell>
          <cell r="F21">
            <v>433909443</v>
          </cell>
          <cell r="G21">
            <v>433909443</v>
          </cell>
          <cell r="H21">
            <v>0</v>
          </cell>
          <cell r="I21">
            <v>0</v>
          </cell>
          <cell r="J21">
            <v>132652315.52</v>
          </cell>
          <cell r="K21">
            <v>135359506</v>
          </cell>
          <cell r="L21">
            <v>0</v>
          </cell>
          <cell r="M21" t="str">
            <v>09-11-2012
08-01-2013</v>
          </cell>
          <cell r="N21" t="str">
            <v>Contrato No. 036 de 2012
CDP 274712
16 Fondos Especiales</v>
          </cell>
          <cell r="O21" t="str">
            <v>Contrato No. 036 de 2012
CDP 274712
16 Fondos Especiales</v>
          </cell>
          <cell r="P21" t="str">
            <v>Contrato No. 036 de 2012
CDP 274712
16 Fondos Especiales</v>
          </cell>
          <cell r="Q21" t="str">
            <v>GRUPO 1
GRUPO 1A</v>
          </cell>
          <cell r="R21" t="str">
            <v>CONSORCIO LLORÓ
INVERSIONES JACUR &amp; CIA LTDA
INVESAKK LTDA</v>
          </cell>
          <cell r="S21">
            <v>900598284</v>
          </cell>
          <cell r="T21">
            <v>41333</v>
          </cell>
          <cell r="U21">
            <v>6182253474</v>
          </cell>
          <cell r="V21">
            <v>6182253474</v>
          </cell>
          <cell r="W21">
            <v>0</v>
          </cell>
          <cell r="X21">
            <v>412212960</v>
          </cell>
          <cell r="Y21">
            <v>412212960</v>
          </cell>
          <cell r="Z21">
            <v>0</v>
          </cell>
          <cell r="AA21">
            <v>0</v>
          </cell>
          <cell r="AB21" t="str">
            <v>LLORÓ</v>
          </cell>
          <cell r="AC21" t="str">
            <v>CHOCO</v>
          </cell>
          <cell r="AD21">
            <v>41333</v>
          </cell>
          <cell r="AE21">
            <v>12</v>
          </cell>
          <cell r="AF21">
            <v>0</v>
          </cell>
          <cell r="AG21">
            <v>1854676042.2</v>
          </cell>
        </row>
        <row r="22">
          <cell r="A22" t="str">
            <v>PAF-ATF-019-2012</v>
          </cell>
          <cell r="B22" t="str">
            <v>CONSTRUCCIÓN DEL SISTEMA DE ACUEDUCTO PARA EL MUNICIPIO DE PROVIDENCIA Y SANTA CATALINA FASE I</v>
          </cell>
          <cell r="C22">
            <v>15153312565</v>
          </cell>
          <cell r="D22">
            <v>15153312565</v>
          </cell>
          <cell r="E22">
            <v>0</v>
          </cell>
          <cell r="F22">
            <v>1060731880</v>
          </cell>
          <cell r="G22">
            <v>1060731880</v>
          </cell>
          <cell r="H22">
            <v>0</v>
          </cell>
          <cell r="I22">
            <v>0</v>
          </cell>
          <cell r="J22">
            <v>324280888.90000004</v>
          </cell>
          <cell r="K22">
            <v>330898866</v>
          </cell>
          <cell r="L22">
            <v>0</v>
          </cell>
          <cell r="M22">
            <v>41222</v>
          </cell>
          <cell r="N22" t="str">
            <v>Contrato No. 036 de 2012
CDP 274712
16 Fondos Especiales</v>
          </cell>
          <cell r="O22" t="str">
            <v>Contrato No. 036 de 2012
CDP 274712
16 Fondos Especiales</v>
          </cell>
          <cell r="P22" t="str">
            <v>Contrato No. 036 de 2012
CDP 274712
16 Fondos Especiales</v>
          </cell>
          <cell r="Q22" t="str">
            <v>GRUPO 1</v>
          </cell>
          <cell r="R22" t="str">
            <v>VALORES Y CONTRATOS S.A.
VALORES Y CONTRATOS S.A.</v>
          </cell>
          <cell r="S22">
            <v>800182330</v>
          </cell>
          <cell r="T22">
            <v>41271</v>
          </cell>
          <cell r="U22">
            <v>14957103560</v>
          </cell>
          <cell r="V22">
            <v>14957103560</v>
          </cell>
          <cell r="W22">
            <v>0</v>
          </cell>
          <cell r="X22">
            <v>1047932400</v>
          </cell>
          <cell r="Y22">
            <v>1047932400</v>
          </cell>
          <cell r="Z22">
            <v>0</v>
          </cell>
          <cell r="AA22">
            <v>0</v>
          </cell>
          <cell r="AB22" t="str">
            <v>PROVIDENCIA Y SANTA CATALINA</v>
          </cell>
          <cell r="AC22" t="str">
            <v>SAN ANDRES</v>
          </cell>
          <cell r="AD22">
            <v>41323</v>
          </cell>
          <cell r="AE22">
            <v>14</v>
          </cell>
          <cell r="AF22">
            <v>0</v>
          </cell>
          <cell r="AG22">
            <v>4487131068</v>
          </cell>
        </row>
        <row r="23">
          <cell r="A23" t="str">
            <v>PAF-ATF-020-2012</v>
          </cell>
          <cell r="B23" t="str">
            <v>CONSTRUCCIÓN Y OPTIMIZACIÓN PLAN MAESTRO DE ALCANTARILLADO PLUVIAL DEL MUNICIPIO DE EL ROSAL</v>
          </cell>
          <cell r="C23">
            <v>5190391851</v>
          </cell>
          <cell r="D23">
            <v>5190391851</v>
          </cell>
          <cell r="E23">
            <v>0</v>
          </cell>
          <cell r="F23">
            <v>363327430</v>
          </cell>
          <cell r="G23">
            <v>363327430</v>
          </cell>
          <cell r="H23">
            <v>0</v>
          </cell>
          <cell r="I23">
            <v>0</v>
          </cell>
          <cell r="J23">
            <v>111074385.62</v>
          </cell>
          <cell r="K23">
            <v>113341210</v>
          </cell>
          <cell r="L23">
            <v>0</v>
          </cell>
          <cell r="M23">
            <v>41222</v>
          </cell>
          <cell r="N23" t="str">
            <v>Contrato No. 036 de 2012
CDP 274712
16 Fondos Especiales</v>
          </cell>
          <cell r="O23" t="str">
            <v>Contrato No. 036 de 2012
CDP 274712
16 Fondos Especiales</v>
          </cell>
          <cell r="P23" t="str">
            <v>Contrato No. 036 de 2012
CDP 274712
16 Fondos Especiales</v>
          </cell>
          <cell r="Q23" t="str">
            <v>GRUPO 1</v>
          </cell>
          <cell r="R23" t="str">
            <v>CONSORCIO BETA -DJG EL ROSAL
DIEGO JARAMILLO GOMEZ
CONSTRUCCIONES E INVERSIONES BETA S.A.S.</v>
          </cell>
          <cell r="S23">
            <v>900586017</v>
          </cell>
          <cell r="T23">
            <v>41271</v>
          </cell>
          <cell r="U23">
            <v>5116545294</v>
          </cell>
          <cell r="V23">
            <v>5116545294</v>
          </cell>
          <cell r="W23">
            <v>0</v>
          </cell>
          <cell r="X23">
            <v>357622200</v>
          </cell>
          <cell r="Y23">
            <v>357622200</v>
          </cell>
          <cell r="Z23">
            <v>0</v>
          </cell>
          <cell r="AA23">
            <v>0</v>
          </cell>
          <cell r="AB23" t="str">
            <v>EL ROSAL</v>
          </cell>
          <cell r="AC23" t="str">
            <v>CUNDINAMARCA</v>
          </cell>
          <cell r="AD23">
            <v>41296</v>
          </cell>
          <cell r="AE23">
            <v>6</v>
          </cell>
          <cell r="AF23">
            <v>0</v>
          </cell>
          <cell r="AG23">
            <v>1534963588.2</v>
          </cell>
        </row>
        <row r="24">
          <cell r="A24" t="str">
            <v>PAF-ATF-021-2012</v>
          </cell>
          <cell r="B24" t="str">
            <v>CONSTRUCCION DE LA FASE II Y OBRAS COMPLEMENTARIAS PARA LA CULMINACION DE LA TRINCHERA 5 DEL RELLENO SANITARIO, MUNICIPIO DE LETICIA</v>
          </cell>
          <cell r="C24">
            <v>4316271667</v>
          </cell>
          <cell r="D24">
            <v>2501456853</v>
          </cell>
          <cell r="E24">
            <v>1814814815</v>
          </cell>
          <cell r="F24">
            <v>345301733</v>
          </cell>
          <cell r="G24">
            <v>200116548</v>
          </cell>
          <cell r="H24">
            <v>145185185</v>
          </cell>
          <cell r="I24" t="str">
            <v>AUDIENCIAS PUBLICAS PDA (RESOLUCIÓN 378 DEL 25-06-2012)
$2.000.000.000: 
OBRA CIVIL $ 1.814.814.815
INTERVENTORIA $145.185.185
SEGUIMIENTO $40.000.000</v>
          </cell>
          <cell r="J24">
            <v>93231468.019999996</v>
          </cell>
          <cell r="K24">
            <v>95134151</v>
          </cell>
          <cell r="L24">
            <v>40000000</v>
          </cell>
          <cell r="M24">
            <v>41247</v>
          </cell>
          <cell r="N24" t="str">
            <v>Contrato No. 036 de 2012
CDP 274712
16 Fondos Especiales</v>
          </cell>
          <cell r="O24" t="str">
            <v>Contrato No. 036 de 2012
CDP 274712
16 Fondos Especiales</v>
          </cell>
          <cell r="P24" t="str">
            <v>Contrato No. 036 de 2012
CDP 274712
16 Fondos Especiales</v>
          </cell>
          <cell r="Q24" t="str">
            <v>GRUPO 2</v>
          </cell>
          <cell r="R24" t="str">
            <v>CONSORCIO CPV
GUSTAVO HERNAN VELANDIA POVEDA
JULIO CESAR CASTRO
ANTONIO MARIA PUENTES</v>
          </cell>
          <cell r="S24">
            <v>900601479</v>
          </cell>
          <cell r="T24">
            <v>41326</v>
          </cell>
          <cell r="U24">
            <v>4186933219</v>
          </cell>
          <cell r="V24">
            <v>2372118404</v>
          </cell>
          <cell r="W24">
            <v>1814814815</v>
          </cell>
          <cell r="X24">
            <v>336571680</v>
          </cell>
          <cell r="Y24">
            <v>191386495</v>
          </cell>
          <cell r="Z24">
            <v>145185185</v>
          </cell>
          <cell r="AA24">
            <v>0</v>
          </cell>
          <cell r="AB24" t="str">
            <v>LETICIA</v>
          </cell>
          <cell r="AC24" t="str">
            <v>AMAZONAS</v>
          </cell>
          <cell r="AD24">
            <v>41348</v>
          </cell>
          <cell r="AE24">
            <v>8</v>
          </cell>
          <cell r="AF24">
            <v>0</v>
          </cell>
          <cell r="AG24">
            <v>1256079965.7</v>
          </cell>
        </row>
        <row r="25">
          <cell r="A25" t="str">
            <v>PAF-ATF-022-2012</v>
          </cell>
          <cell r="B25" t="str">
            <v>CONSTRUCCIÓN Y OPTIMIZACIÓN DEL SISTEMA DE ALCANTARILLADO SANITARIO” FIRAVITOBA - BOYACA</v>
          </cell>
          <cell r="C25">
            <v>3646760374</v>
          </cell>
          <cell r="D25">
            <v>3646760374</v>
          </cell>
          <cell r="E25">
            <v>0</v>
          </cell>
          <cell r="F25">
            <v>242558377</v>
          </cell>
          <cell r="G25">
            <v>242558377</v>
          </cell>
          <cell r="H25">
            <v>0</v>
          </cell>
          <cell r="I25">
            <v>0</v>
          </cell>
          <cell r="J25">
            <v>77786375.019999996</v>
          </cell>
          <cell r="K25">
            <v>79373852</v>
          </cell>
          <cell r="L25">
            <v>0</v>
          </cell>
          <cell r="M25">
            <v>41247</v>
          </cell>
          <cell r="N25" t="str">
            <v>Contrato No. 036 de 2012
CDP 274712
16 Fondos Especiales</v>
          </cell>
          <cell r="O25" t="str">
            <v>Contrato 036 de 2012
CDP 316212
13 Nación</v>
          </cell>
          <cell r="P25" t="str">
            <v>Contrato No. 036 de 2012
CDP 304012
11 Nación</v>
          </cell>
          <cell r="Q25" t="str">
            <v>GRUPO 2</v>
          </cell>
          <cell r="R25" t="str">
            <v>CONSORCIO AGUAS BOYACA
PROINARK S.A.
AISAR SALIM FARAH BUELVAS
EXCAVACIONES JOBEPA S.L.
ROSEMBERTH LOPEZ</v>
          </cell>
          <cell r="S25">
            <v>900598309</v>
          </cell>
          <cell r="T25">
            <v>41332</v>
          </cell>
          <cell r="U25">
            <v>3577826242</v>
          </cell>
          <cell r="V25">
            <v>3577826242</v>
          </cell>
          <cell r="W25">
            <v>0</v>
          </cell>
          <cell r="X25">
            <v>237463020</v>
          </cell>
          <cell r="Y25">
            <v>237463020</v>
          </cell>
          <cell r="Z25">
            <v>0</v>
          </cell>
          <cell r="AA25">
            <v>0</v>
          </cell>
          <cell r="AB25" t="str">
            <v>FIRAVITOBA</v>
          </cell>
          <cell r="AC25" t="str">
            <v>BOYACA</v>
          </cell>
          <cell r="AD25">
            <v>41338</v>
          </cell>
          <cell r="AE25">
            <v>6</v>
          </cell>
          <cell r="AF25">
            <v>0</v>
          </cell>
          <cell r="AG25">
            <v>1073347872.5999999</v>
          </cell>
        </row>
        <row r="26">
          <cell r="A26" t="str">
            <v>PAF-ATF-023-2012</v>
          </cell>
          <cell r="B26" t="str">
            <v>CONSTRUCCIÓN DE ACUEDUCTO Y ALCANTARILLADO SANITARIO EN EL SECTOR SANTA HELENA SANTA MARTA MAGDALENA</v>
          </cell>
          <cell r="C26">
            <v>7309439550</v>
          </cell>
          <cell r="D26">
            <v>7309439550</v>
          </cell>
          <cell r="E26">
            <v>0</v>
          </cell>
          <cell r="F26">
            <v>503047725</v>
          </cell>
          <cell r="G26">
            <v>503047725</v>
          </cell>
          <cell r="H26">
            <v>0</v>
          </cell>
          <cell r="I26">
            <v>0</v>
          </cell>
          <cell r="J26">
            <v>156249745.5</v>
          </cell>
          <cell r="K26">
            <v>159438517</v>
          </cell>
          <cell r="L26">
            <v>0</v>
          </cell>
          <cell r="M26">
            <v>41247</v>
          </cell>
          <cell r="N26" t="str">
            <v>Contrato No. 036 de 2012
CDP 304012
11 Nación</v>
          </cell>
          <cell r="O26" t="str">
            <v>Contrato No. 036 de 2012
CDP 304012
11 Nación</v>
          </cell>
          <cell r="P26" t="str">
            <v>Contrato No. 036 de 2012
CDP 304012
11 Nación</v>
          </cell>
          <cell r="Q26" t="str">
            <v>GRUPO 2</v>
          </cell>
          <cell r="R26" t="str">
            <v>CONSORCIO CHBJ-023
BERNARDO ENRIQUE BRAVO PEREZ
CONEQUIPOS ING LTDA
JJ INGENIERIA Y CONSTRUCCIONES SAS</v>
          </cell>
          <cell r="S26">
            <v>900599926</v>
          </cell>
          <cell r="T26">
            <v>41327</v>
          </cell>
          <cell r="U26">
            <v>7163627678</v>
          </cell>
          <cell r="V26">
            <v>7163627678</v>
          </cell>
          <cell r="W26">
            <v>0</v>
          </cell>
          <cell r="X26">
            <v>501990000</v>
          </cell>
          <cell r="Y26">
            <v>501990000</v>
          </cell>
          <cell r="Z26">
            <v>0</v>
          </cell>
          <cell r="AA26">
            <v>0</v>
          </cell>
          <cell r="AB26" t="str">
            <v>SANTA MARTA</v>
          </cell>
          <cell r="AC26" t="str">
            <v>MAGDALENA</v>
          </cell>
          <cell r="AD26">
            <v>41342</v>
          </cell>
          <cell r="AE26">
            <v>12</v>
          </cell>
          <cell r="AF26">
            <v>0</v>
          </cell>
          <cell r="AG26">
            <v>2149088303.4000001</v>
          </cell>
        </row>
        <row r="27">
          <cell r="A27" t="str">
            <v>PAF-ATF-024-2012</v>
          </cell>
          <cell r="B27" t="str">
            <v>OPTIMIZACIÓN ALCANTARILLADO CARRERA 3 ETAPA II, MUNICIPIO DE IPIALES”</v>
          </cell>
          <cell r="C27">
            <v>4307026770</v>
          </cell>
          <cell r="D27">
            <v>4307026770</v>
          </cell>
          <cell r="E27">
            <v>0</v>
          </cell>
          <cell r="F27">
            <v>286156970</v>
          </cell>
          <cell r="G27">
            <v>286156970</v>
          </cell>
          <cell r="H27">
            <v>0</v>
          </cell>
          <cell r="I27">
            <v>0</v>
          </cell>
          <cell r="J27">
            <v>91863674.799999997</v>
          </cell>
          <cell r="K27">
            <v>93738444</v>
          </cell>
          <cell r="L27">
            <v>0</v>
          </cell>
          <cell r="M27">
            <v>41247</v>
          </cell>
          <cell r="N27" t="str">
            <v>Contrato No. 036 de 2012
CDP 274712
16 Fondos Especiales</v>
          </cell>
          <cell r="O27" t="str">
            <v>Contrato No. 036 de 2012
CDP 274712
16 Fondos Especiales</v>
          </cell>
          <cell r="P27" t="str">
            <v>Contrato No. 036 de 2012
CDP 274712
16 Fondos Especiales</v>
          </cell>
          <cell r="Q27" t="str">
            <v>GRUPO 2</v>
          </cell>
          <cell r="R27" t="str">
            <v>CONSORCIO SANEAMIENTO IPIALES
CASS CONSTRUCTORES &amp; CIA S.C.A.
CARLOS ALBERTO SOLARTE SOLARTE
ORLANDO FAJARDO CASTILLO
LUIS GABRIEL NIETO GARCIA</v>
          </cell>
          <cell r="S27">
            <v>900602755</v>
          </cell>
          <cell r="T27">
            <v>41332</v>
          </cell>
          <cell r="U27">
            <v>4260700397</v>
          </cell>
          <cell r="V27">
            <v>4260700397</v>
          </cell>
          <cell r="W27">
            <v>0</v>
          </cell>
          <cell r="X27">
            <v>271857600</v>
          </cell>
          <cell r="Y27">
            <v>271857600</v>
          </cell>
          <cell r="Z27">
            <v>0</v>
          </cell>
          <cell r="AA27">
            <v>0</v>
          </cell>
          <cell r="AB27" t="str">
            <v>IPIALES</v>
          </cell>
          <cell r="AC27" t="str">
            <v>NARIÑO</v>
          </cell>
          <cell r="AD27">
            <v>41352</v>
          </cell>
          <cell r="AE27">
            <v>8</v>
          </cell>
          <cell r="AF27">
            <v>0</v>
          </cell>
          <cell r="AG27">
            <v>1278210119.0999999</v>
          </cell>
        </row>
        <row r="28">
          <cell r="A28" t="str">
            <v>PAF-ATF-025-2012</v>
          </cell>
          <cell r="B28" t="str">
            <v>SISTEMA DE ABASTECIMIENTO QUEBRADA PIEDRAS FASE II, MUNICIPIO DE SAN JUAN DE PASTO</v>
          </cell>
          <cell r="C28">
            <v>27195834365</v>
          </cell>
          <cell r="D28">
            <v>23091385366</v>
          </cell>
          <cell r="E28">
            <v>4104448999</v>
          </cell>
          <cell r="F28">
            <v>1834092509</v>
          </cell>
          <cell r="G28">
            <v>1834092509</v>
          </cell>
          <cell r="H28">
            <v>0</v>
          </cell>
          <cell r="I28" t="str">
            <v>CONVENIO INTERADMINISTRATIVO                                                                                                                                                                                                                                                                   31-12-2012                                                                                                                                                                                                                                                         EMPOPASTO $4.104.448.999
ACTA JUNTA DIRECTIVA  27/11/2012 VIGENCIAS FUTURAS</v>
          </cell>
          <cell r="J28">
            <v>580598537.48000002</v>
          </cell>
          <cell r="K28">
            <v>508683222</v>
          </cell>
          <cell r="L28">
            <v>0</v>
          </cell>
          <cell r="M28">
            <v>41247</v>
          </cell>
          <cell r="N28" t="str">
            <v>Contrato No. 036 de 2012
CDP 274712
16 Fondos Especiales</v>
          </cell>
          <cell r="O28" t="str">
            <v>Contrato No. 036 de 2012
CDP 274712
16 Fondos Especiales</v>
          </cell>
          <cell r="P28" t="str">
            <v>Contrato No. 036 de 2012
CDP 274712
16 Fondos Especiales</v>
          </cell>
          <cell r="Q28" t="str">
            <v>GRUPO 2</v>
          </cell>
          <cell r="R28" t="str">
            <v>UNION TEMPORAL FASE 2
ORTIZ CONSTRUCCIONES Y PROYECTOS S.A. SUCURSAL COLOMBIA
PROYECTOS CIVILES E HIDRAULICOS S.A.S.</v>
          </cell>
          <cell r="S28">
            <v>900599458</v>
          </cell>
          <cell r="T28">
            <v>41332</v>
          </cell>
          <cell r="U28">
            <v>26765328534</v>
          </cell>
          <cell r="V28">
            <v>22660879535</v>
          </cell>
          <cell r="W28">
            <v>4104448999</v>
          </cell>
          <cell r="X28">
            <v>1742388440</v>
          </cell>
          <cell r="Y28">
            <v>1742388440</v>
          </cell>
          <cell r="Z28">
            <v>0</v>
          </cell>
          <cell r="AA28">
            <v>0</v>
          </cell>
          <cell r="AB28" t="str">
            <v xml:space="preserve"> PASTO</v>
          </cell>
          <cell r="AC28" t="str">
            <v>NARIÑO</v>
          </cell>
          <cell r="AD28">
            <v>41366</v>
          </cell>
          <cell r="AE28">
            <v>13</v>
          </cell>
          <cell r="AF28">
            <v>0</v>
          </cell>
          <cell r="AG28">
            <v>8029598560.1999998</v>
          </cell>
        </row>
        <row r="29">
          <cell r="A29" t="str">
            <v>PAF-ATF-026-2012</v>
          </cell>
          <cell r="B29" t="str">
            <v>CONSTRUCCIÓN SISTEMA MAESTRO INTERCEPTOR RIO CHIQUITO, TEJAR Y SAN CAYETANO, TERMINACIÓN INTERCEPTOR RIO TEJO Y CONTINUACIÓN SISTEMA PRINCIPAL HATILLO-FILIPOTE, INCLUIDO EL SISTEMA DE TRATAMIENTO DE AGUAS RESIDUALES DENTRO DEL PLAN MAESTRO DE ALCANTARILLADO, MUNICIPIO DE OCAÑA”</v>
          </cell>
          <cell r="C29">
            <v>21166434793</v>
          </cell>
          <cell r="D29">
            <v>20926434793</v>
          </cell>
          <cell r="E29">
            <v>240000000</v>
          </cell>
          <cell r="F29">
            <v>1621315424</v>
          </cell>
          <cell r="G29">
            <v>1621315424</v>
          </cell>
          <cell r="H29">
            <v>0</v>
          </cell>
          <cell r="I29" t="str">
            <v xml:space="preserve">CONVENIO INTERADMINISTRATIVO        
$240.000.000       OBRA CIVIL                                                                                                                                                                                                                                                    </v>
          </cell>
          <cell r="J29">
            <v>455755004.34000003</v>
          </cell>
          <cell r="K29">
            <v>460158168</v>
          </cell>
          <cell r="L29">
            <v>0</v>
          </cell>
          <cell r="M29">
            <v>41247</v>
          </cell>
          <cell r="N29" t="str">
            <v xml:space="preserve">CDP 235012                                                                                                                                                                                                                                                                                                                       NACIÓN 11                                                                                                                                                                                                                                                                                                              PRESUPUESTO ANUAL DE GASTOS E INVERSIONES DEL MUNICIPIO                                                                                                                                                </v>
          </cell>
          <cell r="O29" t="str">
            <v>Contrato No. 036 de 2012
CDP 304012
11 Nación</v>
          </cell>
          <cell r="P29" t="str">
            <v>Contrato No. 036 de 2012
CDP 304012
11 Nación</v>
          </cell>
          <cell r="Q29" t="str">
            <v>GRUPO 2</v>
          </cell>
          <cell r="R29" t="str">
            <v>CONSORCIO OCAÑA
HIDROPROYECTOS S.A. SUCURSAL COLOMBIA
INGENIEROS GF S.A.S.
CONSICAL LTDA ING LTDA
CONEQUIPOS</v>
          </cell>
          <cell r="S29">
            <v>900606713</v>
          </cell>
          <cell r="T29">
            <v>41348</v>
          </cell>
          <cell r="U29">
            <v>20930517750</v>
          </cell>
          <cell r="V29">
            <v>20690517750</v>
          </cell>
          <cell r="W29">
            <v>240000000</v>
          </cell>
          <cell r="X29">
            <v>1570698000</v>
          </cell>
          <cell r="Y29">
            <v>1570698000</v>
          </cell>
          <cell r="Z29">
            <v>0</v>
          </cell>
          <cell r="AA29">
            <v>0</v>
          </cell>
          <cell r="AB29" t="str">
            <v>OCAÑA</v>
          </cell>
          <cell r="AC29" t="str">
            <v>NORTE DE SANTANDER</v>
          </cell>
          <cell r="AD29">
            <v>41365</v>
          </cell>
          <cell r="AE29">
            <v>18</v>
          </cell>
          <cell r="AF29">
            <v>0</v>
          </cell>
          <cell r="AG29">
            <v>6279155325</v>
          </cell>
        </row>
        <row r="30">
          <cell r="A30" t="str">
            <v>PAF-ATF-027-2012</v>
          </cell>
          <cell r="B30" t="str">
            <v>CONSTRUCCIÓN, OPTIMIZACIÓN Y MEJORAMIENTO DE OBRAS COMPLEMENTARIAS DEL PLAN MAESTRO DE ACUEDUCTO, MUNICIPIO DE DOSQUEBRADAS”</v>
          </cell>
          <cell r="C30">
            <v>6776215059</v>
          </cell>
          <cell r="D30">
            <v>6696215059</v>
          </cell>
          <cell r="E30">
            <v>80000000</v>
          </cell>
          <cell r="F30">
            <v>438123476</v>
          </cell>
          <cell r="G30">
            <v>438123476</v>
          </cell>
          <cell r="H30">
            <v>0</v>
          </cell>
          <cell r="I30" t="str">
            <v xml:space="preserve">CONVENIO INTERADMINISTRATIVO $80.000.000 EQUIVALENTE AL 1%  OBRA CIVIL
EJECUTOR SERVICIUDAD E.S.P.
</v>
          </cell>
          <cell r="J30">
            <v>144286770.70000002</v>
          </cell>
          <cell r="K30">
            <v>147231399</v>
          </cell>
          <cell r="L30">
            <v>0</v>
          </cell>
          <cell r="M30">
            <v>41247</v>
          </cell>
          <cell r="N30" t="str">
            <v>Contrato No. 036 de 2012
CDP 304012
11 Nación</v>
          </cell>
          <cell r="O30" t="str">
            <v>Contrato No. 036 de 2012
CDP 304012
11 Nación</v>
          </cell>
          <cell r="P30" t="str">
            <v>Contrato No. 036 de 2012
CDP 304012
11 Nación</v>
          </cell>
          <cell r="Q30" t="str">
            <v>GRUPO 2</v>
          </cell>
          <cell r="R30" t="str">
            <v>UNION TEMPORAL DOSQUEBRADAS 2013
VIÑAS RUSSI S.A.S.
JIMENEZ INGENIERIA S.A.S
FRANCISCO RIOS DANIES
CASTRO TCHERASSI S.A.</v>
          </cell>
          <cell r="S30">
            <v>900598971</v>
          </cell>
          <cell r="T30">
            <v>41332</v>
          </cell>
          <cell r="U30">
            <v>6646571702</v>
          </cell>
          <cell r="V30">
            <v>6566571702</v>
          </cell>
          <cell r="W30">
            <v>80000000</v>
          </cell>
          <cell r="X30">
            <v>416219600</v>
          </cell>
          <cell r="Y30">
            <v>416219600</v>
          </cell>
          <cell r="Z30">
            <v>0</v>
          </cell>
          <cell r="AA30">
            <v>0</v>
          </cell>
          <cell r="AB30" t="str">
            <v>DOSQUEBRADAS</v>
          </cell>
          <cell r="AC30" t="str">
            <v>RISARALDA</v>
          </cell>
          <cell r="AD30">
            <v>41339</v>
          </cell>
          <cell r="AE30">
            <v>10</v>
          </cell>
          <cell r="AF30">
            <v>0</v>
          </cell>
          <cell r="AG30">
            <v>1993971510.5999999</v>
          </cell>
        </row>
        <row r="31">
          <cell r="A31" t="str">
            <v>PAF-ATF-028-2012</v>
          </cell>
          <cell r="B31" t="str">
            <v>CONSTRUCCIÓN DEL COLECTOR POZO 7 PLAN DE SANEAMIENTO HÍDRICO, MUNICIPIO DE BARRANCABERMEJA</v>
          </cell>
          <cell r="C31">
            <v>6082894525</v>
          </cell>
          <cell r="D31">
            <v>4878342109</v>
          </cell>
          <cell r="E31">
            <v>1204552416</v>
          </cell>
          <cell r="F31">
            <v>389536478</v>
          </cell>
          <cell r="G31">
            <v>0</v>
          </cell>
          <cell r="H31">
            <v>389536478</v>
          </cell>
          <cell r="I31" t="str">
            <v>CONVENIO INTERADMINISTRATIVO  OBRA CIVIL $ 1.204.552.416
INTERVENTORIA $ 389.536.478 
TOTAL $1.594.088.894</v>
          </cell>
          <cell r="J31">
            <v>129448620.06</v>
          </cell>
          <cell r="K31">
            <v>99558002</v>
          </cell>
          <cell r="L31">
            <v>0</v>
          </cell>
          <cell r="M31">
            <v>41247</v>
          </cell>
          <cell r="N31" t="str">
            <v>Contrato No. 036 de 2012
CDP 290212
11 Recursos del Tesoro</v>
          </cell>
          <cell r="O31" t="str">
            <v>CONTRAPARTIDA</v>
          </cell>
          <cell r="P31" t="str">
            <v>Contrato No. 036 de 2012
CDP 290212
11 Recursos del Tesoro</v>
          </cell>
          <cell r="Q31" t="str">
            <v>GRUPO 2</v>
          </cell>
          <cell r="R31" t="str">
            <v>CONSORCIO BARRANCA 028
GUTEMBERG JOSE GONZALEZ PEREZ
SAIN ESPINOZA MURCIA
CONALRED S.A.S.
OINCO LTDA</v>
          </cell>
          <cell r="S31">
            <v>900599235</v>
          </cell>
          <cell r="T31">
            <v>41333</v>
          </cell>
          <cell r="U31">
            <v>5981924700</v>
          </cell>
          <cell r="V31">
            <v>4777372284</v>
          </cell>
          <cell r="W31">
            <v>1204552416</v>
          </cell>
          <cell r="X31">
            <v>384592200</v>
          </cell>
          <cell r="Y31">
            <v>0</v>
          </cell>
          <cell r="Z31">
            <v>384592200</v>
          </cell>
          <cell r="AA31">
            <v>0</v>
          </cell>
          <cell r="AB31" t="str">
            <v>BARRANCABERMEJA</v>
          </cell>
          <cell r="AC31" t="str">
            <v>SANTANDER</v>
          </cell>
          <cell r="AD31">
            <v>41337</v>
          </cell>
          <cell r="AE31">
            <v>12</v>
          </cell>
          <cell r="AF31">
            <v>0</v>
          </cell>
          <cell r="AG31">
            <v>1794577410</v>
          </cell>
        </row>
        <row r="32">
          <cell r="A32" t="str">
            <v>PAF-ATF-029-2012
PAF-ATF-076-2013</v>
          </cell>
          <cell r="B32" t="str">
            <v>CONSTRUCCIÓN LÍNEA DE CONDUCCIÓN TRAMO II DESDE LA ESTACIÓN DE COROZAL HASTA LA ESTACIÓN DE REBOMBEO SINCELEJO, DESDE K4+300 HASTA K8+770; CONSTRUCCIÓN DEL POZO PROFUNDO No. 50 CON SU EQUIPAMIENTO Y LÍNEA DE ADUCCIÓN, SECTOR PALMITOS; CONSTRUCCIÓN DEL POZO PROFUNDO No. 51 CON SU EQUIPAMENTO Y LÍNEA DE ADUCCIÓN, SECTOR PALMITOS Y CONSTRUCCIÓN REDES MATRICES ACUEDUCTO FASE III, MUNICIPIO DE SINCELEJO</v>
          </cell>
          <cell r="C32">
            <v>26793973094</v>
          </cell>
          <cell r="D32">
            <v>26793973094</v>
          </cell>
          <cell r="E32">
            <v>0</v>
          </cell>
          <cell r="F32">
            <v>1482982548</v>
          </cell>
          <cell r="G32">
            <v>1482982548</v>
          </cell>
          <cell r="H32">
            <v>0</v>
          </cell>
          <cell r="I32">
            <v>0</v>
          </cell>
          <cell r="J32">
            <v>565539112.84000003</v>
          </cell>
          <cell r="K32">
            <v>577080727</v>
          </cell>
          <cell r="L32">
            <v>0</v>
          </cell>
          <cell r="M32" t="str">
            <v xml:space="preserve">04-12-2012
06-03-2013
</v>
          </cell>
          <cell r="N32" t="str">
            <v>Contrato No. 036 de 2012
CDP 1413                                                                                                                                                                                                                                                                                                         
 Vigencias Futuras 2013</v>
          </cell>
          <cell r="O32" t="str">
            <v>Contrato No. 036 de 2012
CDP 1413                                                                                                                                                                                                                                                                                                          Vigencias Futuras 2013</v>
          </cell>
          <cell r="P32" t="str">
            <v>Contrato No. 036 de 2012
CDP 1413                                                                                                                                                                                                                                                                                                          Vigencias Futuras 2013</v>
          </cell>
          <cell r="Q32" t="str">
            <v>GRUPO 2
GRUPO 2A</v>
          </cell>
          <cell r="R32" t="str">
            <v xml:space="preserve">CONSORCIO INGENIAR
E-CON S.A.S
HORACIO MENDOZA MARTINEZ
</v>
          </cell>
          <cell r="S32">
            <v>900610587</v>
          </cell>
          <cell r="T32">
            <v>41381</v>
          </cell>
          <cell r="U32">
            <v>24122452506</v>
          </cell>
          <cell r="V32">
            <v>24122452506</v>
          </cell>
          <cell r="W32">
            <v>0</v>
          </cell>
          <cell r="X32">
            <v>1482741000</v>
          </cell>
          <cell r="Y32">
            <v>1482741000</v>
          </cell>
          <cell r="Z32">
            <v>0</v>
          </cell>
          <cell r="AA32">
            <v>0</v>
          </cell>
          <cell r="AB32" t="str">
            <v>SINCELEJO</v>
          </cell>
          <cell r="AC32" t="str">
            <v>SUCRE</v>
          </cell>
          <cell r="AD32">
            <v>41383</v>
          </cell>
          <cell r="AE32">
            <v>13</v>
          </cell>
          <cell r="AF32">
            <v>0</v>
          </cell>
          <cell r="AG32">
            <v>7236735751.8000002</v>
          </cell>
        </row>
        <row r="33">
          <cell r="A33" t="str">
            <v>PAF-ATF-030-2012</v>
          </cell>
          <cell r="B33" t="str">
            <v>CONSTRUCCIÓN DE PLANTA DE TRATAMIENTO DE AGUA POTABLE DE 400 LPS Y SUMINISTRO E INSTALACIÓN DE BOMBA DE RESERVA EN LA ESTACIÓN GAMBOTE” ARJONA- TURBACO</v>
          </cell>
          <cell r="C33">
            <v>10033153982</v>
          </cell>
          <cell r="D33">
            <v>10033153982</v>
          </cell>
          <cell r="E33">
            <v>0</v>
          </cell>
          <cell r="F33">
            <v>601989239</v>
          </cell>
          <cell r="G33">
            <v>601989239</v>
          </cell>
          <cell r="H33">
            <v>0</v>
          </cell>
          <cell r="I33">
            <v>0</v>
          </cell>
          <cell r="J33">
            <v>212702864.42000002</v>
          </cell>
          <cell r="K33">
            <v>217043739</v>
          </cell>
          <cell r="L33">
            <v>0</v>
          </cell>
          <cell r="M33">
            <v>41254</v>
          </cell>
          <cell r="N33" t="str">
            <v>Contrato No. 036 de 2012 
CDP 274712
10 Recursos Corrientes</v>
          </cell>
          <cell r="O33" t="str">
            <v>Contrato No. 036 de 2012 
CDP 274712
10 Recursos Corrientes</v>
          </cell>
          <cell r="P33" t="str">
            <v>Contrato No. 036 de 2012 
CDP 274712
10 Recursos Corrientes</v>
          </cell>
          <cell r="Q33" t="str">
            <v>GRUPO 3</v>
          </cell>
          <cell r="R33" t="str">
            <v xml:space="preserve">CONSORCIO EHP GAMBOTE                                                                                                                                                                                                                                                                                                                                                                           PROYECTAR INGENIERIA S.A.S                                                                                                                                                                                                                                                             ELECTROHIDRAULICA S.A. REPRESENTACIONES                        </v>
          </cell>
          <cell r="S33">
            <v>900611538</v>
          </cell>
          <cell r="T33">
            <v>41355</v>
          </cell>
          <cell r="U33">
            <v>9665235505</v>
          </cell>
          <cell r="V33">
            <v>9665235505</v>
          </cell>
          <cell r="W33">
            <v>0</v>
          </cell>
          <cell r="X33">
            <v>554126200</v>
          </cell>
          <cell r="Y33">
            <v>554126200</v>
          </cell>
          <cell r="Z33">
            <v>0</v>
          </cell>
          <cell r="AA33">
            <v>0</v>
          </cell>
          <cell r="AB33" t="str">
            <v>ARJONA- TURBACO</v>
          </cell>
          <cell r="AC33" t="str">
            <v>BOLIVAR</v>
          </cell>
          <cell r="AD33">
            <v>41383</v>
          </cell>
          <cell r="AE33">
            <v>10</v>
          </cell>
          <cell r="AF33">
            <v>0</v>
          </cell>
          <cell r="AG33">
            <v>2899570651.5</v>
          </cell>
        </row>
        <row r="34">
          <cell r="A34" t="str">
            <v>PAF-ATF-031-2012</v>
          </cell>
          <cell r="B34" t="str">
            <v>CONSTRUCCIÓN COLECTOR ORIENTAL DE AGUAS SERVIDAS VALLEDUPAR</v>
          </cell>
          <cell r="C34">
            <v>11120459735</v>
          </cell>
          <cell r="D34">
            <v>11120459735</v>
          </cell>
          <cell r="E34">
            <v>0</v>
          </cell>
          <cell r="F34">
            <v>642311492</v>
          </cell>
          <cell r="G34">
            <v>642311492</v>
          </cell>
          <cell r="H34">
            <v>0</v>
          </cell>
          <cell r="I34">
            <v>0</v>
          </cell>
          <cell r="J34">
            <v>235255424.53999999</v>
          </cell>
          <cell r="K34">
            <v>240056556</v>
          </cell>
          <cell r="L34">
            <v>0</v>
          </cell>
          <cell r="M34">
            <v>41254</v>
          </cell>
          <cell r="N34" t="str">
            <v>Contrato No. 036 de 2012 
CDP 274712
10 Recursos Corrientes</v>
          </cell>
          <cell r="O34" t="str">
            <v>Contrato No. 036 de 2012 
CDP 274712
10 Recursos Corrientes</v>
          </cell>
          <cell r="P34" t="str">
            <v>Contrato No. 036 de 2012 
CDP 274712
10 Recursos Corrientes</v>
          </cell>
          <cell r="Q34" t="str">
            <v>GRUPO 3</v>
          </cell>
          <cell r="R34" t="str">
            <v>UNION TEMPORAL AGUAS DE VALLEDUPAR
ORTIZ CONSTRUCCIONES Y PROYECTOS S.A.  - SUCURSAL COLOMBIA
PROYECTOS CIVILES E HIDRAULICOS S.A.S.</v>
          </cell>
          <cell r="S34">
            <v>900599461</v>
          </cell>
          <cell r="T34">
            <v>41332</v>
          </cell>
          <cell r="U34">
            <v>10907307908</v>
          </cell>
          <cell r="V34">
            <v>10907307908</v>
          </cell>
          <cell r="W34">
            <v>0</v>
          </cell>
          <cell r="X34">
            <v>559849640</v>
          </cell>
          <cell r="Y34">
            <v>559849640</v>
          </cell>
          <cell r="Z34">
            <v>0</v>
          </cell>
          <cell r="AA34">
            <v>0</v>
          </cell>
          <cell r="AB34" t="str">
            <v>VALLEDUPAR</v>
          </cell>
          <cell r="AC34" t="str">
            <v>CESAR</v>
          </cell>
          <cell r="AD34">
            <v>41348</v>
          </cell>
          <cell r="AE34">
            <v>10</v>
          </cell>
          <cell r="AF34">
            <v>0</v>
          </cell>
          <cell r="AG34">
            <v>3272192372.4000001</v>
          </cell>
        </row>
        <row r="35">
          <cell r="A35" t="str">
            <v>PAF-ATF-032-2012</v>
          </cell>
          <cell r="B35" t="str">
            <v>CONSTRUCCIÓN PLAN MAESTRO DE ALCANTARILLADO SANITARIO ETAPA 2 VILLA DEL ROSARIO- NORTE DE SANTANDER</v>
          </cell>
          <cell r="C35">
            <v>14792816249</v>
          </cell>
          <cell r="D35">
            <v>14792816249</v>
          </cell>
          <cell r="E35">
            <v>0</v>
          </cell>
          <cell r="F35">
            <v>998337136</v>
          </cell>
          <cell r="G35">
            <v>998337136</v>
          </cell>
          <cell r="H35">
            <v>0</v>
          </cell>
          <cell r="I35">
            <v>0</v>
          </cell>
          <cell r="J35">
            <v>315823067.69999999</v>
          </cell>
          <cell r="K35">
            <v>322268436</v>
          </cell>
          <cell r="L35">
            <v>0</v>
          </cell>
          <cell r="M35">
            <v>41254</v>
          </cell>
          <cell r="N35" t="str">
            <v>Contrato No. 036 de 2012 
CDP 274712
10 Recursos Corrientes</v>
          </cell>
          <cell r="O35" t="str">
            <v>Contrato 036 de 2012
CDP 316212
13 Nación</v>
          </cell>
          <cell r="P35" t="str">
            <v>Contrato No. 036 de 2012 
CDP 274712
10 Recursos Corrientes</v>
          </cell>
          <cell r="Q35" t="str">
            <v>GRUPO 3</v>
          </cell>
          <cell r="R35" t="str">
            <v>UNION TEMPORAL REDES DE SANTANDER 2013
CONSTRUCTORA YACAMAN VIVERO S.A.
CONHYDRA S.A. E.S.P.</v>
          </cell>
          <cell r="S35">
            <v>900596761</v>
          </cell>
          <cell r="T35">
            <v>41326</v>
          </cell>
          <cell r="U35">
            <v>14511795864</v>
          </cell>
          <cell r="V35">
            <v>14511795864</v>
          </cell>
          <cell r="W35">
            <v>0</v>
          </cell>
          <cell r="X35">
            <v>960415040</v>
          </cell>
          <cell r="Y35">
            <v>960415040</v>
          </cell>
          <cell r="Z35">
            <v>0</v>
          </cell>
          <cell r="AA35">
            <v>0</v>
          </cell>
          <cell r="AB35" t="str">
            <v>VILLA DEL ROSARIO</v>
          </cell>
          <cell r="AC35" t="str">
            <v>NORTE DE SANTANDER</v>
          </cell>
          <cell r="AD35">
            <v>41340</v>
          </cell>
          <cell r="AE35">
            <v>12</v>
          </cell>
          <cell r="AF35">
            <v>0</v>
          </cell>
          <cell r="AG35">
            <v>4353538759.1999998</v>
          </cell>
        </row>
        <row r="36">
          <cell r="A36" t="str">
            <v>PAF-ATF-033-2012
PAF-ATF-074-2013</v>
          </cell>
          <cell r="B36" t="str">
            <v>CONSTRUCCIÓN NIVEL B TERRAZA 12 Y PLANTA DE TRATAMIENTO DE LIXIVIADOS RELLENO SANITARIO REGIONAL TERRAZA DEL PORVENIR” DEL MUNICIPIO DE SOGAMOSO, BOYACA</v>
          </cell>
          <cell r="C36">
            <v>2872946494</v>
          </cell>
          <cell r="D36">
            <v>2872946494</v>
          </cell>
          <cell r="E36">
            <v>0</v>
          </cell>
          <cell r="F36">
            <v>229835719</v>
          </cell>
          <cell r="G36">
            <v>229835719</v>
          </cell>
          <cell r="H36">
            <v>0</v>
          </cell>
          <cell r="I36">
            <v>0</v>
          </cell>
          <cell r="J36">
            <v>62055644.259999998</v>
          </cell>
          <cell r="K36">
            <v>62055646</v>
          </cell>
          <cell r="L36">
            <v>0</v>
          </cell>
          <cell r="M36" t="str">
            <v>11-12-2012
06-03-2013</v>
          </cell>
          <cell r="N36" t="str">
            <v>Contrato No. 036 de 2012
CDP 274712
11 Recursos del Tesoro</v>
          </cell>
          <cell r="O36" t="str">
            <v>Contrato No. 036 de 2012
CDP 274712
11 Recursos del Tesoro</v>
          </cell>
          <cell r="P36" t="str">
            <v>Contrato No. 036 de 2012
CDP 274712
11 Recursos del Tesoro</v>
          </cell>
          <cell r="Q36" t="str">
            <v>GRUPO 3
GRUPO 2A</v>
          </cell>
          <cell r="R36" t="str">
            <v xml:space="preserve">CONSORCIO ABC
GUSTAVO H. VELANDIA POVEDA
RB DE COLOMBIA
</v>
          </cell>
          <cell r="S36">
            <v>900609954</v>
          </cell>
          <cell r="T36">
            <v>41376</v>
          </cell>
          <cell r="U36">
            <v>2657018468</v>
          </cell>
          <cell r="V36">
            <v>2657018468</v>
          </cell>
          <cell r="W36">
            <v>0</v>
          </cell>
          <cell r="X36">
            <v>229230500</v>
          </cell>
          <cell r="Y36">
            <v>229230500</v>
          </cell>
          <cell r="Z36">
            <v>0</v>
          </cell>
          <cell r="AA36">
            <v>0</v>
          </cell>
          <cell r="AB36" t="str">
            <v>SOGAMOSO</v>
          </cell>
          <cell r="AC36" t="str">
            <v>BOYACA</v>
          </cell>
          <cell r="AD36">
            <v>41388</v>
          </cell>
          <cell r="AE36">
            <v>12</v>
          </cell>
          <cell r="AF36">
            <v>0</v>
          </cell>
          <cell r="AG36">
            <v>797105540.39999998</v>
          </cell>
        </row>
        <row r="37">
          <cell r="A37" t="str">
            <v>PAF-ATF-034-2012</v>
          </cell>
          <cell r="B37" t="str">
            <v>MEJORAMIENTO HIDRÁULICO DE COLECTORES PARA MITIGAR INUNDACIONES EN EL CASCO ANTIGÜO DE LA CIUDAD DE SANTIAGO DE CALI</v>
          </cell>
          <cell r="C37">
            <v>7936480877</v>
          </cell>
          <cell r="D37">
            <v>7936480877</v>
          </cell>
          <cell r="E37">
            <v>3462319910</v>
          </cell>
          <cell r="F37">
            <v>555553661</v>
          </cell>
          <cell r="G37">
            <v>555553661</v>
          </cell>
          <cell r="H37">
            <v>0</v>
          </cell>
          <cell r="I37" t="str">
            <v>CONTRAPARTIDA DE EMCALI POR MAYOR VALOR DE OBRA</v>
          </cell>
          <cell r="J37">
            <v>239087088.96000001</v>
          </cell>
          <cell r="K37">
            <v>173306827</v>
          </cell>
          <cell r="L37">
            <v>0</v>
          </cell>
          <cell r="M37">
            <v>41254</v>
          </cell>
          <cell r="N37" t="str">
            <v>Contrato No. 036 de 2012 
CDP 274712
10 Recursos Corrientes</v>
          </cell>
          <cell r="O37" t="str">
            <v>Contrato 036 de 2012
CDP 316212
13 Nación</v>
          </cell>
          <cell r="P37" t="str">
            <v>Contrato No. 036 de 2012 
CDP 274712
10 Recursos Corrientes</v>
          </cell>
          <cell r="Q37" t="str">
            <v>GRUPO 3</v>
          </cell>
          <cell r="R37" t="str">
            <v>FAGAR SERVICIOS 97 S.L SUCURSAL COLOMBIA
FAGAR SERVICIOS 97 S.L. SUCURSAL COLOMBIA</v>
          </cell>
          <cell r="S37">
            <v>900400391</v>
          </cell>
          <cell r="T37">
            <v>41332</v>
          </cell>
          <cell r="U37">
            <v>7809547237</v>
          </cell>
          <cell r="V37">
            <v>7809547237</v>
          </cell>
          <cell r="W37">
            <v>3462319910</v>
          </cell>
          <cell r="X37">
            <v>540776340</v>
          </cell>
          <cell r="Y37">
            <v>540776340</v>
          </cell>
          <cell r="Z37">
            <v>0</v>
          </cell>
          <cell r="AA37">
            <v>0</v>
          </cell>
          <cell r="AB37" t="str">
            <v>SANTIAGO DE CALI</v>
          </cell>
          <cell r="AC37" t="str">
            <v>VALLE DEL CAUCA</v>
          </cell>
          <cell r="AD37">
            <v>41341</v>
          </cell>
          <cell r="AE37">
            <v>18</v>
          </cell>
          <cell r="AF37">
            <v>0</v>
          </cell>
          <cell r="AG37">
            <v>2342864171.0999999</v>
          </cell>
        </row>
        <row r="38">
          <cell r="A38" t="str">
            <v>PAF-ATF-035-2012***</v>
          </cell>
          <cell r="B38" t="str">
            <v>SISTEMA DE ALCANTARILLADO IV ETAPA BOJACA CUNDINAMARCA</v>
          </cell>
          <cell r="C38">
            <v>1522665444</v>
          </cell>
          <cell r="D38">
            <v>1522665444</v>
          </cell>
          <cell r="E38">
            <v>0</v>
          </cell>
          <cell r="F38">
            <v>106570943</v>
          </cell>
          <cell r="G38">
            <v>106570943</v>
          </cell>
          <cell r="H38">
            <v>0</v>
          </cell>
          <cell r="I38">
            <v>0</v>
          </cell>
          <cell r="J38">
            <v>32584727.740000002</v>
          </cell>
          <cell r="K38">
            <v>33249722</v>
          </cell>
          <cell r="L38">
            <v>0</v>
          </cell>
          <cell r="M38">
            <v>41254</v>
          </cell>
          <cell r="N38" t="str">
            <v>Contrato No. 036 de 2012
CDP 274712
16 Fondos Especiales</v>
          </cell>
          <cell r="O38" t="str">
            <v>Contrato No. 036 de 2012
CDP 274712
16 Fondos Especiales</v>
          </cell>
          <cell r="P38" t="str">
            <v>Contrato No. 136 de 2012
CDP 274712
10 Recursos Corrientes
CDP 290212
11 Recursos del Tesoro</v>
          </cell>
          <cell r="Q38" t="str">
            <v>GRUPO 3</v>
          </cell>
          <cell r="R38" t="str">
            <v>JOSE FERNANDO SUAREZ DUQUE
JOSE FERNANDO SUAREZ DUQUE</v>
          </cell>
          <cell r="S38">
            <v>10116218</v>
          </cell>
          <cell r="T38">
            <v>41332</v>
          </cell>
          <cell r="U38">
            <v>1494060395</v>
          </cell>
          <cell r="V38">
            <v>1494060395</v>
          </cell>
          <cell r="W38">
            <v>0</v>
          </cell>
          <cell r="X38">
            <v>106251360</v>
          </cell>
          <cell r="Y38">
            <v>106251360</v>
          </cell>
          <cell r="Z38">
            <v>0</v>
          </cell>
          <cell r="AA38">
            <v>0</v>
          </cell>
          <cell r="AB38" t="str">
            <v>BOJACA</v>
          </cell>
          <cell r="AC38" t="str">
            <v>CUNDINAMARCA</v>
          </cell>
          <cell r="AD38">
            <v>41348</v>
          </cell>
          <cell r="AE38">
            <v>8</v>
          </cell>
          <cell r="AF38">
            <v>0</v>
          </cell>
          <cell r="AG38">
            <v>448218118.5</v>
          </cell>
        </row>
        <row r="39">
          <cell r="A39" t="str">
            <v>PAF-ATF-036-2012</v>
          </cell>
          <cell r="B39" t="str">
            <v>OPTIMIZACIÓN REDES DEL SISTEMA DE ACUEDUCTO DE LA CABECERA MUNICIPAL DE QUIBDÓ – CHOCÓ”</v>
          </cell>
          <cell r="C39">
            <v>43234509200</v>
          </cell>
          <cell r="D39">
            <v>25941239265</v>
          </cell>
          <cell r="E39">
            <v>17293269935</v>
          </cell>
          <cell r="F39">
            <v>3458760736</v>
          </cell>
          <cell r="G39">
            <v>3458760736</v>
          </cell>
          <cell r="H39">
            <v>0</v>
          </cell>
          <cell r="I39" t="str">
            <v xml:space="preserve">CONVENIO INTERADMINISTRATIVO 
OCAD PACIFICO$17.293.269.935 SISTEMA GENERAL DE REGALIAS MHCP OBRA CIVIL
</v>
          </cell>
          <cell r="J39">
            <v>933865398.72000003</v>
          </cell>
          <cell r="K39">
            <v>600000000</v>
          </cell>
          <cell r="L39">
            <v>0</v>
          </cell>
          <cell r="M39">
            <v>41269</v>
          </cell>
          <cell r="N39" t="str">
            <v>Contrato No. 036 de 2012
CDP 274712
16 Fondos Especiales</v>
          </cell>
          <cell r="O39" t="str">
            <v>Contrato No. 036 de 2012
CDP 274712
16 Fondos Especiales</v>
          </cell>
          <cell r="P39" t="str">
            <v>Contrato No. 036 de 2012
CDP 274712
16 Fondos Especiales</v>
          </cell>
          <cell r="Q39" t="str">
            <v>GRUPO 4</v>
          </cell>
          <cell r="R39" t="str">
            <v>UNION TEMPORAL REDES CHOCÓ 2013
SOLARTE NACIONAL DE CONSTRUCCIONES S.A.S.
SERGIO TORRES REATIGA</v>
          </cell>
          <cell r="S39">
            <v>900602996</v>
          </cell>
          <cell r="T39">
            <v>41333</v>
          </cell>
          <cell r="U39">
            <v>42556467071</v>
          </cell>
          <cell r="V39">
            <v>25263197136</v>
          </cell>
          <cell r="W39">
            <v>17293269935</v>
          </cell>
          <cell r="X39">
            <v>3366904640</v>
          </cell>
          <cell r="Y39">
            <v>3366904640</v>
          </cell>
          <cell r="Z39">
            <v>0</v>
          </cell>
          <cell r="AA39">
            <v>0</v>
          </cell>
          <cell r="AB39" t="str">
            <v>QUIBDO</v>
          </cell>
          <cell r="AC39" t="str">
            <v>CHOCO</v>
          </cell>
          <cell r="AD39">
            <v>41333</v>
          </cell>
          <cell r="AE39">
            <v>24</v>
          </cell>
          <cell r="AF39">
            <v>0</v>
          </cell>
          <cell r="AG39">
            <v>12766940121.299999</v>
          </cell>
        </row>
        <row r="40">
          <cell r="A40" t="str">
            <v>PAF-ATF-037-2012</v>
          </cell>
          <cell r="B40" t="str">
            <v>CONSTRUCCIÓN AMPLIACIÓN SISTEMA DE ALCANTARILLADO COMBINADO Y PLUVIAL, SECTOR CARRERA 15 Y 17 ENTRE CALLES 1B Y 1D BARRIO SAN CARLOS E INTERCEPTOR QUEBRADA LA PALMIRA ENTRE LOS BARRIOS VILLAS DE SAN JUAN Y PASEO CATALUÑA DEL MUNICIPIO DE PIEDECUESTA SANTANDER</v>
          </cell>
          <cell r="C40">
            <v>1826252770</v>
          </cell>
          <cell r="D40">
            <v>1826252770</v>
          </cell>
          <cell r="E40">
            <v>0</v>
          </cell>
          <cell r="F40">
            <v>144967887</v>
          </cell>
          <cell r="G40">
            <v>144967887</v>
          </cell>
          <cell r="H40">
            <v>0</v>
          </cell>
          <cell r="I40">
            <v>0</v>
          </cell>
          <cell r="J40">
            <v>39424413.140000001</v>
          </cell>
          <cell r="K40">
            <v>40228993</v>
          </cell>
          <cell r="L40">
            <v>0</v>
          </cell>
          <cell r="M40">
            <v>41269</v>
          </cell>
          <cell r="N40" t="str">
            <v>Contrato No. 036 de 2012
CDP 274712
16 Fondos Especiales</v>
          </cell>
          <cell r="O40" t="str">
            <v>Contrato No. 036 de 2012
CDP 274712
16 Fondos Especiales</v>
          </cell>
          <cell r="P40" t="str">
            <v>Contrato No. 36 de 2012
CDP 304012
11 Recursos del Tesoro</v>
          </cell>
          <cell r="Q40" t="str">
            <v>GRUPO 4</v>
          </cell>
          <cell r="R40" t="str">
            <v xml:space="preserve">CONSORCIO PROYECTOS ING
TECNICAS Y CONSTRUCCIONES CIVILES S.A. TECNICIVILES S.A.
DISEÑO E INGENIERIA ESPECIALIZADA S.A.S.
</v>
          </cell>
          <cell r="S40">
            <v>900599814</v>
          </cell>
          <cell r="T40">
            <v>41333</v>
          </cell>
          <cell r="U40">
            <v>1795167424</v>
          </cell>
          <cell r="V40">
            <v>1795167424</v>
          </cell>
          <cell r="W40">
            <v>0</v>
          </cell>
          <cell r="X40">
            <v>142710160</v>
          </cell>
          <cell r="Y40">
            <v>142710160</v>
          </cell>
          <cell r="Z40">
            <v>0</v>
          </cell>
          <cell r="AA40">
            <v>0</v>
          </cell>
          <cell r="AB40" t="str">
            <v>PIEDECUESTA</v>
          </cell>
          <cell r="AC40" t="str">
            <v>SANTANDER</v>
          </cell>
          <cell r="AD40">
            <v>41337</v>
          </cell>
          <cell r="AE40">
            <v>8</v>
          </cell>
          <cell r="AF40">
            <v>0</v>
          </cell>
          <cell r="AG40">
            <v>538550227.19999993</v>
          </cell>
        </row>
        <row r="41">
          <cell r="A41" t="str">
            <v>PAF-ATF-038-2012</v>
          </cell>
          <cell r="B41" t="str">
            <v>OPTIMIZACIÓN Y AMPLIACIÓN DEL SISTEMA DE ACUEDUCTO DE LA CABECERA MUNICIPAL DEL MUNICIPIO DE OVEJAS, DEPARTAMENTO DE SUCRE”</v>
          </cell>
          <cell r="C41">
            <v>6811030992</v>
          </cell>
          <cell r="D41">
            <v>6811030992</v>
          </cell>
          <cell r="E41">
            <v>0</v>
          </cell>
          <cell r="F41">
            <v>510076154</v>
          </cell>
          <cell r="G41">
            <v>510076154</v>
          </cell>
          <cell r="H41">
            <v>0</v>
          </cell>
          <cell r="I41">
            <v>0</v>
          </cell>
          <cell r="J41">
            <v>146422142.92000002</v>
          </cell>
          <cell r="K41">
            <v>149410350</v>
          </cell>
          <cell r="L41">
            <v>0</v>
          </cell>
          <cell r="M41">
            <v>41269</v>
          </cell>
          <cell r="N41" t="str">
            <v>Contrato No. 036 de 2012 
CDP 274712
10 Recursos Corrientes</v>
          </cell>
          <cell r="O41" t="str">
            <v>Contrato No. 036 de 2012 
CDP 274712
10 Recursos Corrientes</v>
          </cell>
          <cell r="P41" t="str">
            <v>Contrato No. 036 de 2012 
CDP 274712
10 Recursos Corrientes</v>
          </cell>
          <cell r="Q41" t="str">
            <v>GRUPO 4</v>
          </cell>
          <cell r="R41" t="str">
            <v xml:space="preserve">CONSORCIO 038 SUCRE
MEJIA VILLEGAS CONSTRUCCIONES S.A
DIEGO JARAMILLO GÓMEZ
</v>
          </cell>
          <cell r="S41">
            <v>900612095</v>
          </cell>
          <cell r="T41">
            <v>41355</v>
          </cell>
          <cell r="U41">
            <v>6620474198</v>
          </cell>
          <cell r="V41">
            <v>6620474198</v>
          </cell>
          <cell r="W41">
            <v>0</v>
          </cell>
          <cell r="X41">
            <v>493707600</v>
          </cell>
          <cell r="Y41">
            <v>493707600</v>
          </cell>
          <cell r="Z41">
            <v>0</v>
          </cell>
          <cell r="AA41">
            <v>0</v>
          </cell>
          <cell r="AB41" t="str">
            <v>OVEJAS</v>
          </cell>
          <cell r="AC41" t="str">
            <v>SUCRE</v>
          </cell>
          <cell r="AD41">
            <v>41383</v>
          </cell>
          <cell r="AE41">
            <v>16</v>
          </cell>
          <cell r="AF41">
            <v>0</v>
          </cell>
          <cell r="AG41">
            <v>1986142259.3999999</v>
          </cell>
        </row>
        <row r="42">
          <cell r="A42" t="str">
            <v>PAF-ATF-042-2013</v>
          </cell>
          <cell r="B42" t="str">
            <v>CONSTRUCCIÓN DE REDES DE ALCANTARILLADO EN DIFERENTES SITIOS DE LA ZONA URBANA DEL MUNICIPIO DE ENVIGADO-ANTIOQUIA”</v>
          </cell>
          <cell r="C42">
            <v>5143077886</v>
          </cell>
          <cell r="D42">
            <v>5143077886</v>
          </cell>
          <cell r="E42">
            <v>0</v>
          </cell>
          <cell r="F42">
            <v>347341120</v>
          </cell>
          <cell r="G42">
            <v>347341120</v>
          </cell>
          <cell r="H42">
            <v>0</v>
          </cell>
          <cell r="I42">
            <v>0</v>
          </cell>
          <cell r="J42">
            <v>109808380.12</v>
          </cell>
          <cell r="K42">
            <v>112049367</v>
          </cell>
          <cell r="L42">
            <v>0</v>
          </cell>
          <cell r="M42">
            <v>41306</v>
          </cell>
          <cell r="N42" t="str">
            <v>Contrato No. 159 de 2013
CDP 22813
11 Recursos del Tesoro</v>
          </cell>
          <cell r="O42" t="str">
            <v>Contrato No. 159 de 2013
CDP 22813
11 Recursos del Tesoro</v>
          </cell>
          <cell r="P42" t="str">
            <v>Contrato No. 159 de 2013
CDP 22813
11 Recursos del Tesoro</v>
          </cell>
          <cell r="Q42" t="str">
            <v>GRUPO 5</v>
          </cell>
          <cell r="R42" t="str">
            <v>CONSORCIO PROSPERIDAD 2013
LA MACUIRA INVERSIONES Y CONSTRUCCIONES S.A.
VNF S.A.
HORACIO VEGA CARDENAS</v>
          </cell>
          <cell r="S42">
            <v>900606407</v>
          </cell>
          <cell r="T42">
            <v>41355</v>
          </cell>
          <cell r="U42">
            <v>4824119373</v>
          </cell>
          <cell r="V42">
            <v>4824119373</v>
          </cell>
          <cell r="W42">
            <v>0</v>
          </cell>
          <cell r="X42">
            <v>319175160</v>
          </cell>
          <cell r="Y42">
            <v>319175160</v>
          </cell>
          <cell r="Z42">
            <v>0</v>
          </cell>
          <cell r="AA42">
            <v>0</v>
          </cell>
          <cell r="AB42" t="str">
            <v>ENVIGADO</v>
          </cell>
          <cell r="AC42" t="str">
            <v>ANTIOQUIA</v>
          </cell>
          <cell r="AD42">
            <v>41376</v>
          </cell>
          <cell r="AE42">
            <v>6</v>
          </cell>
          <cell r="AF42">
            <v>0</v>
          </cell>
          <cell r="AG42">
            <v>1447235811.8999999</v>
          </cell>
        </row>
        <row r="43">
          <cell r="A43" t="str">
            <v>PAF-ATF-043-2013</v>
          </cell>
          <cell r="B43" t="str">
            <v>CONSTRUCCIÓN DE REDES DE ACUEDUCTO Y ALCANTARILLADO PARA LA VEREDA SANTA CATALINA EN EL MUNICIPIO DE ENVIGADO – ETAPA III”</v>
          </cell>
          <cell r="C43">
            <v>4923378401</v>
          </cell>
          <cell r="D43">
            <v>4923378401</v>
          </cell>
          <cell r="E43">
            <v>0</v>
          </cell>
          <cell r="F43">
            <v>332332076</v>
          </cell>
          <cell r="G43">
            <v>332332076</v>
          </cell>
          <cell r="H43">
            <v>0</v>
          </cell>
          <cell r="I43">
            <v>0</v>
          </cell>
          <cell r="J43">
            <v>105114209.54000001</v>
          </cell>
          <cell r="K43">
            <v>107259397</v>
          </cell>
          <cell r="L43">
            <v>0</v>
          </cell>
          <cell r="M43">
            <v>41306</v>
          </cell>
          <cell r="N43" t="str">
            <v>Contrato No. 159 de 2013
CDP 22813
11 Recursos del Tesoro</v>
          </cell>
          <cell r="O43" t="str">
            <v>Contrato No. 159 de 2013
CDP 22813
11 Recursos del Tesoro</v>
          </cell>
          <cell r="P43" t="str">
            <v>Contrato No. 159 de 2013
CDP 22813
11 Recursos del Tesoro</v>
          </cell>
          <cell r="Q43" t="str">
            <v>GRUPO 5</v>
          </cell>
          <cell r="R43" t="str">
            <v>CONSORCIO REDES NORTE
INGEAGUAS S.A.S
CONSTRUCCIONES PIEDRA S.A.
CONSTRUCCIONES LUJAN S.A.</v>
          </cell>
          <cell r="S43">
            <v>900605747</v>
          </cell>
          <cell r="T43">
            <v>41355</v>
          </cell>
          <cell r="U43">
            <v>4676302180</v>
          </cell>
          <cell r="V43">
            <v>4676302180</v>
          </cell>
          <cell r="W43">
            <v>0</v>
          </cell>
          <cell r="X43">
            <v>309891680</v>
          </cell>
          <cell r="Y43">
            <v>309891680</v>
          </cell>
          <cell r="Z43">
            <v>0</v>
          </cell>
          <cell r="AA43">
            <v>0</v>
          </cell>
          <cell r="AB43" t="str">
            <v>ENVIGADO</v>
          </cell>
          <cell r="AC43" t="str">
            <v>ANTIOQUIA</v>
          </cell>
          <cell r="AD43">
            <v>41376</v>
          </cell>
          <cell r="AE43">
            <v>8</v>
          </cell>
          <cell r="AF43">
            <v>0</v>
          </cell>
          <cell r="AG43">
            <v>1402890654</v>
          </cell>
        </row>
        <row r="44">
          <cell r="A44" t="str">
            <v>PAF-ATF-044-2013</v>
          </cell>
          <cell r="B44" t="str">
            <v>CONSTRUCCIÓN PLANTA DE TRATAMIENTO DE AGUAS RESIDUALES DOMESTICAS (PTAR) EN EL MUNICIPIO DE CHIQUINQUIRÁ - BOYACA”</v>
          </cell>
          <cell r="C44">
            <v>22089959824</v>
          </cell>
          <cell r="D44">
            <v>19655556088</v>
          </cell>
          <cell r="E44">
            <v>2434403736</v>
          </cell>
          <cell r="F44">
            <v>1767196786</v>
          </cell>
          <cell r="G44">
            <v>1767196786</v>
          </cell>
          <cell r="H44">
            <v>0</v>
          </cell>
          <cell r="I44" t="str">
            <v>CORPORACIÓN AUTONOMA REGIONAL DE CUNDINAMARCA $2.434.403.736</v>
          </cell>
          <cell r="J44">
            <v>477143132.19999999</v>
          </cell>
          <cell r="K44">
            <v>437199038</v>
          </cell>
          <cell r="L44">
            <v>0</v>
          </cell>
          <cell r="M44">
            <v>41306</v>
          </cell>
          <cell r="N44" t="str">
            <v>Contrato No. 159 de 2013
CDP 22813
11 Recursos del Tesoro</v>
          </cell>
          <cell r="O44" t="str">
            <v>Contrato No. 159 de 2013
CDP 22813
11 Recursos del Tesoro</v>
          </cell>
          <cell r="P44" t="str">
            <v>Contrato No. 159 de 2013
CDP 22813
11 Recursos del Tesoro</v>
          </cell>
          <cell r="Q44" t="str">
            <v>GRUPO 5</v>
          </cell>
          <cell r="R44" t="str">
            <v>CONSORCIO ALIANZA YDN CHIQUINQUIRA
YAMIL SABBAGH SOLANO
NOARCO S.A.</v>
          </cell>
          <cell r="S44">
            <v>900606472</v>
          </cell>
          <cell r="T44">
            <v>41355</v>
          </cell>
          <cell r="U44">
            <v>21142407457</v>
          </cell>
          <cell r="V44">
            <v>18708003721</v>
          </cell>
          <cell r="W44">
            <v>2434403736</v>
          </cell>
          <cell r="X44">
            <v>1633271880</v>
          </cell>
          <cell r="Y44">
            <v>1633271880</v>
          </cell>
          <cell r="Z44">
            <v>0</v>
          </cell>
          <cell r="AA44">
            <v>0</v>
          </cell>
          <cell r="AB44" t="str">
            <v>CHIQUINQUIRA</v>
          </cell>
          <cell r="AC44" t="str">
            <v>BOYACA</v>
          </cell>
          <cell r="AD44">
            <v>41366</v>
          </cell>
          <cell r="AE44">
            <v>24</v>
          </cell>
          <cell r="AF44">
            <v>0</v>
          </cell>
          <cell r="AG44">
            <v>6342722237.0999994</v>
          </cell>
        </row>
        <row r="45">
          <cell r="A45" t="str">
            <v>PAF-ATF-045-2013</v>
          </cell>
          <cell r="B45" t="str">
            <v>OPTIMIZACIÓN PLANTA NIZA Y CONSTRUCCIÓN DE LÍNEAS DE BY PASS EN EL SECTOR DE LA PLANTA DE TRATAMIENTO DE AGUA POTABLE LUÍS PRIETO GÓMEZ, DEL MUNICIPIO DE MANIZALES”</v>
          </cell>
          <cell r="C45">
            <v>11843415012</v>
          </cell>
          <cell r="D45">
            <v>7381072589</v>
          </cell>
          <cell r="E45">
            <v>4462342424</v>
          </cell>
          <cell r="F45">
            <v>736379128</v>
          </cell>
          <cell r="G45">
            <v>458927411</v>
          </cell>
          <cell r="H45">
            <v>277451716</v>
          </cell>
          <cell r="I45" t="str">
            <v xml:space="preserve">MUNICIPIO $4.739.794.140 
OBRA CIVIL $4.462.342.424
INTERVENTORIA $277.451.716
</v>
          </cell>
          <cell r="J45">
            <v>251595882.80000001</v>
          </cell>
          <cell r="K45">
            <v>160000000</v>
          </cell>
          <cell r="L45">
            <v>0</v>
          </cell>
          <cell r="M45">
            <v>41306</v>
          </cell>
          <cell r="N45" t="str">
            <v>Contrato No. 159 de 2013
CDP 22813
11 Recursos del Tesoro</v>
          </cell>
          <cell r="O45" t="str">
            <v>Contrato No. 159 de 2013
CDP 22813
11 Recursos del Tesoro</v>
          </cell>
          <cell r="P45" t="str">
            <v>Contrato No. 159 de 2013
CDP 22813
11 Recursos del Tesoro</v>
          </cell>
          <cell r="Q45" t="str">
            <v>GRUPO 5</v>
          </cell>
          <cell r="R45" t="str">
            <v xml:space="preserve">CONSORCIO CONSTRUCTOR MANIZALES
Z.R. INGENIERIA S.A.
KONIDOL S.A
INGEAGUAS S.A.S.
</v>
          </cell>
          <cell r="S45">
            <v>900605737</v>
          </cell>
          <cell r="T45">
            <v>41355</v>
          </cell>
          <cell r="U45">
            <v>11286774436</v>
          </cell>
          <cell r="V45">
            <v>6824432012</v>
          </cell>
          <cell r="W45">
            <v>4462342424</v>
          </cell>
          <cell r="X45">
            <v>684679560</v>
          </cell>
          <cell r="Y45">
            <v>407227844</v>
          </cell>
          <cell r="Z45">
            <v>277451716</v>
          </cell>
          <cell r="AA45">
            <v>0</v>
          </cell>
          <cell r="AB45" t="str">
            <v>MANIZALES</v>
          </cell>
          <cell r="AC45" t="str">
            <v>CALDAS</v>
          </cell>
          <cell r="AD45">
            <v>41373</v>
          </cell>
          <cell r="AE45">
            <v>12</v>
          </cell>
          <cell r="AF45">
            <v>0</v>
          </cell>
          <cell r="AG45">
            <v>3386032330.7999997</v>
          </cell>
        </row>
        <row r="46">
          <cell r="A46" t="str">
            <v>PAF-ATF-046-2013</v>
          </cell>
          <cell r="B46" t="str">
            <v>CONSTRUCCIÓN DE REDES DE ACUEDUCTO Y ALCANTARILLADO SANITARIO DEL PROYECTO URBANÍSTICO DE INTERÉS SOCIAL ALTOS DE SAN LUÍS, MUNICIPIO DE SANTANDER DE QUILICHAO”</v>
          </cell>
          <cell r="C46">
            <v>1542209588</v>
          </cell>
          <cell r="D46">
            <v>1542209588</v>
          </cell>
          <cell r="E46">
            <v>0</v>
          </cell>
          <cell r="F46">
            <v>103015358</v>
          </cell>
          <cell r="G46">
            <v>103015358</v>
          </cell>
          <cell r="H46">
            <v>0</v>
          </cell>
          <cell r="I46">
            <v>0</v>
          </cell>
          <cell r="J46">
            <v>32904498.920000002</v>
          </cell>
          <cell r="K46">
            <v>33576019</v>
          </cell>
          <cell r="L46">
            <v>0</v>
          </cell>
          <cell r="M46">
            <v>41306</v>
          </cell>
          <cell r="N46" t="str">
            <v>Contrato No. 036 de 2012 
CDP 274712
10 Recursos Corrientes</v>
          </cell>
          <cell r="O46" t="str">
            <v>Contrato No. 036 de 2012 
CDP 274712
10 Recursos Corrientes</v>
          </cell>
          <cell r="P46" t="str">
            <v>Contrato No. 036 de 2012 
CDP 274712
10 Recursos Corrientes</v>
          </cell>
          <cell r="Q46" t="str">
            <v>GRUPO 5</v>
          </cell>
          <cell r="R46" t="str">
            <v>JOSE FERNANDO SUAREZ DUQUE</v>
          </cell>
          <cell r="S46">
            <v>10116218</v>
          </cell>
          <cell r="T46">
            <v>41355</v>
          </cell>
          <cell r="U46">
            <v>1479289443</v>
          </cell>
          <cell r="V46">
            <v>1479289443</v>
          </cell>
          <cell r="W46">
            <v>0</v>
          </cell>
          <cell r="X46">
            <v>95423775</v>
          </cell>
          <cell r="Y46">
            <v>95423775</v>
          </cell>
          <cell r="Z46">
            <v>0</v>
          </cell>
          <cell r="AA46">
            <v>0</v>
          </cell>
          <cell r="AB46" t="str">
            <v>SANTANDER DE QUILICHAO</v>
          </cell>
          <cell r="AC46" t="str">
            <v>CAUCA</v>
          </cell>
          <cell r="AD46">
            <v>41381</v>
          </cell>
          <cell r="AE46">
            <v>5</v>
          </cell>
          <cell r="AF46">
            <v>0</v>
          </cell>
          <cell r="AG46">
            <v>443786832.89999998</v>
          </cell>
        </row>
        <row r="47">
          <cell r="A47" t="str">
            <v>PAF-ATF-047-2013</v>
          </cell>
          <cell r="B47" t="str">
            <v>CONSTRUCCIÓN PLANTA DE TRATAMIENTO DE AGUA POTABLE LA NUEVA AURORA Y OBRAS COMPLEMENTARIAS MUNICIPIO DE PEREIRA”</v>
          </cell>
          <cell r="C47">
            <v>11416051890</v>
          </cell>
          <cell r="D47">
            <v>6816051890</v>
          </cell>
          <cell r="E47">
            <v>4600000000</v>
          </cell>
          <cell r="F47">
            <v>799123632</v>
          </cell>
          <cell r="G47">
            <v>799123632</v>
          </cell>
          <cell r="H47">
            <v>0</v>
          </cell>
          <cell r="I47" t="str">
            <v>CONVENIO INTERADMINISTRATIVO                                                                                                                                                                                                                                   
 EAAA PEREIRA S.A. E.S.P$4.600.000.000</v>
          </cell>
          <cell r="J47">
            <v>244303510.44</v>
          </cell>
          <cell r="K47">
            <v>155411745</v>
          </cell>
          <cell r="L47">
            <v>0</v>
          </cell>
          <cell r="M47">
            <v>41306</v>
          </cell>
          <cell r="N47" t="str">
            <v>Contrato No. 159 de 2013
CDP 22813
11 Recursos del Tesoro</v>
          </cell>
          <cell r="O47" t="str">
            <v>Contrato No. 159 de 2013
CDP 22813
11 Recursos del Tesoro</v>
          </cell>
          <cell r="P47" t="str">
            <v>Contrato No. 159 de 2013
CDP 22813
11 Recursos del Tesoro</v>
          </cell>
          <cell r="Q47" t="str">
            <v>GRUPO 5</v>
          </cell>
          <cell r="R47" t="str">
            <v>CONSORCIO CONSTRUCTOR NUEVA AURORA
Z.R. INGENIERIA S.A.
MEYAN S.A.</v>
          </cell>
          <cell r="S47">
            <v>900605771</v>
          </cell>
          <cell r="T47">
            <v>41355</v>
          </cell>
          <cell r="U47">
            <v>10976002611</v>
          </cell>
          <cell r="V47">
            <v>6376002611</v>
          </cell>
          <cell r="W47">
            <v>4600000000</v>
          </cell>
          <cell r="X47">
            <v>733455704</v>
          </cell>
          <cell r="Y47">
            <v>733455704</v>
          </cell>
          <cell r="Z47">
            <v>0</v>
          </cell>
          <cell r="AA47">
            <v>0</v>
          </cell>
          <cell r="AB47" t="str">
            <v>PEREIRA</v>
          </cell>
          <cell r="AC47" t="str">
            <v>RISARALDA</v>
          </cell>
          <cell r="AD47">
            <v>41373</v>
          </cell>
          <cell r="AE47">
            <v>8</v>
          </cell>
          <cell r="AF47">
            <v>0</v>
          </cell>
          <cell r="AG47">
            <v>3292800783.2999997</v>
          </cell>
        </row>
        <row r="48">
          <cell r="A48" t="str">
            <v>PAF-ATF-048-2013</v>
          </cell>
          <cell r="B48" t="str">
            <v>“CONSTRUCCIÓN OBRAS PRIORITARIAS DE ACUEDUCTO FASE I DEL MUNICIPIO DE ESPINAL”</v>
          </cell>
          <cell r="C48">
            <v>7698080646</v>
          </cell>
          <cell r="D48">
            <v>7698080646</v>
          </cell>
          <cell r="E48">
            <v>0</v>
          </cell>
          <cell r="F48">
            <v>538865645</v>
          </cell>
          <cell r="G48">
            <v>538865645</v>
          </cell>
          <cell r="H48">
            <v>0</v>
          </cell>
          <cell r="I48">
            <v>0</v>
          </cell>
          <cell r="J48">
            <v>164738925.81999999</v>
          </cell>
          <cell r="K48">
            <v>168100945</v>
          </cell>
          <cell r="L48">
            <v>0</v>
          </cell>
          <cell r="M48">
            <v>41306</v>
          </cell>
          <cell r="N48" t="str">
            <v>Contrato No. 159 de 2013
CDP 22813
11 Recursos del Tesoro</v>
          </cell>
          <cell r="O48" t="str">
            <v>Contrato No. 159 de 2013
CDP 22813
11 Recursos del Tesoro</v>
          </cell>
          <cell r="P48" t="str">
            <v>Contrato No. 159 de 2013
CDP 22813
11 Recursos del Tesoro</v>
          </cell>
          <cell r="Q48" t="str">
            <v>GRUPO 5</v>
          </cell>
          <cell r="R48" t="str">
            <v>CONSORCIO REDES ESPINAL
ESPINA Y DELFIN COLOMBIA
INGEAGUAS S.A.S.</v>
          </cell>
          <cell r="S48">
            <v>900605763</v>
          </cell>
          <cell r="T48">
            <v>41355</v>
          </cell>
          <cell r="U48">
            <v>7395718728</v>
          </cell>
          <cell r="V48">
            <v>7395718728</v>
          </cell>
          <cell r="W48">
            <v>0</v>
          </cell>
          <cell r="X48">
            <v>533223174</v>
          </cell>
          <cell r="Y48">
            <v>533223174</v>
          </cell>
          <cell r="Z48">
            <v>0</v>
          </cell>
          <cell r="AA48">
            <v>0</v>
          </cell>
          <cell r="AB48" t="str">
            <v>EL ESPINAL</v>
          </cell>
          <cell r="AC48" t="str">
            <v>TOLIMA</v>
          </cell>
          <cell r="AD48">
            <v>41375</v>
          </cell>
          <cell r="AE48">
            <v>22</v>
          </cell>
          <cell r="AF48">
            <v>0</v>
          </cell>
          <cell r="AG48">
            <v>2218715618.4000001</v>
          </cell>
        </row>
        <row r="49">
          <cell r="A49" t="str">
            <v>PAF-ATF-049-2013</v>
          </cell>
          <cell r="B49" t="str">
            <v>“CONSTRUCCIÓN DE LA PRIMERA ETAPA DEL SISTEMA DE ALCANTARILLADO PARA LA URBANIZACIÓN MUNDO FELIZ Y EL BARRIO LAS PETRONITAS DE GALAPA- ATLANTICO”</v>
          </cell>
          <cell r="C49">
            <v>6721160647</v>
          </cell>
          <cell r="D49">
            <v>6721160647</v>
          </cell>
          <cell r="E49">
            <v>0</v>
          </cell>
          <cell r="F49">
            <v>468653962</v>
          </cell>
          <cell r="G49">
            <v>468653962</v>
          </cell>
          <cell r="H49">
            <v>0</v>
          </cell>
          <cell r="I49">
            <v>0</v>
          </cell>
          <cell r="J49">
            <v>143796292.18000001</v>
          </cell>
          <cell r="K49">
            <v>146730910</v>
          </cell>
          <cell r="L49">
            <v>0</v>
          </cell>
          <cell r="M49">
            <v>41317</v>
          </cell>
          <cell r="N49" t="str">
            <v>Contrato No. 159 de 2013
CDP 22813
11 Recursos del Tesoro</v>
          </cell>
          <cell r="O49" t="str">
            <v>Contrato No. 159 de 2013
CDP 22813
11 Recursos del Tesoro</v>
          </cell>
          <cell r="P49" t="str">
            <v>Contrato No. 159 de 2013
CDP 22813
11 Recursos del Tesoro</v>
          </cell>
          <cell r="Q49" t="str">
            <v>GRUPO 6</v>
          </cell>
          <cell r="R49" t="str">
            <v>UNION AGUAS DEL CARIBE
LA MACUIRA INVERSIONES Y CONSTRUCCIONES S.A.
CONSTRUCTORA YACAMAN VIVERO S.A.</v>
          </cell>
          <cell r="S49">
            <v>900610016</v>
          </cell>
          <cell r="T49">
            <v>41380</v>
          </cell>
          <cell r="U49">
            <v>6465372449</v>
          </cell>
          <cell r="V49">
            <v>6465372449</v>
          </cell>
          <cell r="W49">
            <v>0</v>
          </cell>
          <cell r="X49">
            <v>468066343</v>
          </cell>
          <cell r="Y49">
            <v>468066343</v>
          </cell>
          <cell r="Z49">
            <v>0</v>
          </cell>
          <cell r="AA49">
            <v>0</v>
          </cell>
          <cell r="AB49" t="str">
            <v>GALAPA</v>
          </cell>
          <cell r="AC49" t="str">
            <v>ATLANTICO</v>
          </cell>
          <cell r="AD49">
            <v>41384</v>
          </cell>
          <cell r="AE49">
            <v>12</v>
          </cell>
          <cell r="AF49">
            <v>0</v>
          </cell>
          <cell r="AG49">
            <v>1939611734.6999998</v>
          </cell>
        </row>
        <row r="50">
          <cell r="A50" t="str">
            <v>PAF-ATF-050-2013</v>
          </cell>
          <cell r="B50" t="str">
            <v>“OPTIMIZACION Y AMPLIACION DEL SISTEMA DE ACUEDUCTO CASCO URBANO MUNICIPIO DE EL CARMEN DE BOLIVAR- BOLIVAR”</v>
          </cell>
          <cell r="C50">
            <v>35529038286</v>
          </cell>
          <cell r="D50">
            <v>20000000000</v>
          </cell>
          <cell r="E50">
            <v>15529038296</v>
          </cell>
          <cell r="F50">
            <v>2487032680</v>
          </cell>
          <cell r="G50">
            <v>2487032680</v>
          </cell>
          <cell r="H50">
            <v>0</v>
          </cell>
          <cell r="I50" t="str">
            <v xml:space="preserve">CONVENIO INTERADMINISTRATIVO                                                                                                                                                                                                                                      
$15.529.038.286 OBRA CIVIL
CONTRAPARTIDA DEPARTAMENTO
</v>
          </cell>
          <cell r="J50">
            <v>760321419.51999998</v>
          </cell>
          <cell r="K50">
            <v>458919034</v>
          </cell>
          <cell r="L50">
            <v>0</v>
          </cell>
          <cell r="M50">
            <v>41317</v>
          </cell>
          <cell r="N50" t="str">
            <v>Contrato No. 036 de 2012
CDP 274712
16 Fondos Especiales</v>
          </cell>
          <cell r="O50" t="str">
            <v>Contrato No. 036 de 2012
CDP 274712
16 Fondos Especiales</v>
          </cell>
          <cell r="P50" t="str">
            <v>Contrato No. 036 de 2012
CDP 274712
16 Fondos Especiales</v>
          </cell>
          <cell r="Q50" t="str">
            <v>GRUPO 6</v>
          </cell>
          <cell r="R50" t="str">
            <v xml:space="preserve">CONSORCIO ALIANZA YDN CARMEN
YAMIL SABAAGH CONSTRUCCIONES S.A.S
D&amp; S S.A.
EDIFICACIONES TRIVAL S.A. C.V.
</v>
          </cell>
          <cell r="S50">
            <v>900620386</v>
          </cell>
          <cell r="T50">
            <v>41412</v>
          </cell>
          <cell r="U50">
            <v>34089877852</v>
          </cell>
          <cell r="V50">
            <v>18560839556</v>
          </cell>
          <cell r="W50">
            <v>15529038296</v>
          </cell>
          <cell r="X50">
            <v>2309830520</v>
          </cell>
          <cell r="Y50">
            <v>2309830520</v>
          </cell>
          <cell r="Z50">
            <v>0</v>
          </cell>
          <cell r="AA50">
            <v>0</v>
          </cell>
          <cell r="AB50" t="str">
            <v>CARMEN DE BOLIVAR</v>
          </cell>
          <cell r="AC50" t="str">
            <v>BOLIVAR</v>
          </cell>
          <cell r="AD50">
            <v>41417</v>
          </cell>
          <cell r="AE50">
            <v>9</v>
          </cell>
          <cell r="AF50">
            <v>0</v>
          </cell>
          <cell r="AG50">
            <v>10226963355.6</v>
          </cell>
        </row>
        <row r="51">
          <cell r="A51" t="str">
            <v>PAF-ATF-051-2013</v>
          </cell>
          <cell r="B51" t="str">
            <v>“OPTIMIZACIÓN, CONSTRUCCIÓN Y/O AMPLIACIÓN SISTEMA DE ACUEDUCTO MUNICIPIO DE MAGANGUÉ- BOLIVAR”</v>
          </cell>
          <cell r="C51">
            <v>7774573674</v>
          </cell>
          <cell r="D51">
            <v>7774573674</v>
          </cell>
          <cell r="E51">
            <v>0</v>
          </cell>
          <cell r="F51">
            <v>554220157</v>
          </cell>
          <cell r="G51">
            <v>554220157</v>
          </cell>
          <cell r="H51">
            <v>0</v>
          </cell>
          <cell r="I51">
            <v>0</v>
          </cell>
          <cell r="J51">
            <v>166575876.62</v>
          </cell>
          <cell r="K51">
            <v>169771303</v>
          </cell>
          <cell r="L51">
            <v>0</v>
          </cell>
          <cell r="M51">
            <v>41317</v>
          </cell>
          <cell r="N51" t="str">
            <v>Contrato No. 036 de 2012
CDP 274712
16 Fondos Especiales</v>
          </cell>
          <cell r="O51" t="str">
            <v>Contrato No. 036 de 2012
CDP 274712
16 Fondos Especiales</v>
          </cell>
          <cell r="P51" t="str">
            <v>Contrato No. 159 de 2013
CDP 22813
11 Recursos del tesoro</v>
          </cell>
          <cell r="Q51" t="str">
            <v>GRUPO 6</v>
          </cell>
          <cell r="R51" t="str">
            <v>VALORES Y CONTRATOS S.A.</v>
          </cell>
          <cell r="S51">
            <v>800182330</v>
          </cell>
          <cell r="T51">
            <v>41380</v>
          </cell>
          <cell r="U51">
            <v>7596432647</v>
          </cell>
          <cell r="V51">
            <v>7596432647</v>
          </cell>
          <cell r="W51">
            <v>0</v>
          </cell>
          <cell r="X51">
            <v>493174000</v>
          </cell>
          <cell r="Y51">
            <v>493174000</v>
          </cell>
          <cell r="Z51">
            <v>0</v>
          </cell>
          <cell r="AA51">
            <v>0</v>
          </cell>
          <cell r="AB51" t="str">
            <v>MAGANGUE</v>
          </cell>
          <cell r="AC51" t="str">
            <v>BOLIVAR</v>
          </cell>
          <cell r="AD51">
            <v>41417</v>
          </cell>
          <cell r="AE51">
            <v>8</v>
          </cell>
          <cell r="AF51">
            <v>0</v>
          </cell>
          <cell r="AG51">
            <v>2278929794.0999999</v>
          </cell>
        </row>
        <row r="52">
          <cell r="A52" t="str">
            <v>PAF-ATF-052-2013</v>
          </cell>
          <cell r="B52" t="str">
            <v>“MEJORAMIENTO REDES DE ALCANTARILLADO BARRIO LAS FERIAS DEL MUNICIPIO DE LA DORADA - CALDAS FASE II”</v>
          </cell>
          <cell r="C52">
            <v>3602567426</v>
          </cell>
          <cell r="D52">
            <v>3602567426</v>
          </cell>
          <cell r="E52">
            <v>0</v>
          </cell>
          <cell r="F52">
            <v>288205394</v>
          </cell>
          <cell r="G52">
            <v>288205394</v>
          </cell>
          <cell r="H52">
            <v>0</v>
          </cell>
          <cell r="I52">
            <v>0</v>
          </cell>
          <cell r="J52">
            <v>77815456.400000006</v>
          </cell>
          <cell r="K52">
            <v>79403527</v>
          </cell>
          <cell r="L52">
            <v>0</v>
          </cell>
          <cell r="M52">
            <v>41317</v>
          </cell>
          <cell r="N52" t="str">
            <v>Contrato No. 159 de 2013
CDP 22813
11 Recursos del Tesoro</v>
          </cell>
          <cell r="O52" t="str">
            <v>Contrato No. 159 de 2013
CDP 22813
11 Recursos del Tesoro</v>
          </cell>
          <cell r="P52" t="str">
            <v>Contrato No. 159 de 2013
CDP 22813
11 Recursos del Tesoro</v>
          </cell>
          <cell r="Q52" t="str">
            <v>GRUPO 6</v>
          </cell>
          <cell r="R52" t="str">
            <v>CONSORCIO ALCANTARILLADO DORADA 2013
JAIRO EFRÁIN CERON MARTINEZ
ING. CIVILES ASOCIADOS CONSTRUCCIONES S.A.S.</v>
          </cell>
          <cell r="S52">
            <v>900611967</v>
          </cell>
          <cell r="T52">
            <v>41380</v>
          </cell>
          <cell r="U52">
            <v>3908439344</v>
          </cell>
          <cell r="V52">
            <v>3908439344</v>
          </cell>
          <cell r="W52">
            <v>0</v>
          </cell>
          <cell r="X52">
            <v>286011464</v>
          </cell>
          <cell r="Y52">
            <v>286011464</v>
          </cell>
          <cell r="Z52">
            <v>0</v>
          </cell>
          <cell r="AA52">
            <v>0</v>
          </cell>
          <cell r="AB52" t="str">
            <v>LA DORADA</v>
          </cell>
          <cell r="AC52" t="str">
            <v>CALDAS</v>
          </cell>
          <cell r="AD52">
            <v>41387</v>
          </cell>
          <cell r="AE52">
            <v>6</v>
          </cell>
          <cell r="AF52">
            <v>0</v>
          </cell>
          <cell r="AG52">
            <v>1172531803.2</v>
          </cell>
        </row>
        <row r="53">
          <cell r="A53" t="str">
            <v>PAF-ATF-053-2013
PAF-ATF-102-2013</v>
          </cell>
          <cell r="B53" t="str">
            <v>“ACUEDUCTO REGIONAL INTERDEPARTAMENTAL”</v>
          </cell>
          <cell r="C53">
            <v>32937853075</v>
          </cell>
          <cell r="D53">
            <v>32937853075</v>
          </cell>
          <cell r="E53">
            <v>0</v>
          </cell>
          <cell r="F53">
            <v>1279077857</v>
          </cell>
          <cell r="G53">
            <v>1279077857</v>
          </cell>
          <cell r="H53">
            <v>0</v>
          </cell>
          <cell r="I53">
            <v>0</v>
          </cell>
          <cell r="J53">
            <v>684338618.63999999</v>
          </cell>
          <cell r="K53">
            <v>713107774.56000006</v>
          </cell>
          <cell r="L53">
            <v>0</v>
          </cell>
          <cell r="M53">
            <v>41317</v>
          </cell>
          <cell r="N53" t="str">
            <v>Contrato No. 159 de 2013
CDP 22813
11 Recursos del Tesoro</v>
          </cell>
          <cell r="O53" t="str">
            <v>Contrato No. 159 de 2013
CDP 22813
11 Recursos del Tesoro</v>
          </cell>
          <cell r="P53" t="str">
            <v>Contrato No. 159 de 2013
CDP 22813
11 Recursos del Tesoro</v>
          </cell>
          <cell r="Q53" t="str">
            <v>GRUPO 6
GRUPO 14</v>
          </cell>
          <cell r="R53" t="str">
            <v>CONSTRUCTORA CONCRETO S.A.</v>
          </cell>
          <cell r="S53">
            <v>890901110</v>
          </cell>
          <cell r="T53">
            <v>41558</v>
          </cell>
          <cell r="U53">
            <v>26350344906</v>
          </cell>
          <cell r="V53">
            <v>26350344906</v>
          </cell>
          <cell r="W53">
            <v>0</v>
          </cell>
          <cell r="X53">
            <v>1227716160</v>
          </cell>
          <cell r="Y53">
            <v>1227716160</v>
          </cell>
          <cell r="Z53">
            <v>0</v>
          </cell>
          <cell r="AA53">
            <v>0</v>
          </cell>
          <cell r="AB53" t="str">
            <v>GUACHENÈ, PADILLA,PUERTO TEJADA, VILLA RICA</v>
          </cell>
          <cell r="AC53" t="str">
            <v>VALLE DEL CAUCA</v>
          </cell>
          <cell r="AD53">
            <v>41576</v>
          </cell>
          <cell r="AE53">
            <v>12</v>
          </cell>
          <cell r="AF53">
            <v>0</v>
          </cell>
          <cell r="AG53">
            <v>7905103471.7999992</v>
          </cell>
        </row>
        <row r="54">
          <cell r="A54" t="str">
            <v>PAF-ATF-054-2013</v>
          </cell>
          <cell r="B54" t="str">
            <v>“OPTIMIZACIÓN DEL SISTEMA DE ALCANTARILLADO Y PTAR DEL MUNICIPIO DE JURADÓ - CHOCO”</v>
          </cell>
          <cell r="C54">
            <v>4423249680</v>
          </cell>
          <cell r="D54">
            <v>4423249680</v>
          </cell>
          <cell r="E54">
            <v>0</v>
          </cell>
          <cell r="F54">
            <v>353859974</v>
          </cell>
          <cell r="G54">
            <v>353859974</v>
          </cell>
          <cell r="H54">
            <v>0</v>
          </cell>
          <cell r="I54">
            <v>0</v>
          </cell>
          <cell r="J54">
            <v>95542193.079999998</v>
          </cell>
          <cell r="K54">
            <v>97492034</v>
          </cell>
          <cell r="L54">
            <v>0</v>
          </cell>
          <cell r="M54">
            <v>41317</v>
          </cell>
          <cell r="N54" t="str">
            <v>Contrato No. 159 de 2013
CDP 22813
11 Recursos del Tesoro</v>
          </cell>
          <cell r="O54" t="str">
            <v>Contrato No. 159 de 2013
CDP 22813
11 Recursos del Tesoro</v>
          </cell>
          <cell r="P54" t="str">
            <v>Contrato No. 159 de 2013
CDP 22813
11 Recursos del Tesoro</v>
          </cell>
          <cell r="Q54" t="str">
            <v>GRUPO 6</v>
          </cell>
          <cell r="R54" t="str">
            <v>UNION TEMPORAL JURADO 2013
CONSTRUCTORA SINATEL LTDA
LUIS EDUARDO SALDAÑA RODRIGUEZ
LUIS ARNULFO TELLEZ QUITIAN</v>
          </cell>
          <cell r="S54">
            <v>900613028</v>
          </cell>
          <cell r="T54">
            <v>41380</v>
          </cell>
          <cell r="U54">
            <v>4342419969</v>
          </cell>
          <cell r="V54">
            <v>4342419969</v>
          </cell>
          <cell r="W54">
            <v>0</v>
          </cell>
          <cell r="X54">
            <v>351127781</v>
          </cell>
          <cell r="Y54">
            <v>351127781</v>
          </cell>
          <cell r="Z54">
            <v>0</v>
          </cell>
          <cell r="AA54">
            <v>0</v>
          </cell>
          <cell r="AB54" t="str">
            <v>JURADO</v>
          </cell>
          <cell r="AC54" t="str">
            <v>CHOCO</v>
          </cell>
          <cell r="AD54">
            <v>41393</v>
          </cell>
          <cell r="AE54">
            <v>8</v>
          </cell>
          <cell r="AF54">
            <v>0</v>
          </cell>
          <cell r="AG54">
            <v>1302725990.7</v>
          </cell>
        </row>
        <row r="55">
          <cell r="A55" t="str">
            <v>PAF-ATF-055-2013</v>
          </cell>
          <cell r="B55" t="str">
            <v>“CONSTRUCCIÓN RED DE ALCANTARILLADO INTERCEPTOR EL YULO MUNCIPIO DE RICAURTE"</v>
          </cell>
          <cell r="C55">
            <v>4130668670</v>
          </cell>
          <cell r="D55">
            <v>4130668670</v>
          </cell>
          <cell r="E55">
            <v>0</v>
          </cell>
          <cell r="F55">
            <v>330453494</v>
          </cell>
          <cell r="G55">
            <v>330453494</v>
          </cell>
          <cell r="H55">
            <v>0</v>
          </cell>
          <cell r="I55">
            <v>0</v>
          </cell>
          <cell r="J55">
            <v>89222443.280000001</v>
          </cell>
          <cell r="K55">
            <v>91043309</v>
          </cell>
          <cell r="L55">
            <v>0</v>
          </cell>
          <cell r="M55">
            <v>41317</v>
          </cell>
          <cell r="N55" t="str">
            <v>Contrato No. 159 de 2013
CDP 22813
11 Recursos del Tesoro</v>
          </cell>
          <cell r="O55" t="str">
            <v>Contrato No. 159 de 2013
CDP 22813
11 Recursos del Tesoro</v>
          </cell>
          <cell r="P55" t="str">
            <v>Contrato No. 159 de 2013
CDP 22813
11 Recursos del Tesoro</v>
          </cell>
          <cell r="Q55" t="str">
            <v>GRUPO 6</v>
          </cell>
          <cell r="R55" t="str">
            <v>CONSORCIO PROSPERIDAD 2013
LA MACUIRA INVERSIONES Y CONSTRUCCIONES
VNF S.A.
HORACIO VEGA CARDENAS</v>
          </cell>
          <cell r="S55">
            <v>900606407</v>
          </cell>
          <cell r="T55">
            <v>41380</v>
          </cell>
          <cell r="U55">
            <v>3788023833</v>
          </cell>
          <cell r="V55">
            <v>3788023833</v>
          </cell>
          <cell r="W55">
            <v>0</v>
          </cell>
          <cell r="X55">
            <v>327767491</v>
          </cell>
          <cell r="Y55">
            <v>327767491</v>
          </cell>
          <cell r="Z55">
            <v>0</v>
          </cell>
          <cell r="AA55">
            <v>0</v>
          </cell>
          <cell r="AB55" t="str">
            <v>RICAURTE</v>
          </cell>
          <cell r="AC55" t="str">
            <v>CUNDINAMARCA</v>
          </cell>
          <cell r="AD55">
            <v>41387</v>
          </cell>
          <cell r="AE55">
            <v>6</v>
          </cell>
          <cell r="AF55">
            <v>0</v>
          </cell>
          <cell r="AG55">
            <v>1136407149.8999999</v>
          </cell>
        </row>
        <row r="56">
          <cell r="A56" t="str">
            <v>PAF-ATF-056-2013</v>
          </cell>
          <cell r="B56" t="str">
            <v>“CONSTRUCCIÓN PRIMERA ETAPA DESCOLE ALCANTARILLADO COMBINADO CORREGIMIENTO DE JOSÉ MARÍA HERNÁNDEZ, MUNICIPIO DE PUPIALES- NARIÑO”</v>
          </cell>
          <cell r="C56">
            <v>998148083</v>
          </cell>
          <cell r="D56">
            <v>998148083</v>
          </cell>
          <cell r="E56">
            <v>0</v>
          </cell>
          <cell r="F56">
            <v>79851847</v>
          </cell>
          <cell r="G56">
            <v>79851847</v>
          </cell>
          <cell r="H56">
            <v>0</v>
          </cell>
          <cell r="I56">
            <v>0</v>
          </cell>
          <cell r="J56">
            <v>21559998.600000001</v>
          </cell>
          <cell r="K56">
            <v>22000000</v>
          </cell>
          <cell r="L56">
            <v>0</v>
          </cell>
          <cell r="M56">
            <v>41317</v>
          </cell>
          <cell r="N56" t="str">
            <v>Contrato No. 036 de 2012 
CDP 274712
10 Recursos Corrientes</v>
          </cell>
          <cell r="O56" t="str">
            <v>Contrato No. 036 de 2012 
CDP 274712
10 Recursos Corrientes</v>
          </cell>
          <cell r="P56" t="str">
            <v>Contrato No. 036 de 2012 
CDP 274712
10 Recursos Corrientes</v>
          </cell>
          <cell r="Q56" t="str">
            <v>GRUPO 6</v>
          </cell>
          <cell r="R56" t="str">
            <v xml:space="preserve">CONSORCIO CONSTRUCCIONES CIVILES 4
CALDERON INGENIEROS S.A.
CARLOS HERNAN ARIAS BETANCOURTH
JUAN CARLOS SANCHEZ GALVEZ
</v>
          </cell>
          <cell r="S56">
            <v>900608515</v>
          </cell>
          <cell r="T56">
            <v>41380</v>
          </cell>
          <cell r="U56">
            <v>979452918</v>
          </cell>
          <cell r="V56">
            <v>979452918</v>
          </cell>
          <cell r="W56">
            <v>0</v>
          </cell>
          <cell r="X56">
            <v>79279354</v>
          </cell>
          <cell r="Y56">
            <v>79279354</v>
          </cell>
          <cell r="Z56">
            <v>0</v>
          </cell>
          <cell r="AA56">
            <v>0</v>
          </cell>
          <cell r="AB56" t="str">
            <v>PUPIALES</v>
          </cell>
          <cell r="AC56" t="str">
            <v>NARIÑO</v>
          </cell>
          <cell r="AD56">
            <v>41390</v>
          </cell>
          <cell r="AE56">
            <v>8</v>
          </cell>
          <cell r="AF56">
            <v>0</v>
          </cell>
          <cell r="AG56">
            <v>293835875.39999998</v>
          </cell>
        </row>
        <row r="57">
          <cell r="A57" t="str">
            <v>PAF-ATF-057-2013</v>
          </cell>
          <cell r="B57" t="str">
            <v>“CONSTRUCCIÓN DE ALCANTARILLADO SANITARIO, SISTEMA DE TRATAMIENTO DE AGUAS RESIDUALES VEREDA MOHECHIZA MUNICIPIO DE YACUANQUER- NARIÑO”</v>
          </cell>
          <cell r="C57">
            <v>559826471</v>
          </cell>
          <cell r="D57">
            <v>559826471</v>
          </cell>
          <cell r="E57">
            <v>0</v>
          </cell>
          <cell r="F57">
            <v>27991324</v>
          </cell>
          <cell r="G57">
            <v>27991324</v>
          </cell>
          <cell r="H57">
            <v>0</v>
          </cell>
          <cell r="I57">
            <v>0</v>
          </cell>
          <cell r="J57">
            <v>11756355.9</v>
          </cell>
          <cell r="K57">
            <v>11996282</v>
          </cell>
          <cell r="L57">
            <v>0</v>
          </cell>
          <cell r="M57">
            <v>41317</v>
          </cell>
          <cell r="N57" t="str">
            <v>Contrato No. 036 de 2012 
CDP 274712
10 Recursos Corrientes</v>
          </cell>
          <cell r="O57" t="str">
            <v>Contrato No. 036 de 2012 
CDP 274712
10 Recursos Corrientes</v>
          </cell>
          <cell r="P57" t="str">
            <v>Contrato No. 036 de 2012 
CDP 274712
10 Recursos Corrientes</v>
          </cell>
          <cell r="Q57" t="str">
            <v>GRUPO 6</v>
          </cell>
          <cell r="R57" t="str">
            <v>CONSORCIO NARIÑO 2013
MIGUEL FERNANDO BURBANO MERA
EDILBERTO IBARRA DELGADO
SERGIO ARMANDO PANTOJA ORTIZ
FRANCISCO JAVIER VIVEROS PAZ
JHON JAIRO GALINDEZ SANTANDER</v>
          </cell>
          <cell r="S57">
            <v>900611068</v>
          </cell>
          <cell r="T57">
            <v>41380</v>
          </cell>
          <cell r="U57">
            <v>546465278</v>
          </cell>
          <cell r="V57">
            <v>546465278</v>
          </cell>
          <cell r="W57">
            <v>0</v>
          </cell>
          <cell r="X57">
            <v>27944865</v>
          </cell>
          <cell r="Y57">
            <v>27944865</v>
          </cell>
          <cell r="Z57">
            <v>0</v>
          </cell>
          <cell r="AA57">
            <v>0</v>
          </cell>
          <cell r="AB57" t="str">
            <v>YACUANQUER</v>
          </cell>
          <cell r="AC57" t="str">
            <v>NARIÑO</v>
          </cell>
          <cell r="AD57">
            <v>41381</v>
          </cell>
          <cell r="AE57">
            <v>6</v>
          </cell>
          <cell r="AF57">
            <v>41443</v>
          </cell>
          <cell r="AG57">
            <v>163939583.40000001</v>
          </cell>
        </row>
        <row r="58">
          <cell r="A58" t="str">
            <v>PAF-ATF-058-2013</v>
          </cell>
          <cell r="B58" t="str">
            <v>“OPTIMIZACIÓN Y AMPLIACIÓN DEL SISTEMA DE ACUEDUCTO DE LA CABECERA MUNICIPAL DE LOS PALMITOS- SUCRE”</v>
          </cell>
          <cell r="C58">
            <v>3938914151</v>
          </cell>
          <cell r="D58">
            <v>3938914151</v>
          </cell>
          <cell r="E58">
            <v>0</v>
          </cell>
          <cell r="F58">
            <v>300454097</v>
          </cell>
          <cell r="G58">
            <v>300454097</v>
          </cell>
          <cell r="H58">
            <v>0</v>
          </cell>
          <cell r="I58">
            <v>0</v>
          </cell>
          <cell r="J58">
            <v>84787364.960000008</v>
          </cell>
          <cell r="K58">
            <v>86517719</v>
          </cell>
          <cell r="L58">
            <v>0</v>
          </cell>
          <cell r="M58">
            <v>41317</v>
          </cell>
          <cell r="N58" t="str">
            <v>Contrato No. 036 de 2012
CDP 274712
16 Fondos Especiales</v>
          </cell>
          <cell r="O58" t="str">
            <v>Contrato No. 036 de 2012
CDP 274712
16 Fondos Especiales</v>
          </cell>
          <cell r="P58" t="str">
            <v>Contrato No. 036 de 2012
CDP 274712
16 Fondos Especiales</v>
          </cell>
          <cell r="Q58" t="str">
            <v>GRUPO 6</v>
          </cell>
          <cell r="R58" t="str">
            <v>CONSORCIO POZOS DE SUCRE 2013
CONSTRUCTORA INCO S.A.S.
GONZALO GONZALEZ VIANA
DANIEL ENRIQUE NUÑEZ GUERRA</v>
          </cell>
          <cell r="S58">
            <v>900612237</v>
          </cell>
          <cell r="T58">
            <v>41380</v>
          </cell>
          <cell r="U58">
            <v>3820158240</v>
          </cell>
          <cell r="V58">
            <v>3820158240</v>
          </cell>
          <cell r="W58">
            <v>0</v>
          </cell>
          <cell r="X58">
            <v>298015295</v>
          </cell>
          <cell r="Y58">
            <v>298015295</v>
          </cell>
          <cell r="Z58">
            <v>0</v>
          </cell>
          <cell r="AA58">
            <v>0</v>
          </cell>
          <cell r="AB58" t="str">
            <v>PALMITOS</v>
          </cell>
          <cell r="AC58" t="str">
            <v>SUCRE</v>
          </cell>
          <cell r="AD58">
            <v>41383</v>
          </cell>
          <cell r="AE58">
            <v>9</v>
          </cell>
          <cell r="AF58">
            <v>0</v>
          </cell>
          <cell r="AG58">
            <v>1146047472</v>
          </cell>
        </row>
        <row r="59">
          <cell r="A59" t="str">
            <v>PAF-ATF-059-2013</v>
          </cell>
          <cell r="B59" t="str">
            <v>OPTIMIZACIÓN Y AMPLIACIÓN DEL SISTEMA DE ALCANTARILLADO DE AGUAS RESIDUALES DEL CORREGIMIENTO EL REPOSO, MUNICIPIO DE APARTADÓ (ANTIOQUIA)”</v>
          </cell>
          <cell r="C59">
            <v>8139603820</v>
          </cell>
          <cell r="D59">
            <v>8139603820</v>
          </cell>
          <cell r="E59">
            <v>0</v>
          </cell>
          <cell r="F59">
            <v>569772267</v>
          </cell>
          <cell r="G59">
            <v>569772267</v>
          </cell>
          <cell r="H59">
            <v>0</v>
          </cell>
          <cell r="I59">
            <v>0</v>
          </cell>
          <cell r="J59">
            <v>174187521.74000001</v>
          </cell>
          <cell r="K59">
            <v>177742369</v>
          </cell>
          <cell r="L59">
            <v>0</v>
          </cell>
          <cell r="M59">
            <v>41339</v>
          </cell>
          <cell r="N59" t="str">
            <v>Contrato No. 159 de 2013
CDP 22813
11 Recursos del Tesoro</v>
          </cell>
          <cell r="O59" t="str">
            <v>Contrato No. 159 de 2013
CDP 22813
11 Recursos del Tesoro</v>
          </cell>
          <cell r="P59" t="str">
            <v>Contrato No. 159 de 2013
CDP 22813
11 Recursos del Tesoro</v>
          </cell>
          <cell r="Q59" t="str">
            <v>GRUPO 7</v>
          </cell>
          <cell r="R59" t="str">
            <v xml:space="preserve">CONSORCIO EL REPOSO
SANEAR S.A.
PAECIA S.A.S
RODRIGO LENIS SUCERQUIA
</v>
          </cell>
          <cell r="S59">
            <v>900629533</v>
          </cell>
          <cell r="T59">
            <v>41425</v>
          </cell>
          <cell r="U59">
            <v>7735362060</v>
          </cell>
          <cell r="V59">
            <v>7735362060</v>
          </cell>
          <cell r="W59">
            <v>0</v>
          </cell>
          <cell r="X59">
            <v>510574000</v>
          </cell>
          <cell r="Y59">
            <v>510574000</v>
          </cell>
          <cell r="Z59">
            <v>0</v>
          </cell>
          <cell r="AA59">
            <v>0</v>
          </cell>
          <cell r="AB59" t="str">
            <v>APARTADO</v>
          </cell>
          <cell r="AC59" t="str">
            <v>ANTIOQUIA</v>
          </cell>
          <cell r="AD59">
            <v>41452</v>
          </cell>
          <cell r="AE59">
            <v>10</v>
          </cell>
          <cell r="AF59">
            <v>0</v>
          </cell>
          <cell r="AG59">
            <v>2320608618</v>
          </cell>
        </row>
        <row r="60">
          <cell r="A60" t="str">
            <v>PAF-ATF-060-2013</v>
          </cell>
          <cell r="B60" t="str">
            <v>“CONSTRUCCIÓN DE LA ETAPA FINAL DE LA RED MATRIZ DE DISTRIBUCIÓN DEL SISTEMA DE ACUEDUCTO EN EL MUNICIPIO DE ARAUCA”</v>
          </cell>
          <cell r="C60">
            <v>8303396564</v>
          </cell>
          <cell r="D60">
            <v>8303396564</v>
          </cell>
          <cell r="E60">
            <v>0</v>
          </cell>
          <cell r="F60">
            <v>470504566</v>
          </cell>
          <cell r="G60">
            <v>470504566</v>
          </cell>
          <cell r="H60">
            <v>0</v>
          </cell>
          <cell r="I60">
            <v>0</v>
          </cell>
          <cell r="J60">
            <v>175478022.59999999</v>
          </cell>
          <cell r="K60">
            <v>179059207</v>
          </cell>
          <cell r="L60">
            <v>0</v>
          </cell>
          <cell r="M60">
            <v>41339</v>
          </cell>
          <cell r="N60" t="str">
            <v>Contrato No. 159 de 2013
CDP 22813
11 Recursos del Tesoro</v>
          </cell>
          <cell r="O60" t="str">
            <v>Contrato No. 159 de 2013
CDP 22813
11 Recursos del Tesoro</v>
          </cell>
          <cell r="P60" t="str">
            <v>Contrato No. 159 de 2013
CDP 22813
11 Recursos del Tesoro</v>
          </cell>
          <cell r="Q60" t="str">
            <v>GRUPO 7</v>
          </cell>
          <cell r="R60" t="str">
            <v>ANDINA DE CONSTRUCCIONES Y ASOCIADOS S.A.</v>
          </cell>
          <cell r="S60">
            <v>890918866</v>
          </cell>
          <cell r="T60">
            <v>41390</v>
          </cell>
          <cell r="U60">
            <v>8004497648</v>
          </cell>
          <cell r="V60">
            <v>8004497648</v>
          </cell>
          <cell r="W60">
            <v>0</v>
          </cell>
          <cell r="X60">
            <v>436804960</v>
          </cell>
          <cell r="Y60">
            <v>436804960</v>
          </cell>
          <cell r="Z60">
            <v>0</v>
          </cell>
          <cell r="AA60">
            <v>0</v>
          </cell>
          <cell r="AB60" t="str">
            <v>ARAUCA</v>
          </cell>
          <cell r="AC60" t="str">
            <v>ARAUCA</v>
          </cell>
          <cell r="AD60">
            <v>41394</v>
          </cell>
          <cell r="AE60">
            <v>10</v>
          </cell>
          <cell r="AF60">
            <v>0</v>
          </cell>
          <cell r="AG60">
            <v>2401349294.4000001</v>
          </cell>
        </row>
        <row r="61">
          <cell r="A61" t="str">
            <v>PAF-ATF-061-2013</v>
          </cell>
          <cell r="B61" t="str">
            <v>“AMPLIACIÓN REDES DE ALCANTARILLADO SANITARIO CABECERA MUNIICPAL DE SABANALARGA CUENCA NORORIENTAL SEGUNDA ETAPA BARRIOS: 7 DE AGOSTO, VILLA BELÉN Y LAS AMÉRICAS, Y AMPLIACIÓN DE REDES DE ACUEDUCTO BARRIO 7 DE AGOSTO, SABANALARGA (ATLÁNTICO)”</v>
          </cell>
          <cell r="C61">
            <v>2556163202</v>
          </cell>
          <cell r="D61">
            <v>2556163202</v>
          </cell>
          <cell r="E61">
            <v>0</v>
          </cell>
          <cell r="F61">
            <v>161337689</v>
          </cell>
          <cell r="G61">
            <v>161337689</v>
          </cell>
          <cell r="H61">
            <v>0</v>
          </cell>
          <cell r="I61">
            <v>0</v>
          </cell>
          <cell r="J61">
            <v>54350017.82</v>
          </cell>
          <cell r="K61">
            <v>55459202</v>
          </cell>
          <cell r="L61">
            <v>0</v>
          </cell>
          <cell r="M61">
            <v>41339</v>
          </cell>
          <cell r="N61" t="str">
            <v>Contrato No. 036 de 2012
CDP 274712
16 Fondos Especiales</v>
          </cell>
          <cell r="O61" t="str">
            <v>Contrato No. 036 de 2012
CDP 274712
16 Fondos Especiales</v>
          </cell>
          <cell r="P61" t="str">
            <v>Contrato No. 036 de 2012
CDP 274712
16 Fondos Especiales</v>
          </cell>
          <cell r="Q61" t="str">
            <v>GRUPO 7</v>
          </cell>
          <cell r="R61" t="str">
            <v>MEJIA VILLEGAS CONSTRUCTORES
CARLOS ALBERTO VILLEGAS LINARES</v>
          </cell>
          <cell r="S61">
            <v>890406491</v>
          </cell>
          <cell r="T61">
            <v>41390</v>
          </cell>
          <cell r="U61">
            <v>2482904239</v>
          </cell>
          <cell r="V61">
            <v>2482904239</v>
          </cell>
          <cell r="W61">
            <v>0</v>
          </cell>
          <cell r="X61">
            <v>159319040</v>
          </cell>
          <cell r="Y61">
            <v>159319040</v>
          </cell>
          <cell r="Z61">
            <v>0</v>
          </cell>
          <cell r="AA61">
            <v>0</v>
          </cell>
          <cell r="AB61" t="str">
            <v>SABANALARGA</v>
          </cell>
          <cell r="AC61" t="str">
            <v>ATLANTICO</v>
          </cell>
          <cell r="AD61">
            <v>41404</v>
          </cell>
          <cell r="AE61">
            <v>6</v>
          </cell>
          <cell r="AF61">
            <v>0</v>
          </cell>
          <cell r="AG61">
            <v>744871271.69999993</v>
          </cell>
        </row>
        <row r="62">
          <cell r="A62" t="str">
            <v>PAF-ATF-062-2013</v>
          </cell>
          <cell r="B62" t="str">
            <v>"CONSTRUCCIÓN PLAN MAESTRO ALCANTARILLADO, DEPARTANENTO DE BOYACA, MUNICIPIO DE GARAGOA"</v>
          </cell>
          <cell r="C62">
            <v>11821252114</v>
          </cell>
          <cell r="D62">
            <v>11821252114</v>
          </cell>
          <cell r="E62">
            <v>0</v>
          </cell>
          <cell r="F62">
            <v>711151277</v>
          </cell>
          <cell r="G62">
            <v>711151277</v>
          </cell>
          <cell r="H62">
            <v>0</v>
          </cell>
          <cell r="I62">
            <v>0</v>
          </cell>
          <cell r="J62">
            <v>250648067.81999999</v>
          </cell>
          <cell r="K62">
            <v>255763335</v>
          </cell>
          <cell r="L62">
            <v>0</v>
          </cell>
          <cell r="M62">
            <v>41339</v>
          </cell>
          <cell r="N62" t="str">
            <v>Contrato No. 159 de 2013
CDP 22813
11 Recursos del Tesoro</v>
          </cell>
          <cell r="O62" t="str">
            <v>Contrato No. 159 de 2013
CDP 22813
11 Recursos del Tesoro</v>
          </cell>
          <cell r="P62" t="str">
            <v>Contrato No. 159 de 2013
CDP 22813
11 Recursos del Tesoro</v>
          </cell>
          <cell r="Q62" t="str">
            <v>GRUPO 7</v>
          </cell>
          <cell r="R62" t="str">
            <v>CONSORCIO PLAN MAESTRO GARAGOA
ORLANDO FAJARDO CASTILLO
LUIS GABRIEL NIETO GARCIA
SERAVEZZA LIMITADA</v>
          </cell>
          <cell r="S62">
            <v>900616034</v>
          </cell>
          <cell r="T62">
            <v>41390</v>
          </cell>
          <cell r="U62">
            <v>11285343555</v>
          </cell>
          <cell r="V62">
            <v>11285343555</v>
          </cell>
          <cell r="W62">
            <v>0</v>
          </cell>
          <cell r="X62">
            <v>685513600</v>
          </cell>
          <cell r="Y62">
            <v>685513600</v>
          </cell>
          <cell r="Z62">
            <v>0</v>
          </cell>
          <cell r="AA62">
            <v>0</v>
          </cell>
          <cell r="AB62" t="str">
            <v>GARAGOA</v>
          </cell>
          <cell r="AC62" t="str">
            <v>BOYACA</v>
          </cell>
          <cell r="AD62">
            <v>41396</v>
          </cell>
          <cell r="AE62">
            <v>12</v>
          </cell>
          <cell r="AF62">
            <v>0</v>
          </cell>
          <cell r="AG62">
            <v>3385603066.5</v>
          </cell>
        </row>
        <row r="63">
          <cell r="A63" t="str">
            <v>PAF-ATF-063-2013</v>
          </cell>
          <cell r="B63" t="str">
            <v>"CONSTRUCCIÓN DEL INTERCEPTOR VILLA JARDIN CASCO URBANO, DEPARTAMENTO DE BOYACA MUNICIPIO DE PAIPA"</v>
          </cell>
          <cell r="C63">
            <v>13116560966</v>
          </cell>
          <cell r="D63">
            <v>13116560966</v>
          </cell>
          <cell r="E63">
            <v>0</v>
          </cell>
          <cell r="F63">
            <v>803399050</v>
          </cell>
          <cell r="G63">
            <v>803399050</v>
          </cell>
          <cell r="H63">
            <v>0</v>
          </cell>
          <cell r="I63">
            <v>0</v>
          </cell>
          <cell r="J63">
            <v>278399200.31999999</v>
          </cell>
          <cell r="K63">
            <v>284080817</v>
          </cell>
          <cell r="L63">
            <v>0</v>
          </cell>
          <cell r="M63">
            <v>41339</v>
          </cell>
          <cell r="N63" t="str">
            <v>Contrato No. 159 de 2013
CDP 22813
11 Recursos del Tesoro</v>
          </cell>
          <cell r="O63" t="str">
            <v>Contrato No. 159 de 2013
CDP 22813
11 Recursos del Tesoro</v>
          </cell>
          <cell r="P63" t="str">
            <v>Contrato No. 159 de 2013
CDP 22813
11 Recursos del Tesoro</v>
          </cell>
          <cell r="Q63" t="str">
            <v>GRUPO 7</v>
          </cell>
          <cell r="R63" t="str">
            <v xml:space="preserve">CONSORCIO INTERCEPTOR BICENTENERIO PAIPA
ORLANDO FAJARDO CASTILLO
CONSTRUCTORA FAJARDO NIETO LIMITADA
LUIS GABRIEL NIETO GARCIA
</v>
          </cell>
          <cell r="S63">
            <v>900616041</v>
          </cell>
          <cell r="T63">
            <v>41390</v>
          </cell>
          <cell r="U63">
            <v>12404840019</v>
          </cell>
          <cell r="V63">
            <v>12404840019</v>
          </cell>
          <cell r="W63">
            <v>0</v>
          </cell>
          <cell r="X63">
            <v>744418400</v>
          </cell>
          <cell r="Y63">
            <v>744418400</v>
          </cell>
          <cell r="Z63">
            <v>0</v>
          </cell>
          <cell r="AA63">
            <v>0</v>
          </cell>
          <cell r="AB63" t="str">
            <v>PAIPA</v>
          </cell>
          <cell r="AC63" t="str">
            <v>BOYACA</v>
          </cell>
          <cell r="AD63">
            <v>41396</v>
          </cell>
          <cell r="AE63">
            <v>12</v>
          </cell>
          <cell r="AF63">
            <v>0</v>
          </cell>
          <cell r="AG63">
            <v>3721452005.6999998</v>
          </cell>
        </row>
        <row r="64">
          <cell r="A64" t="str">
            <v>PAF-ATF-064-2013</v>
          </cell>
          <cell r="B64" t="str">
            <v>"OPTIMIZACIÓN DEL SISTEMA DE ACUEDUCTO Y ALCANTARILLADO DE LA ZONA CENTRO, SUR Y BARRIO LOS ANDES DEPARTAMENTO DE CALDAS, MUNICIPIO DE LA DORADA"</v>
          </cell>
          <cell r="C64">
            <v>19031313903</v>
          </cell>
          <cell r="D64">
            <v>19031313903</v>
          </cell>
          <cell r="E64">
            <v>0</v>
          </cell>
          <cell r="F64">
            <v>1332191973</v>
          </cell>
          <cell r="G64">
            <v>1332191973</v>
          </cell>
          <cell r="H64">
            <v>0</v>
          </cell>
          <cell r="I64">
            <v>0</v>
          </cell>
          <cell r="J64">
            <v>407270117.51999998</v>
          </cell>
          <cell r="K64">
            <v>415581753</v>
          </cell>
          <cell r="L64">
            <v>0</v>
          </cell>
          <cell r="M64">
            <v>41339</v>
          </cell>
          <cell r="N64" t="str">
            <v>Contrato No. 159 de 2013
CDP 22813
11 Recursos del Tesoro</v>
          </cell>
          <cell r="O64" t="str">
            <v>Contrato No. 159 de 2013
CDP 22813
11 Recursos del Tesoro</v>
          </cell>
          <cell r="P64" t="str">
            <v>Contrato No. 159 de 2013
CDP 22813
11 Recursos del Tesoro</v>
          </cell>
          <cell r="Q64" t="str">
            <v>GRUPO 7</v>
          </cell>
          <cell r="R64" t="str">
            <v>CONSORCIO LA DORADA 64
CONEQUIPOS ING LTDA
INGENIEROS G.F. S.A.S
CONSICAL LTDA</v>
          </cell>
          <cell r="S64">
            <v>900614114</v>
          </cell>
          <cell r="T64">
            <v>41384</v>
          </cell>
          <cell r="U64">
            <v>17416344907</v>
          </cell>
          <cell r="V64">
            <v>17416344907</v>
          </cell>
          <cell r="W64">
            <v>0</v>
          </cell>
          <cell r="X64">
            <v>1229599536</v>
          </cell>
          <cell r="Y64">
            <v>1229599536</v>
          </cell>
          <cell r="Z64">
            <v>0</v>
          </cell>
          <cell r="AA64">
            <v>0</v>
          </cell>
          <cell r="AB64" t="str">
            <v>LA DORADA</v>
          </cell>
          <cell r="AC64" t="str">
            <v>CALDAS</v>
          </cell>
          <cell r="AD64">
            <v>41387</v>
          </cell>
          <cell r="AE64">
            <v>10</v>
          </cell>
          <cell r="AF64">
            <v>0</v>
          </cell>
          <cell r="AG64">
            <v>5224903472.0999994</v>
          </cell>
        </row>
        <row r="65">
          <cell r="A65" t="str">
            <v>PAF-ATF-065-2013</v>
          </cell>
          <cell r="B65" t="str">
            <v>"AMPLIACIÓN DEL SITEMA DE ALCANTARILLADO SANITARIO PARA LA CONEXIÓN DE LOS BARRIOS YOVANNI SOTO, EL PRADO Y MARIA CONCEPCIÓN, DEPARTAMENTO DEL CESAR MUNICIPIO DE PUEBLO BELLO"</v>
          </cell>
          <cell r="C65">
            <v>961916124</v>
          </cell>
          <cell r="D65">
            <v>961916124</v>
          </cell>
          <cell r="E65">
            <v>0</v>
          </cell>
          <cell r="F65">
            <v>57714967</v>
          </cell>
          <cell r="G65">
            <v>57714967</v>
          </cell>
          <cell r="H65">
            <v>0</v>
          </cell>
          <cell r="I65">
            <v>0</v>
          </cell>
          <cell r="J65">
            <v>20392621.82</v>
          </cell>
          <cell r="K65">
            <v>20808798</v>
          </cell>
          <cell r="L65">
            <v>0</v>
          </cell>
          <cell r="M65">
            <v>41339</v>
          </cell>
          <cell r="N65" t="str">
            <v>Contrato No. 159 de 2013
CDP 22813
11 Recursos del Tesoro</v>
          </cell>
          <cell r="O65" t="str">
            <v>Contrato No. 159 de 2013
CDP 22813
11 Recursos del Tesoro</v>
          </cell>
          <cell r="P65" t="str">
            <v>Contrato No. 159 de 2013
CDP 22813
11 Recursos del Tesoro</v>
          </cell>
          <cell r="Q65" t="str">
            <v>GRUPO 7</v>
          </cell>
          <cell r="R65" t="str">
            <v>UNION TEMPORAL ALCANTARILLADOS 2013
PAECIA S.A.S.
AGUIDEL S.A.S.</v>
          </cell>
          <cell r="S65">
            <v>900618176</v>
          </cell>
          <cell r="T65">
            <v>41394</v>
          </cell>
          <cell r="U65">
            <v>936682914</v>
          </cell>
          <cell r="V65">
            <v>936682914</v>
          </cell>
          <cell r="W65">
            <v>0</v>
          </cell>
          <cell r="X65">
            <v>53592000</v>
          </cell>
          <cell r="Y65">
            <v>53592000</v>
          </cell>
          <cell r="Z65">
            <v>0</v>
          </cell>
          <cell r="AA65">
            <v>0</v>
          </cell>
          <cell r="AB65" t="str">
            <v>PUEBLO BELLO</v>
          </cell>
          <cell r="AC65" t="str">
            <v>CESAR</v>
          </cell>
          <cell r="AD65">
            <v>41404</v>
          </cell>
          <cell r="AE65">
            <v>5</v>
          </cell>
          <cell r="AF65">
            <v>0</v>
          </cell>
          <cell r="AG65">
            <v>281004874.19999999</v>
          </cell>
        </row>
        <row r="66">
          <cell r="A66" t="str">
            <v>PAF-ATF-066-2013</v>
          </cell>
          <cell r="B66" t="str">
            <v>"CONSTRUCCIÓN DE LA PLANTA DE TRATAMIENTO DE AGUAS RESIDUALES Y TERMINACIÓN DE LAS REDES COLECTORAS DEL SISTEMA DE ALCANTARILLADO EN CIUDAD MUTIS CABECERA MUNICIPAL, DEPARTAMENTO DEL CHOCO MUNICIPIO DE BAHIA SOLANO"</v>
          </cell>
          <cell r="C66">
            <v>9400454197</v>
          </cell>
          <cell r="D66">
            <v>9400454197</v>
          </cell>
          <cell r="E66">
            <v>0</v>
          </cell>
          <cell r="F66">
            <v>709792392</v>
          </cell>
          <cell r="G66">
            <v>709792392</v>
          </cell>
          <cell r="H66">
            <v>0</v>
          </cell>
          <cell r="I66">
            <v>0</v>
          </cell>
          <cell r="J66">
            <v>202204931.78</v>
          </cell>
          <cell r="K66">
            <v>206331563</v>
          </cell>
          <cell r="L66">
            <v>0</v>
          </cell>
          <cell r="M66">
            <v>41339</v>
          </cell>
          <cell r="N66" t="str">
            <v>Contrato No. 159 de 2013
CDP 22813
11 Recursos del Tesoro</v>
          </cell>
          <cell r="O66" t="str">
            <v>Contrato No. 159 de 2013
CDP 22813
11 Recursos del Tesoro</v>
          </cell>
          <cell r="P66" t="str">
            <v>Contrato No. 159 de 2013
CDP 22813
11 Recursos del Tesoro</v>
          </cell>
          <cell r="Q66" t="str">
            <v>GRUPO 7</v>
          </cell>
          <cell r="R66" t="str">
            <v>TSK ELECTRONICA Y ELECTRICIDAD S.A</v>
          </cell>
          <cell r="S66">
            <v>480359017</v>
          </cell>
          <cell r="T66">
            <v>41390</v>
          </cell>
          <cell r="U66">
            <v>8897698625</v>
          </cell>
          <cell r="V66">
            <v>8897698625</v>
          </cell>
          <cell r="W66">
            <v>0</v>
          </cell>
          <cell r="X66">
            <v>662093200</v>
          </cell>
          <cell r="Y66">
            <v>662093200</v>
          </cell>
          <cell r="Z66">
            <v>0</v>
          </cell>
          <cell r="AA66">
            <v>0</v>
          </cell>
          <cell r="AB66" t="str">
            <v>BAHIA SOLANO</v>
          </cell>
          <cell r="AC66" t="str">
            <v>CHOCO</v>
          </cell>
          <cell r="AD66">
            <v>41411</v>
          </cell>
          <cell r="AE66">
            <v>12</v>
          </cell>
          <cell r="AF66">
            <v>0</v>
          </cell>
          <cell r="AG66">
            <v>2669309587.5</v>
          </cell>
        </row>
        <row r="67">
          <cell r="A67" t="str">
            <v>PAF-ATF-067-2013</v>
          </cell>
          <cell r="B67" t="str">
            <v>"CONSTRUCCIÓN DEL EMBALSE SANTA MARTA DEL SISTEMA DE ACUEDUCTO, DEPARTAMENTO DE CUNDIBNAMARCA, MUNICIPIO DE FACATATIVA"</v>
          </cell>
          <cell r="C67">
            <v>8396396047</v>
          </cell>
          <cell r="D67">
            <v>8396396047</v>
          </cell>
          <cell r="E67">
            <v>0</v>
          </cell>
          <cell r="F67">
            <v>581928439</v>
          </cell>
          <cell r="G67">
            <v>581928439</v>
          </cell>
          <cell r="H67">
            <v>0</v>
          </cell>
          <cell r="I67">
            <v>0</v>
          </cell>
          <cell r="J67">
            <v>179566489.72</v>
          </cell>
          <cell r="K67">
            <v>183231112</v>
          </cell>
          <cell r="L67">
            <v>0</v>
          </cell>
          <cell r="M67">
            <v>41339</v>
          </cell>
          <cell r="N67" t="str">
            <v>Contrato No. 159 de 2013
CDP 22813
11 Recursos del Tesoro</v>
          </cell>
          <cell r="O67" t="str">
            <v>Contrato No. 159 de 2013
CDP 22813
11 Recursos del Tesoro</v>
          </cell>
          <cell r="P67" t="str">
            <v>Contrato No. 159 de 2013
CDP 22813
11 Recursos del Tesoro</v>
          </cell>
          <cell r="Q67" t="str">
            <v>GRUPO 7</v>
          </cell>
          <cell r="R67" t="str">
            <v xml:space="preserve">CONSORCIO EMBALSE FACATATIVA
ALDO GUTIERREZ FRANCO
EDUARDO GIRONZA
</v>
          </cell>
          <cell r="S67">
            <v>900617780</v>
          </cell>
          <cell r="T67">
            <v>41390</v>
          </cell>
          <cell r="U67">
            <v>7959981888</v>
          </cell>
          <cell r="V67">
            <v>7959981888</v>
          </cell>
          <cell r="W67">
            <v>0</v>
          </cell>
          <cell r="X67">
            <v>552960400</v>
          </cell>
          <cell r="Y67">
            <v>552960400</v>
          </cell>
          <cell r="Z67">
            <v>0</v>
          </cell>
          <cell r="AA67">
            <v>0</v>
          </cell>
          <cell r="AB67" t="str">
            <v>FACATATIVA</v>
          </cell>
          <cell r="AC67" t="str">
            <v>CUNDINAMARCA</v>
          </cell>
          <cell r="AD67">
            <v>41403</v>
          </cell>
          <cell r="AE67">
            <v>12</v>
          </cell>
          <cell r="AF67">
            <v>0</v>
          </cell>
          <cell r="AG67">
            <v>2387994566.4000001</v>
          </cell>
        </row>
        <row r="68">
          <cell r="A68" t="str">
            <v>PAF-ATF-068-2013                                                                                                                                                                                                                                                                                                   
PAF-ATF-088-2013</v>
          </cell>
          <cell r="B68" t="str">
            <v>"AMPLIACIÓN Y OPTIMIZACIÓN DEL ACUEDUCTO DE LOS CORREGIMIENTOS DE ISLAS DEL ROSARIO, PALMIRA Y TASAJERA, DEPARTAMENTO DEL MAGDALENA, MUNICIPIO DE PUEBLO VIEJO"</v>
          </cell>
          <cell r="C68">
            <v>5297308498</v>
          </cell>
          <cell r="D68">
            <v>5297308498</v>
          </cell>
          <cell r="E68">
            <v>0</v>
          </cell>
          <cell r="F68">
            <v>0</v>
          </cell>
          <cell r="G68">
            <v>0</v>
          </cell>
          <cell r="H68">
            <v>0</v>
          </cell>
          <cell r="I68">
            <v>0</v>
          </cell>
          <cell r="J68">
            <v>105946169.96000001</v>
          </cell>
          <cell r="K68">
            <v>114731521</v>
          </cell>
          <cell r="L68">
            <v>0</v>
          </cell>
          <cell r="M68">
            <v>41339</v>
          </cell>
          <cell r="N68" t="str">
            <v>Contrato No. 159 de 2013
CDP 22813
16 Fondos Especiales</v>
          </cell>
          <cell r="O68" t="str">
            <v>Contrato No. 159 de 2013
CDP 22813
16 Fondos Especiales</v>
          </cell>
          <cell r="P68" t="str">
            <v>Contrato No. 159 de 2013
CDP 22813
16 Fondos Especiales</v>
          </cell>
          <cell r="Q68" t="str">
            <v>GRUPO 7                                                                                                                                                                                                                                                                                                                  GRUPO 3A</v>
          </cell>
          <cell r="R68">
            <v>0</v>
          </cell>
          <cell r="S68">
            <v>0</v>
          </cell>
          <cell r="T68" t="str">
            <v>SUSPENSIÓN</v>
          </cell>
          <cell r="U68">
            <v>0</v>
          </cell>
          <cell r="V68">
            <v>0</v>
          </cell>
          <cell r="W68">
            <v>0</v>
          </cell>
          <cell r="X68">
            <v>0</v>
          </cell>
          <cell r="Y68">
            <v>0</v>
          </cell>
          <cell r="Z68">
            <v>0</v>
          </cell>
          <cell r="AA68">
            <v>0</v>
          </cell>
          <cell r="AB68" t="str">
            <v>PUEBLO VIEJO</v>
          </cell>
          <cell r="AC68" t="str">
            <v>MAGDALENA</v>
          </cell>
          <cell r="AD68">
            <v>0</v>
          </cell>
          <cell r="AE68">
            <v>9</v>
          </cell>
          <cell r="AF68">
            <v>0</v>
          </cell>
          <cell r="AG68">
            <v>0</v>
          </cell>
        </row>
        <row r="69">
          <cell r="A69" t="str">
            <v>PAF-ATF-069-2013</v>
          </cell>
          <cell r="B69" t="str">
            <v>"CONSTRUCCIÓN DEL ALCANTARILLADO SANITARIO URBANIZACIÓN 20 DE JULIO VEREDA DE LA AGUADA Y CONSTRUCCIÓN DEL ALCANTARILLADO SANITARIO Y SISTEMA DE TRATAMIENTO DE AGUAS RESIDUALES VEREDA TASNAQUE, DEPARTAMENTO DE NARIÑO, MUNICIPIO DE YACUANQUER".</v>
          </cell>
          <cell r="C69">
            <v>582617660</v>
          </cell>
          <cell r="D69">
            <v>582617660</v>
          </cell>
          <cell r="E69">
            <v>0</v>
          </cell>
          <cell r="F69">
            <v>29130883</v>
          </cell>
          <cell r="G69">
            <v>29130883</v>
          </cell>
          <cell r="H69">
            <v>0</v>
          </cell>
          <cell r="I69">
            <v>0</v>
          </cell>
          <cell r="J69">
            <v>12234970.859999999</v>
          </cell>
          <cell r="K69">
            <v>12484664</v>
          </cell>
          <cell r="L69">
            <v>0</v>
          </cell>
          <cell r="M69">
            <v>41339</v>
          </cell>
          <cell r="N69" t="str">
            <v>Contrato No. 036 de 2012 
CDP 274712
10 Recursos Corrientes</v>
          </cell>
          <cell r="O69" t="str">
            <v>Contrato 036 de 2012
CDP 316212
13 Nación</v>
          </cell>
          <cell r="P69" t="str">
            <v>Contrato No. 036 de 2012 
CDP 274712
10 Recursos Corrientes</v>
          </cell>
          <cell r="Q69" t="str">
            <v>GRUPO 7</v>
          </cell>
          <cell r="R69" t="str">
            <v>CONSORCIO ALCANTARILLADO 20 DE JULIO
HECTOR JULIO CASAS ORDOÑEZ
PROMOTORA NACIONAL DE CONSTRUCCIONES PRONACON S.A.S.</v>
          </cell>
          <cell r="S69">
            <v>900620547</v>
          </cell>
          <cell r="T69">
            <v>41394</v>
          </cell>
          <cell r="U69">
            <v>536256101</v>
          </cell>
          <cell r="V69">
            <v>536256101</v>
          </cell>
          <cell r="W69">
            <v>0</v>
          </cell>
          <cell r="X69">
            <v>29064960</v>
          </cell>
          <cell r="Y69">
            <v>29064960</v>
          </cell>
          <cell r="Z69">
            <v>0</v>
          </cell>
          <cell r="AA69">
            <v>0</v>
          </cell>
          <cell r="AB69" t="str">
            <v>YACUANQUER</v>
          </cell>
          <cell r="AC69" t="str">
            <v>NARIÑO</v>
          </cell>
          <cell r="AD69">
            <v>41414</v>
          </cell>
          <cell r="AE69">
            <v>6</v>
          </cell>
          <cell r="AF69">
            <v>0</v>
          </cell>
          <cell r="AG69">
            <v>160876830.29999998</v>
          </cell>
        </row>
        <row r="70">
          <cell r="A70" t="str">
            <v>PAF-ATF-070-2013</v>
          </cell>
          <cell r="B70" t="str">
            <v>“CONSTRUCCIÓN SISTEMA DE ALCANTARILLADO PLUVIAL SECTORES CALLE 9 Y 8 ENTRE CARRERAS 12D Y 2 Y CALLE 7 ENTRE CARRERA 7 Y 2 DEL MUNICIPIO DE CIMITARRA (SANTANDER)”</v>
          </cell>
          <cell r="C70">
            <v>4439473895</v>
          </cell>
          <cell r="D70">
            <v>4439473895</v>
          </cell>
          <cell r="E70">
            <v>0</v>
          </cell>
          <cell r="F70">
            <v>318298585</v>
          </cell>
          <cell r="G70">
            <v>318298585</v>
          </cell>
          <cell r="H70">
            <v>0</v>
          </cell>
          <cell r="I70">
            <v>0</v>
          </cell>
          <cell r="J70">
            <v>95155449.600000009</v>
          </cell>
          <cell r="K70">
            <v>97097398</v>
          </cell>
          <cell r="L70">
            <v>0</v>
          </cell>
          <cell r="M70">
            <v>41339</v>
          </cell>
          <cell r="N70" t="str">
            <v>Contrato No. 159 de 2013
CDP 22813
16 Fondos Especiales</v>
          </cell>
          <cell r="O70" t="str">
            <v>Contrato No. 159 de 2013
CDP 22813
16 Fondos Especiales</v>
          </cell>
          <cell r="P70" t="str">
            <v>Contrato No. 159 de 2013
CDP 22813
16 Fondos Especiales</v>
          </cell>
          <cell r="Q70" t="str">
            <v>GRUPO 7</v>
          </cell>
          <cell r="R70" t="str">
            <v>UNION TEMPORAL ALCANTARILLADOS
DAVID VEGA LUNA
GAMA INGENIEROS Y ARQUITECTOS S.A.S.</v>
          </cell>
          <cell r="S70">
            <v>900614538</v>
          </cell>
          <cell r="T70">
            <v>41394</v>
          </cell>
          <cell r="U70">
            <v>4161410913</v>
          </cell>
          <cell r="V70">
            <v>4161410913</v>
          </cell>
          <cell r="W70">
            <v>0</v>
          </cell>
          <cell r="X70">
            <v>317115000</v>
          </cell>
          <cell r="Y70">
            <v>317115000</v>
          </cell>
          <cell r="Z70">
            <v>0</v>
          </cell>
          <cell r="AA70">
            <v>0</v>
          </cell>
          <cell r="AB70" t="str">
            <v>CIMITARRA</v>
          </cell>
          <cell r="AC70" t="str">
            <v>SANTANDER</v>
          </cell>
          <cell r="AD70">
            <v>41401</v>
          </cell>
          <cell r="AE70">
            <v>8</v>
          </cell>
          <cell r="AF70">
            <v>0</v>
          </cell>
          <cell r="AG70">
            <v>1248423273.8999999</v>
          </cell>
        </row>
        <row r="71">
          <cell r="A71" t="str">
            <v>PAF-ATF-071-2013</v>
          </cell>
          <cell r="B71" t="str">
            <v>“OPTIMIZACIÓN DEL SISTEMA DE ALCANTARILLADO CASCO URBANO FASE I MUNICIPIO DE FALAN (TOLIMA)”</v>
          </cell>
          <cell r="C71">
            <v>1812681048</v>
          </cell>
          <cell r="D71">
            <v>1812681048</v>
          </cell>
          <cell r="E71">
            <v>0</v>
          </cell>
          <cell r="F71">
            <v>116070952</v>
          </cell>
          <cell r="G71">
            <v>116070952</v>
          </cell>
          <cell r="H71">
            <v>0</v>
          </cell>
          <cell r="I71">
            <v>0</v>
          </cell>
          <cell r="J71">
            <v>38575040</v>
          </cell>
          <cell r="K71">
            <v>39362286</v>
          </cell>
          <cell r="L71">
            <v>0</v>
          </cell>
          <cell r="M71">
            <v>41339</v>
          </cell>
          <cell r="N71" t="str">
            <v>Contrato No. 159 de 2013
CDP 22813
16 Fondos Especiales</v>
          </cell>
          <cell r="O71" t="str">
            <v>Contrato No. 159 de 2013
CDP 22813
16 Fondos Especiales</v>
          </cell>
          <cell r="P71" t="str">
            <v>Contrato No. 159 de 2013
CDP 22813
16 Fondos Especiales</v>
          </cell>
          <cell r="Q71" t="str">
            <v>GRUPO 7</v>
          </cell>
          <cell r="R71" t="str">
            <v xml:space="preserve">CONSORCIO MEGA REDES CARIBE
UCO S.A.
VIRGILIO ENRIQUE OSORIO TORRES
LUIS VALDIMIR PEÑALOZA FUENTES
</v>
          </cell>
          <cell r="S71">
            <v>900616495</v>
          </cell>
          <cell r="T71">
            <v>41394</v>
          </cell>
          <cell r="U71">
            <v>1745528248</v>
          </cell>
          <cell r="V71">
            <v>1745528248</v>
          </cell>
          <cell r="W71">
            <v>0</v>
          </cell>
          <cell r="X71">
            <v>114666000</v>
          </cell>
          <cell r="Y71">
            <v>114666000</v>
          </cell>
          <cell r="Z71">
            <v>0</v>
          </cell>
          <cell r="AA71">
            <v>0</v>
          </cell>
          <cell r="AB71" t="str">
            <v>FALAN</v>
          </cell>
          <cell r="AC71" t="str">
            <v>TOLIMA</v>
          </cell>
          <cell r="AD71">
            <v>41403</v>
          </cell>
          <cell r="AE71">
            <v>4</v>
          </cell>
          <cell r="AF71">
            <v>0</v>
          </cell>
          <cell r="AG71">
            <v>523658474.39999998</v>
          </cell>
        </row>
        <row r="72">
          <cell r="A72" t="str">
            <v>PAF-ATF-072-2013</v>
          </cell>
          <cell r="B72" t="str">
            <v>“CONSTRUCCIÓN ALCANTARILLADO CASCO URBANO MUNICIPIO DE PRADERA (VALLE DEL CAUCA)”</v>
          </cell>
          <cell r="C72">
            <v>9851829083</v>
          </cell>
          <cell r="D72">
            <v>9851829083</v>
          </cell>
          <cell r="E72">
            <v>0</v>
          </cell>
          <cell r="F72">
            <v>603131105</v>
          </cell>
          <cell r="G72">
            <v>603131105</v>
          </cell>
          <cell r="H72">
            <v>0</v>
          </cell>
          <cell r="I72">
            <v>0</v>
          </cell>
          <cell r="J72">
            <v>209099203.75999999</v>
          </cell>
          <cell r="K72">
            <v>213366534</v>
          </cell>
          <cell r="L72">
            <v>0</v>
          </cell>
          <cell r="M72">
            <v>41339</v>
          </cell>
          <cell r="N72" t="str">
            <v>Contrato No. 159 de 2013
CDP 22813
16 Fondos Especiales</v>
          </cell>
          <cell r="O72" t="str">
            <v>Contrato No. 159 de 2013
CDP 22813
16 Fondos Especiales</v>
          </cell>
          <cell r="P72" t="str">
            <v>Contrato No. 159 de 2013
CDP 22813
16 Fondos Especiales</v>
          </cell>
          <cell r="Q72" t="str">
            <v>GRUPO 7</v>
          </cell>
          <cell r="R72" t="str">
            <v>INGENIERIA Y CONTRATOS S.A.S.</v>
          </cell>
          <cell r="S72">
            <v>800011651</v>
          </cell>
          <cell r="T72">
            <v>41394</v>
          </cell>
          <cell r="U72">
            <v>9240156121</v>
          </cell>
          <cell r="V72">
            <v>9240156121</v>
          </cell>
          <cell r="W72">
            <v>0</v>
          </cell>
          <cell r="X72">
            <v>561042816</v>
          </cell>
          <cell r="Y72">
            <v>561042816</v>
          </cell>
          <cell r="Z72">
            <v>0</v>
          </cell>
          <cell r="AA72">
            <v>0</v>
          </cell>
          <cell r="AB72" t="str">
            <v>PRADERA</v>
          </cell>
          <cell r="AC72" t="str">
            <v>VALLE DEL CAUCA</v>
          </cell>
          <cell r="AD72">
            <v>41402</v>
          </cell>
          <cell r="AE72">
            <v>10</v>
          </cell>
          <cell r="AF72">
            <v>0</v>
          </cell>
          <cell r="AG72">
            <v>2772046836.2999997</v>
          </cell>
        </row>
        <row r="73">
          <cell r="A73" t="str">
            <v>PAF-ATF-073-2013</v>
          </cell>
          <cell r="B73" t="str">
            <v>“CONSTRUCCIÓN CLAUSURA DEL SITIO DE DISPOSICIÓN FINAL DE NAVARRO EN EL MUNICIPIO DE SANTIAGO DE CALI (VALLE DEL CAUCA)”</v>
          </cell>
          <cell r="C73">
            <v>5444444445</v>
          </cell>
          <cell r="D73">
            <v>5444444445</v>
          </cell>
          <cell r="E73">
            <v>0</v>
          </cell>
          <cell r="F73">
            <v>435555555</v>
          </cell>
          <cell r="G73">
            <v>435555555</v>
          </cell>
          <cell r="H73">
            <v>0</v>
          </cell>
          <cell r="I73">
            <v>0</v>
          </cell>
          <cell r="J73">
            <v>117600000</v>
          </cell>
          <cell r="K73">
            <v>120000000</v>
          </cell>
          <cell r="L73">
            <v>0</v>
          </cell>
          <cell r="M73">
            <v>41339</v>
          </cell>
          <cell r="N73" t="str">
            <v xml:space="preserve">CDP 152012  
SEGUN MAIL REMITIDO DEL MVCT                                                                                                                                                                                                                                                 </v>
          </cell>
          <cell r="O73" t="str">
            <v>Contrato No. 036 de 2012
CDP 274712
16 Fondos Especiales</v>
          </cell>
          <cell r="P73" t="str">
            <v>Contrato No. 036 de 2012
CDP 274712
16 Fondos Especiales</v>
          </cell>
          <cell r="Q73" t="str">
            <v>GRUPO 7</v>
          </cell>
          <cell r="R73" t="str">
            <v>OMAR VELEZ HOYOS</v>
          </cell>
          <cell r="S73">
            <v>19130521</v>
          </cell>
          <cell r="T73">
            <v>41394</v>
          </cell>
          <cell r="U73">
            <v>4895672808</v>
          </cell>
          <cell r="V73">
            <v>4895672808</v>
          </cell>
          <cell r="W73">
            <v>0</v>
          </cell>
          <cell r="X73">
            <v>428272000</v>
          </cell>
          <cell r="Y73">
            <v>428272000</v>
          </cell>
          <cell r="Z73">
            <v>0</v>
          </cell>
          <cell r="AA73">
            <v>0</v>
          </cell>
          <cell r="AB73" t="str">
            <v>SANTIAGO DE CALI</v>
          </cell>
          <cell r="AC73" t="str">
            <v>VALLE DEL CAUCA</v>
          </cell>
          <cell r="AD73">
            <v>41402</v>
          </cell>
          <cell r="AE73">
            <v>12</v>
          </cell>
          <cell r="AF73">
            <v>0</v>
          </cell>
          <cell r="AG73">
            <v>1468701842.3999999</v>
          </cell>
        </row>
        <row r="74">
          <cell r="A74" t="str">
            <v>PAF-ATF-077-2013</v>
          </cell>
          <cell r="B74" t="str">
            <v>“OPTIMIZACIÓN DE LOS COMPONENTES DEL SISTEMA DE ACUEDUCTO DEL CASCO URBANO DEL MUNICIPIO DE PARATEBUENO - DEPARTAMENTO DE CUNDINAMARCA”</v>
          </cell>
          <cell r="C74">
            <v>3533642021</v>
          </cell>
          <cell r="D74">
            <v>3533642021</v>
          </cell>
          <cell r="E74">
            <v>0</v>
          </cell>
          <cell r="F74">
            <v>247354941</v>
          </cell>
          <cell r="G74">
            <v>247354941</v>
          </cell>
          <cell r="H74">
            <v>0</v>
          </cell>
          <cell r="I74">
            <v>0</v>
          </cell>
          <cell r="J74">
            <v>75619939.239999995</v>
          </cell>
          <cell r="K74">
            <v>77163203</v>
          </cell>
          <cell r="L74">
            <v>0</v>
          </cell>
          <cell r="M74">
            <v>41355</v>
          </cell>
          <cell r="N74" t="str">
            <v>Contrato No. 036 de 2012
CDP 274712
16 Fondos Especiales</v>
          </cell>
          <cell r="O74" t="str">
            <v>Contrato No. 036 de 2012
CDP 274712
16 Fondos Especiales</v>
          </cell>
          <cell r="P74" t="str">
            <v>-</v>
          </cell>
          <cell r="Q74" t="str">
            <v xml:space="preserve">GRUPO 8 </v>
          </cell>
          <cell r="R74" t="str">
            <v>CONSORCIO MEDELLIN
SANEAR S.A.
PAECIA S.A.</v>
          </cell>
          <cell r="S74">
            <v>900629172</v>
          </cell>
          <cell r="T74">
            <v>41425</v>
          </cell>
          <cell r="U74">
            <v>3334942716</v>
          </cell>
          <cell r="V74">
            <v>3334942716</v>
          </cell>
          <cell r="W74">
            <v>0</v>
          </cell>
          <cell r="X74">
            <v>246553360</v>
          </cell>
          <cell r="Y74">
            <v>246553360</v>
          </cell>
          <cell r="Z74">
            <v>0</v>
          </cell>
          <cell r="AA74">
            <v>0</v>
          </cell>
          <cell r="AB74" t="str">
            <v>PARATABUENO</v>
          </cell>
          <cell r="AC74" t="str">
            <v>CUNDINAMARCA</v>
          </cell>
          <cell r="AD74">
            <v>41449</v>
          </cell>
          <cell r="AE74">
            <v>10</v>
          </cell>
          <cell r="AF74">
            <v>0</v>
          </cell>
          <cell r="AG74">
            <v>1000482814.8</v>
          </cell>
        </row>
        <row r="75">
          <cell r="A75" t="str">
            <v>PAF-ATF-078-2013</v>
          </cell>
          <cell r="B75" t="str">
            <v>"CONSTRUCCIÓN DE ESTACIÓN DE BOMBEO DE AGUA POTABLE EN LA PLANTA DE TRATAMIENTO – MUNICIPIO DE TUMACO- DEPARTAMENTO DE NARIÑO”</v>
          </cell>
          <cell r="C75">
            <v>1763388542</v>
          </cell>
          <cell r="D75">
            <v>1763388542</v>
          </cell>
          <cell r="E75">
            <v>0</v>
          </cell>
          <cell r="F75">
            <v>123437198</v>
          </cell>
          <cell r="G75">
            <v>123437198</v>
          </cell>
          <cell r="H75">
            <v>0</v>
          </cell>
          <cell r="I75" t="str">
            <v>ESTUDIOS Y DISEÑOS POR VALOR DE $58.632.669</v>
          </cell>
          <cell r="J75">
            <v>37736514.800000004</v>
          </cell>
          <cell r="K75">
            <v>38506648</v>
          </cell>
          <cell r="L75">
            <v>0</v>
          </cell>
          <cell r="M75">
            <v>41355</v>
          </cell>
          <cell r="N75" t="str">
            <v>Contrato No. 159 de 2013
CDP 22813
16 Fondos Especiales</v>
          </cell>
          <cell r="O75" t="str">
            <v>Contrato No. 159 de 2013
CDP 22813
16 Fondos Especiales</v>
          </cell>
          <cell r="P75">
            <v>0</v>
          </cell>
          <cell r="Q75" t="str">
            <v xml:space="preserve">GRUPO 8 </v>
          </cell>
          <cell r="R75" t="str">
            <v>ELECTRO HIDRAULICA S.A.</v>
          </cell>
          <cell r="S75">
            <v>860513276</v>
          </cell>
          <cell r="T75">
            <v>41425</v>
          </cell>
          <cell r="U75">
            <v>1669319108</v>
          </cell>
          <cell r="V75">
            <v>1669319108</v>
          </cell>
          <cell r="W75">
            <v>0</v>
          </cell>
          <cell r="X75">
            <v>119016000</v>
          </cell>
          <cell r="Y75">
            <v>119016000</v>
          </cell>
          <cell r="Z75">
            <v>0</v>
          </cell>
          <cell r="AA75">
            <v>0</v>
          </cell>
          <cell r="AB75" t="str">
            <v>TUMACO</v>
          </cell>
          <cell r="AC75" t="str">
            <v>NARIÑO</v>
          </cell>
          <cell r="AD75">
            <v>41444</v>
          </cell>
          <cell r="AE75">
            <v>8</v>
          </cell>
          <cell r="AF75">
            <v>0</v>
          </cell>
          <cell r="AG75">
            <v>500795732.39999998</v>
          </cell>
        </row>
        <row r="76">
          <cell r="A76" t="str">
            <v>PAF-ATF-079-2013</v>
          </cell>
          <cell r="B76" t="str">
            <v>“CONSTRUCCIÓN PLANTA DE TRATAMIENTO DE AGUAS RESIDUALES LA MARINA, MUNICIPIO DE ARMENIA, DEPARTAMENTO DEL QUINDÍO”</v>
          </cell>
          <cell r="C76">
            <v>16344974341</v>
          </cell>
          <cell r="D76">
            <v>16344974341</v>
          </cell>
          <cell r="E76">
            <v>0</v>
          </cell>
          <cell r="F76">
            <v>1307597947</v>
          </cell>
          <cell r="G76">
            <v>1307597947</v>
          </cell>
          <cell r="H76">
            <v>0</v>
          </cell>
          <cell r="I76">
            <v>0</v>
          </cell>
          <cell r="J76">
            <v>353051445.75999999</v>
          </cell>
          <cell r="K76">
            <v>360256578</v>
          </cell>
          <cell r="L76">
            <v>0</v>
          </cell>
          <cell r="M76">
            <v>41355</v>
          </cell>
          <cell r="N76" t="str">
            <v>Contrato No. 159 de 2013
CDP 22813
16 Fondos Especiales</v>
          </cell>
          <cell r="O76" t="str">
            <v>Contrato No. 159 de 2013
CDP 22813
16 Fondos Especiales</v>
          </cell>
          <cell r="P76">
            <v>0</v>
          </cell>
          <cell r="Q76" t="str">
            <v xml:space="preserve">GRUPO 8 </v>
          </cell>
          <cell r="R76" t="str">
            <v>CONSORCIO PTAR S.A.
RB DE COLOMBIA S.A.
HIDROPROYECTOS S.A. SUCURSAL COLOMBIA</v>
          </cell>
          <cell r="S76">
            <v>900627520</v>
          </cell>
          <cell r="T76">
            <v>41425</v>
          </cell>
          <cell r="U76">
            <v>15690167695</v>
          </cell>
          <cell r="V76">
            <v>15690167695</v>
          </cell>
          <cell r="W76">
            <v>0</v>
          </cell>
          <cell r="X76">
            <v>1285103680</v>
          </cell>
          <cell r="Y76">
            <v>1285103680</v>
          </cell>
          <cell r="Z76">
            <v>0</v>
          </cell>
          <cell r="AA76">
            <v>0</v>
          </cell>
          <cell r="AB76" t="str">
            <v>ARMENIA</v>
          </cell>
          <cell r="AC76" t="str">
            <v>QUINDIO</v>
          </cell>
          <cell r="AD76">
            <v>41444</v>
          </cell>
          <cell r="AE76">
            <v>12</v>
          </cell>
          <cell r="AF76">
            <v>0</v>
          </cell>
          <cell r="AG76">
            <v>4707050308.5</v>
          </cell>
        </row>
        <row r="77">
          <cell r="A77" t="str">
            <v>PAF-ATF-080-2013</v>
          </cell>
          <cell r="B77" t="str">
            <v>“OPTIMIZACIÓN SISTEMA DE TRATAMIENTO DE AGUA POTABLE Y CONSTRUCCION DEL TANQUE DE ALMACENAMIENTO DEL MUNICIPIO DE SALENTO Y CONSTRUCCIÓN DEL TANQUE DE ALMACENAMIENTO DEL MUNICIPIO DE PIJAO- SALENTO DEPARTAMENTO DEL QUINDIO”</v>
          </cell>
          <cell r="C77">
            <v>995082415</v>
          </cell>
          <cell r="D77">
            <v>995082415</v>
          </cell>
          <cell r="E77">
            <v>0</v>
          </cell>
          <cell r="F77">
            <v>69257737</v>
          </cell>
          <cell r="G77">
            <v>69257737</v>
          </cell>
          <cell r="H77">
            <v>0</v>
          </cell>
          <cell r="I77">
            <v>0</v>
          </cell>
          <cell r="J77">
            <v>21286803.039999999</v>
          </cell>
          <cell r="K77">
            <v>21721227</v>
          </cell>
          <cell r="L77">
            <v>0</v>
          </cell>
          <cell r="M77">
            <v>41383</v>
          </cell>
          <cell r="N77" t="str">
            <v>Contrato No. 159 de 2013
CDP 22813
16 Fondos Especiales</v>
          </cell>
          <cell r="O77" t="str">
            <v>Contrato No. 159 de 2013
CDP 22813
16 Fondos Especiales</v>
          </cell>
          <cell r="P77">
            <v>0</v>
          </cell>
          <cell r="Q77" t="str">
            <v xml:space="preserve">GRUPO 8 </v>
          </cell>
          <cell r="R77" t="str">
            <v>SANEAR S.A.
PRONACON S.A.S.
HECTOR JULIO CASALLAS ORDOÑEZ
JHON WILLIAM CASALLAS JURADO</v>
          </cell>
          <cell r="S77">
            <v>890928186</v>
          </cell>
          <cell r="T77">
            <v>41467</v>
          </cell>
          <cell r="U77">
            <v>946658831</v>
          </cell>
          <cell r="V77">
            <v>946658831</v>
          </cell>
          <cell r="W77">
            <v>0</v>
          </cell>
          <cell r="X77">
            <v>65772000</v>
          </cell>
          <cell r="Y77">
            <v>65772000</v>
          </cell>
          <cell r="Z77">
            <v>0</v>
          </cell>
          <cell r="AA77">
            <v>0</v>
          </cell>
          <cell r="AB77" t="str">
            <v>PIJAO
SALENTO</v>
          </cell>
          <cell r="AC77" t="str">
            <v>QUINDIO</v>
          </cell>
          <cell r="AD77">
            <v>41473</v>
          </cell>
          <cell r="AE77">
            <v>8</v>
          </cell>
          <cell r="AF77">
            <v>0</v>
          </cell>
          <cell r="AG77">
            <v>283997649.30000001</v>
          </cell>
        </row>
        <row r="78">
          <cell r="A78" t="str">
            <v>PAF-ATF-081-2013</v>
          </cell>
          <cell r="B78" t="str">
            <v>“OPTIMIZACIÓN DE SUMINISTRO DE AGUA PARA EL ACUEDUCTO DEL MUNICIPIO DE EL GUAMO DEPARTAMENTO DEL TOLIMA”</v>
          </cell>
          <cell r="C78">
            <v>9702013130</v>
          </cell>
          <cell r="D78">
            <v>9702013130</v>
          </cell>
          <cell r="E78">
            <v>0</v>
          </cell>
          <cell r="F78">
            <v>679140919</v>
          </cell>
          <cell r="G78">
            <v>679140919</v>
          </cell>
          <cell r="H78">
            <v>0</v>
          </cell>
          <cell r="I78">
            <v>0</v>
          </cell>
          <cell r="J78">
            <v>207623080.98000002</v>
          </cell>
          <cell r="K78">
            <v>211860287</v>
          </cell>
          <cell r="L78">
            <v>0</v>
          </cell>
          <cell r="M78">
            <v>41355</v>
          </cell>
          <cell r="N78" t="str">
            <v>Contrato No. 159 de 2013
CDP 22813
16 Fondos Especiales</v>
          </cell>
          <cell r="O78" t="str">
            <v>Contrato No. 159 de 2013
CDP 22813
16 Fondos Especiales</v>
          </cell>
          <cell r="P78">
            <v>0</v>
          </cell>
          <cell r="Q78" t="str">
            <v xml:space="preserve">GRUPO 8 </v>
          </cell>
          <cell r="R78" t="str">
            <v>CONSORCIO ACUEDUCTO PARA EL GUAMO
VILLA HERNANDEZ Y CIA S.A.S
VIC S.A.S.
PABLO MAURICIO CASTRO AVILA</v>
          </cell>
          <cell r="S78">
            <v>900627487</v>
          </cell>
          <cell r="T78">
            <v>41425</v>
          </cell>
          <cell r="U78">
            <v>9323971866</v>
          </cell>
          <cell r="V78">
            <v>9323971866</v>
          </cell>
          <cell r="W78">
            <v>0</v>
          </cell>
          <cell r="X78">
            <v>643340060</v>
          </cell>
          <cell r="Y78">
            <v>643340060</v>
          </cell>
          <cell r="Z78">
            <v>0</v>
          </cell>
          <cell r="AA78">
            <v>0</v>
          </cell>
          <cell r="AB78" t="str">
            <v>EL GUAMO</v>
          </cell>
          <cell r="AC78" t="str">
            <v>TOLIMA</v>
          </cell>
          <cell r="AD78">
            <v>41444</v>
          </cell>
          <cell r="AE78">
            <v>9</v>
          </cell>
          <cell r="AF78">
            <v>0</v>
          </cell>
          <cell r="AG78">
            <v>2797191559.7999997</v>
          </cell>
        </row>
        <row r="79">
          <cell r="A79" t="str">
            <v>PAF-ATF-082-2013</v>
          </cell>
          <cell r="B79" t="str">
            <v>“CONSTRUCCIÓN OPTIMIZACIÓN SISTEMAS DE ACUEDUCTO Y ALCANTARILLADO DEL MUNICIPIO DE CAROLINA DEL PRINCIPE ETAPA 1”</v>
          </cell>
          <cell r="C79">
            <v>582971568</v>
          </cell>
          <cell r="D79">
            <v>582971568</v>
          </cell>
          <cell r="E79">
            <v>0</v>
          </cell>
          <cell r="F79">
            <v>46637725</v>
          </cell>
          <cell r="G79">
            <v>46637725</v>
          </cell>
          <cell r="H79">
            <v>0</v>
          </cell>
          <cell r="I79">
            <v>0</v>
          </cell>
          <cell r="J79">
            <v>12592185.859999999</v>
          </cell>
          <cell r="K79">
            <v>12849169</v>
          </cell>
          <cell r="L79">
            <v>0</v>
          </cell>
          <cell r="M79">
            <v>41383</v>
          </cell>
          <cell r="N79" t="str">
            <v>Contrato No. 159 de 2013
CDP 22813
16 Fondos Especiales</v>
          </cell>
          <cell r="O79" t="str">
            <v>Contrato No. 159 de 2013
CDP 22813
16 Fondos Especiales</v>
          </cell>
          <cell r="P79">
            <v>0</v>
          </cell>
          <cell r="Q79" t="str">
            <v>GRUPO 9</v>
          </cell>
          <cell r="R79" t="str">
            <v xml:space="preserve">CONSORCIO INGMAR
INGENIEROS ELECTRICISTAS Y CIVILES ASOCIADOS S.A.S
MIGUEL ANGEL DAVILA REYES
</v>
          </cell>
          <cell r="S79">
            <v>900637062</v>
          </cell>
          <cell r="T79">
            <v>41467</v>
          </cell>
          <cell r="U79">
            <v>555217311</v>
          </cell>
          <cell r="V79">
            <v>555217311</v>
          </cell>
          <cell r="W79">
            <v>0</v>
          </cell>
          <cell r="X79">
            <v>45863500</v>
          </cell>
          <cell r="Y79">
            <v>45863500</v>
          </cell>
          <cell r="Z79">
            <v>0</v>
          </cell>
          <cell r="AA79">
            <v>0</v>
          </cell>
          <cell r="AB79" t="str">
            <v>CAROLINA DEL PRINCIPE</v>
          </cell>
          <cell r="AC79" t="str">
            <v>ANTIOQUIA</v>
          </cell>
          <cell r="AD79">
            <v>41473</v>
          </cell>
          <cell r="AE79">
            <v>2</v>
          </cell>
          <cell r="AF79">
            <v>0</v>
          </cell>
          <cell r="AG79">
            <v>166565193.29999998</v>
          </cell>
        </row>
        <row r="80">
          <cell r="A80" t="str">
            <v>PAF-ATF-083-2013</v>
          </cell>
          <cell r="B80" t="str">
            <v>“CONSTRUCCIÓN SISTEMA DE ALCANTARILLADO SANITARIO Y DE TRATAMIENTO DE AGUAS RESIDUALES DEL MUNICIPIO DE USIACURÍ PRIMERA ETAPA”</v>
          </cell>
          <cell r="C80">
            <v>16569173738</v>
          </cell>
          <cell r="D80">
            <v>16569173738</v>
          </cell>
          <cell r="E80">
            <v>0</v>
          </cell>
          <cell r="F80">
            <v>1253669004</v>
          </cell>
          <cell r="G80">
            <v>1253669004</v>
          </cell>
          <cell r="H80">
            <v>0</v>
          </cell>
          <cell r="I80">
            <v>0</v>
          </cell>
          <cell r="J80">
            <v>356456854.84000003</v>
          </cell>
          <cell r="K80">
            <v>363731485</v>
          </cell>
          <cell r="L80">
            <v>0</v>
          </cell>
          <cell r="M80">
            <v>41383</v>
          </cell>
          <cell r="N80" t="str">
            <v>Contrato No. 159 de 2013
CDP 22813
16 Fondos Especiales</v>
          </cell>
          <cell r="O80" t="str">
            <v>Contrato No. 159 de 2013
CDP 22813
16 Fondos Especiales</v>
          </cell>
          <cell r="P80">
            <v>0</v>
          </cell>
          <cell r="Q80" t="str">
            <v>GRUPO 9</v>
          </cell>
          <cell r="R80" t="str">
            <v xml:space="preserve">CONSORCIO AGUAS ATLANTICO
CORPORACIÓN AMBIENTE COLOMBIA - CORAMCOL
R &amp; M INGENIERIA S.A.S.
LINA JISELA MURCIA CUELLAR
DIEGO JARAMILLO GÓMEZ
</v>
          </cell>
          <cell r="S80">
            <v>900641566</v>
          </cell>
          <cell r="T80">
            <v>41481</v>
          </cell>
          <cell r="U80">
            <v>15654555401</v>
          </cell>
          <cell r="V80">
            <v>15654555401</v>
          </cell>
          <cell r="W80">
            <v>0</v>
          </cell>
          <cell r="X80">
            <v>1214087900</v>
          </cell>
          <cell r="Y80">
            <v>1214087900</v>
          </cell>
          <cell r="Z80">
            <v>0</v>
          </cell>
          <cell r="AA80">
            <v>0</v>
          </cell>
          <cell r="AB80" t="str">
            <v>USIACURÍ</v>
          </cell>
          <cell r="AC80" t="str">
            <v>ATLANTICO</v>
          </cell>
          <cell r="AD80">
            <v>41486</v>
          </cell>
          <cell r="AE80">
            <v>18</v>
          </cell>
          <cell r="AF80">
            <v>0</v>
          </cell>
          <cell r="AG80">
            <v>4696366620.3000002</v>
          </cell>
        </row>
        <row r="81">
          <cell r="A81" t="str">
            <v>PAF-ATF-084-2013</v>
          </cell>
          <cell r="B81" t="str">
            <v>“CONSTRUCCIÓN DE ALCANTARILLADO SANITARIO EN LA CABECERA MUNICIPAL DE MARÍA LA BAJA (BOLÍVAR)”</v>
          </cell>
          <cell r="C81">
            <v>17310102555</v>
          </cell>
          <cell r="D81">
            <v>17310102555</v>
          </cell>
          <cell r="E81">
            <v>0</v>
          </cell>
          <cell r="F81">
            <v>1137797114</v>
          </cell>
          <cell r="G81">
            <v>1137797114</v>
          </cell>
          <cell r="H81">
            <v>0</v>
          </cell>
          <cell r="I81">
            <v>0</v>
          </cell>
          <cell r="J81">
            <v>368957993.38</v>
          </cell>
          <cell r="K81">
            <v>376487748</v>
          </cell>
          <cell r="L81">
            <v>0</v>
          </cell>
          <cell r="M81">
            <v>41383</v>
          </cell>
          <cell r="N81" t="str">
            <v>Contrato No. 036 de 2012
CDP 274712
16 Fondos Especiales</v>
          </cell>
          <cell r="O81" t="str">
            <v>Contrato No. 036 de 2012
CDP 274712
16 Fondos Especiales</v>
          </cell>
          <cell r="P81" t="str">
            <v>-</v>
          </cell>
          <cell r="Q81" t="str">
            <v>GRUPO 9</v>
          </cell>
          <cell r="R81" t="str">
            <v xml:space="preserve">CONSORCIO ALIANZA YDN- MARIA LA BAJA
YAMIL SABBAGH SOLANO
CONSTRUCCIONES NAMUS S.A.
ASOCIADOS MARIN VALENCIA A.M.V. - S.A.
</v>
          </cell>
          <cell r="S81">
            <v>900620376</v>
          </cell>
          <cell r="T81">
            <v>41416</v>
          </cell>
          <cell r="U81">
            <v>16804192647</v>
          </cell>
          <cell r="V81">
            <v>16804192647</v>
          </cell>
          <cell r="W81">
            <v>0</v>
          </cell>
          <cell r="X81">
            <v>1081169300</v>
          </cell>
          <cell r="Y81">
            <v>1081169300</v>
          </cell>
          <cell r="Z81">
            <v>0</v>
          </cell>
          <cell r="AA81">
            <v>0</v>
          </cell>
          <cell r="AB81" t="str">
            <v>MARIA LA BAJA</v>
          </cell>
          <cell r="AC81" t="str">
            <v>BOLIVAR</v>
          </cell>
          <cell r="AD81">
            <v>41417</v>
          </cell>
          <cell r="AE81">
            <v>18</v>
          </cell>
          <cell r="AF81">
            <v>0</v>
          </cell>
          <cell r="AG81">
            <v>5041257794.0999994</v>
          </cell>
        </row>
        <row r="82">
          <cell r="A82" t="str">
            <v>PAF-ATF-085-2013</v>
          </cell>
          <cell r="B82" t="str">
            <v>“CONSTRUCCIÓN OPTIMIZACIÓN RED DE CONDUCCIÓN PARA EL SISTEMA DE ACUEDUCTO URBANO DEL MUNICIPIO DE GUATEQUE (BOYACÁ)”</v>
          </cell>
          <cell r="C82">
            <v>4460908475</v>
          </cell>
          <cell r="D82">
            <v>4460908475</v>
          </cell>
          <cell r="E82">
            <v>0</v>
          </cell>
          <cell r="F82">
            <v>289231603</v>
          </cell>
          <cell r="G82">
            <v>289231603</v>
          </cell>
          <cell r="H82">
            <v>0</v>
          </cell>
          <cell r="I82">
            <v>0</v>
          </cell>
          <cell r="J82">
            <v>95002801.560000002</v>
          </cell>
          <cell r="K82">
            <v>96941634</v>
          </cell>
          <cell r="L82">
            <v>0</v>
          </cell>
          <cell r="M82">
            <v>41383</v>
          </cell>
          <cell r="N82" t="str">
            <v>Contrato No. 159 de 2013
CDP 22813
16 Fondos Especiales</v>
          </cell>
          <cell r="O82" t="str">
            <v>Contrato No. 159 de 2013
CDP 22813
16 Fondos Especiales</v>
          </cell>
          <cell r="P82">
            <v>0</v>
          </cell>
          <cell r="Q82" t="str">
            <v>GRUPO 9</v>
          </cell>
          <cell r="R82" t="str">
            <v>UNION TEMPORAL PAIN 085
INGECOL S.A.
PAVIMENTOS ANDINOS S.A.</v>
          </cell>
          <cell r="S82">
            <v>900638230</v>
          </cell>
          <cell r="T82">
            <v>41463</v>
          </cell>
          <cell r="U82">
            <v>4251534413</v>
          </cell>
          <cell r="V82">
            <v>4251534413</v>
          </cell>
          <cell r="W82">
            <v>0</v>
          </cell>
          <cell r="X82">
            <v>277118200</v>
          </cell>
          <cell r="Y82">
            <v>277118200</v>
          </cell>
          <cell r="Z82">
            <v>0</v>
          </cell>
          <cell r="AA82">
            <v>0</v>
          </cell>
          <cell r="AB82" t="str">
            <v>GUATEQUE</v>
          </cell>
          <cell r="AC82" t="str">
            <v>BOYACA</v>
          </cell>
          <cell r="AD82">
            <v>41474</v>
          </cell>
          <cell r="AE82">
            <v>5</v>
          </cell>
          <cell r="AF82">
            <v>0</v>
          </cell>
          <cell r="AG82">
            <v>1275460323.8999999</v>
          </cell>
        </row>
        <row r="83">
          <cell r="A83" t="str">
            <v>PAF-ATF-086-2013</v>
          </cell>
          <cell r="B83" t="str">
            <v>“CONSTRUCCIÓN CANAL DE AGUAS LLUVIAS CARRERA 24 - DIAGONAL 44 Y CARRERA 23 ENTRE CALLE 51 Y RÍO LA CEIBAS COMUNA 2 DEL MUNICIPIO DE NEIVA (HUILA)”</v>
          </cell>
          <cell r="C83">
            <v>2252282916</v>
          </cell>
          <cell r="D83">
            <v>2252282916</v>
          </cell>
          <cell r="E83">
            <v>0</v>
          </cell>
          <cell r="F83">
            <v>180182633</v>
          </cell>
          <cell r="G83">
            <v>180182633</v>
          </cell>
          <cell r="H83">
            <v>0</v>
          </cell>
          <cell r="I83">
            <v>0</v>
          </cell>
          <cell r="J83">
            <v>48649310.980000004</v>
          </cell>
          <cell r="K83">
            <v>49642154</v>
          </cell>
          <cell r="L83">
            <v>0</v>
          </cell>
          <cell r="M83">
            <v>41383</v>
          </cell>
          <cell r="N83" t="str">
            <v>Contrato No. 036 de 2012
CDP 274712
16 Fondos Especiales</v>
          </cell>
          <cell r="O83" t="str">
            <v>Contrato No. 036 de 2012
CDP 274712
16 Fondos Especiales</v>
          </cell>
          <cell r="P83" t="str">
            <v>-</v>
          </cell>
          <cell r="Q83" t="str">
            <v>GRUPO 9</v>
          </cell>
          <cell r="R83" t="str">
            <v>UNION TEMPORAL NEIVA 086
LYDCO INGENIERIA S.A.S.
CONSTRUSOCIAL S.A.S.
GERMAN VILLANUEVA CALDERON</v>
          </cell>
          <cell r="S83">
            <v>900636934</v>
          </cell>
          <cell r="T83">
            <v>41463</v>
          </cell>
          <cell r="U83">
            <v>2142514400</v>
          </cell>
          <cell r="V83">
            <v>2142514400</v>
          </cell>
          <cell r="W83">
            <v>0</v>
          </cell>
          <cell r="X83">
            <v>176566500</v>
          </cell>
          <cell r="Y83">
            <v>176566500</v>
          </cell>
          <cell r="Z83">
            <v>0</v>
          </cell>
          <cell r="AA83">
            <v>0</v>
          </cell>
          <cell r="AB83" t="str">
            <v>NEIVA</v>
          </cell>
          <cell r="AC83" t="str">
            <v>HUILA</v>
          </cell>
          <cell r="AD83">
            <v>41473</v>
          </cell>
          <cell r="AE83">
            <v>10</v>
          </cell>
          <cell r="AF83">
            <v>0</v>
          </cell>
          <cell r="AG83">
            <v>642754320</v>
          </cell>
        </row>
        <row r="84">
          <cell r="A84" t="str">
            <v>PAF-ATF-089-2013</v>
          </cell>
          <cell r="B84" t="str">
            <v>“OPTIMIZACIÓN DE LAGUNAS DE OXIDACIÓN MÓDULOS 4 Y 5 DE LA PLANTA DE TRATAMIENTO DE AGUAS RESIDUALES EL PUEBLO TERCERA ETAPA, BARRANQUILLA”.</v>
          </cell>
          <cell r="C84">
            <v>34819859512</v>
          </cell>
          <cell r="D84">
            <v>34819859512</v>
          </cell>
          <cell r="E84">
            <v>0</v>
          </cell>
          <cell r="F84">
            <v>2785588760.96</v>
          </cell>
          <cell r="G84">
            <v>2785588760.96</v>
          </cell>
          <cell r="H84">
            <v>0</v>
          </cell>
          <cell r="I84">
            <v>0</v>
          </cell>
          <cell r="J84">
            <v>752108965.45920002</v>
          </cell>
          <cell r="K84">
            <v>752108965.46000004</v>
          </cell>
          <cell r="L84">
            <v>0</v>
          </cell>
          <cell r="M84">
            <v>41409</v>
          </cell>
          <cell r="N84">
            <v>0</v>
          </cell>
          <cell r="O84">
            <v>0</v>
          </cell>
          <cell r="P84">
            <v>0</v>
          </cell>
          <cell r="Q84" t="str">
            <v>GRUPO 10</v>
          </cell>
          <cell r="R84">
            <v>0</v>
          </cell>
          <cell r="S84">
            <v>0</v>
          </cell>
          <cell r="T84" t="str">
            <v>SUSPENSIÓN</v>
          </cell>
          <cell r="U84">
            <v>0</v>
          </cell>
          <cell r="V84">
            <v>0</v>
          </cell>
          <cell r="W84">
            <v>0</v>
          </cell>
          <cell r="X84">
            <v>0</v>
          </cell>
          <cell r="Y84">
            <v>0</v>
          </cell>
          <cell r="Z84">
            <v>0</v>
          </cell>
          <cell r="AA84">
            <v>0</v>
          </cell>
          <cell r="AB84" t="str">
            <v>BARRANQUILLA</v>
          </cell>
          <cell r="AC84" t="str">
            <v>ATLANTICO</v>
          </cell>
          <cell r="AD84">
            <v>0</v>
          </cell>
          <cell r="AE84">
            <v>10</v>
          </cell>
          <cell r="AF84">
            <v>0</v>
          </cell>
          <cell r="AG84">
            <v>0</v>
          </cell>
        </row>
        <row r="85">
          <cell r="A85" t="str">
            <v>PAF-ATF-090-2013</v>
          </cell>
          <cell r="B85" t="str">
            <v>“CONSTRUCCIÓN DEL POZO 3, SEGUNDO TANQUE EN EL CERRO EL GOLERO, SISTEMA DE CLORACIÓN EN LA EBAP 2 Y LA OPTIMIZACIÓN DE LAS EBAPS 2 Y 3 DEL SISTEMA DE ACUEDUCTO DEL MUNICIPIO DE ARIGUANÍ”.</v>
          </cell>
          <cell r="C85">
            <v>3393896869</v>
          </cell>
          <cell r="D85">
            <v>3393896869</v>
          </cell>
          <cell r="E85">
            <v>0</v>
          </cell>
          <cell r="F85">
            <v>0</v>
          </cell>
          <cell r="G85">
            <v>0</v>
          </cell>
          <cell r="H85">
            <v>0</v>
          </cell>
          <cell r="I85" t="str">
            <v>AGUAS DEL MAGDALENA S.A. E.S.P. GESTOR DEL PDA</v>
          </cell>
          <cell r="J85">
            <v>67877937.379999995</v>
          </cell>
          <cell r="K85">
            <v>69263202</v>
          </cell>
          <cell r="L85">
            <v>0</v>
          </cell>
          <cell r="M85">
            <v>41409</v>
          </cell>
          <cell r="N85" t="str">
            <v>Contrato No. 159 de 2013
CDP 22813
16 Fondos Especiales</v>
          </cell>
          <cell r="O85" t="str">
            <v>Contrato No. 159 de 2013
CDP 22813
16 Fondos Especiales</v>
          </cell>
          <cell r="P85">
            <v>0</v>
          </cell>
          <cell r="Q85" t="str">
            <v>GRUPO 10</v>
          </cell>
          <cell r="R85" t="str">
            <v>CONSORCIO POZOS DEL MAGDALENA
CONSTRUCTORA INCO S.A.S.
GONZALO GONZALES VIANA
DANIEL ENRIQUE NUÑEZ GUERRA</v>
          </cell>
          <cell r="S85">
            <v>900641621</v>
          </cell>
          <cell r="T85">
            <v>41474</v>
          </cell>
          <cell r="U85">
            <v>3280567270</v>
          </cell>
          <cell r="V85">
            <v>3280567270</v>
          </cell>
          <cell r="W85">
            <v>0</v>
          </cell>
          <cell r="X85">
            <v>0</v>
          </cell>
          <cell r="Y85">
            <v>0</v>
          </cell>
          <cell r="Z85">
            <v>0</v>
          </cell>
          <cell r="AA85">
            <v>0</v>
          </cell>
          <cell r="AB85" t="str">
            <v>ARIGUANI</v>
          </cell>
          <cell r="AC85" t="str">
            <v>MAGDALENA</v>
          </cell>
          <cell r="AD85" t="str">
            <v>31-07-2013</v>
          </cell>
          <cell r="AE85">
            <v>10</v>
          </cell>
          <cell r="AF85">
            <v>0</v>
          </cell>
          <cell r="AG85">
            <v>984170181</v>
          </cell>
        </row>
        <row r="86">
          <cell r="A86" t="str">
            <v>PAF-ATF-091-2013</v>
          </cell>
          <cell r="B86" t="str">
            <v>“OPTIMIZACIÓN SISTEMA DE ALCANTARILLADO BARRIO VALLES DEL MIRADOR MUNICIPIO DE LOS PATIOS”.</v>
          </cell>
          <cell r="C86">
            <v>1049356214</v>
          </cell>
          <cell r="D86">
            <v>1049356214</v>
          </cell>
          <cell r="E86">
            <v>0</v>
          </cell>
          <cell r="F86">
            <v>83948497</v>
          </cell>
          <cell r="G86">
            <v>83948497</v>
          </cell>
          <cell r="H86">
            <v>0</v>
          </cell>
          <cell r="I86">
            <v>0</v>
          </cell>
          <cell r="J86">
            <v>22666094.219999999</v>
          </cell>
          <cell r="K86">
            <v>23128668</v>
          </cell>
          <cell r="L86">
            <v>0</v>
          </cell>
          <cell r="M86">
            <v>41409</v>
          </cell>
          <cell r="N86" t="str">
            <v>Contrato No. 159 de 2013
CDP 22813
16 Fondos Especiales</v>
          </cell>
          <cell r="O86" t="str">
            <v>Contrato No. 159 de 2013
CDP 22813
16 Fondos Especiales</v>
          </cell>
          <cell r="P86">
            <v>0</v>
          </cell>
          <cell r="Q86" t="str">
            <v>GRUPO 10</v>
          </cell>
          <cell r="R86" t="str">
            <v>JOSE MARIO GIRALDO ENCISO</v>
          </cell>
          <cell r="S86">
            <v>10243741</v>
          </cell>
          <cell r="T86">
            <v>41480</v>
          </cell>
          <cell r="U86">
            <v>977368357</v>
          </cell>
          <cell r="V86">
            <v>977368357</v>
          </cell>
          <cell r="W86">
            <v>0</v>
          </cell>
          <cell r="X86">
            <v>83070500</v>
          </cell>
          <cell r="Y86">
            <v>83070500</v>
          </cell>
          <cell r="Z86">
            <v>0</v>
          </cell>
          <cell r="AA86">
            <v>0</v>
          </cell>
          <cell r="AB86" t="str">
            <v>LOS PATIOS</v>
          </cell>
          <cell r="AC86" t="str">
            <v>NORTE DE SANTANDER</v>
          </cell>
          <cell r="AD86" t="str">
            <v>26-07-2013</v>
          </cell>
          <cell r="AE86">
            <v>10</v>
          </cell>
          <cell r="AF86">
            <v>0</v>
          </cell>
          <cell r="AG86">
            <v>293210507.09999996</v>
          </cell>
        </row>
        <row r="87">
          <cell r="A87" t="str">
            <v>PAF-ATF-092-2013</v>
          </cell>
          <cell r="B87" t="str">
            <v>“CONSTRUCCIÓN DE REDES DE CONDUCCIÓN Y OPTIMIZACIÓN DEL ACUEDUCTO MUNICIPIO DE BARBOSA- SANTANDER ”.</v>
          </cell>
          <cell r="C87">
            <v>7665826501</v>
          </cell>
          <cell r="D87">
            <v>7665826501</v>
          </cell>
          <cell r="E87">
            <v>0</v>
          </cell>
          <cell r="F87">
            <v>613266120.08000004</v>
          </cell>
          <cell r="G87">
            <v>613266120.08000004</v>
          </cell>
          <cell r="H87">
            <v>0</v>
          </cell>
          <cell r="I87">
            <v>0</v>
          </cell>
          <cell r="J87">
            <v>165581852.42160001</v>
          </cell>
          <cell r="K87">
            <v>165581852.42000002</v>
          </cell>
          <cell r="L87">
            <v>0</v>
          </cell>
          <cell r="M87">
            <v>0</v>
          </cell>
          <cell r="N87" t="str">
            <v>Contrato No. 159 de 2013
CDP 155913
11 Nación</v>
          </cell>
          <cell r="O87" t="str">
            <v>Contrato No. 159 de 2013
CDP 155913
11 Nación</v>
          </cell>
          <cell r="P87">
            <v>0</v>
          </cell>
          <cell r="Q87" t="str">
            <v>GRUPO 10</v>
          </cell>
          <cell r="R87">
            <v>0</v>
          </cell>
          <cell r="S87">
            <v>0</v>
          </cell>
          <cell r="T87" t="str">
            <v>APLAZADO</v>
          </cell>
          <cell r="U87">
            <v>0</v>
          </cell>
          <cell r="V87">
            <v>0</v>
          </cell>
          <cell r="W87">
            <v>0</v>
          </cell>
          <cell r="X87">
            <v>0</v>
          </cell>
          <cell r="Y87">
            <v>0</v>
          </cell>
          <cell r="Z87">
            <v>0</v>
          </cell>
          <cell r="AA87">
            <v>0</v>
          </cell>
          <cell r="AB87" t="str">
            <v>BARBOSA</v>
          </cell>
          <cell r="AC87" t="str">
            <v>SANTANDER</v>
          </cell>
          <cell r="AD87">
            <v>0</v>
          </cell>
          <cell r="AE87">
            <v>0</v>
          </cell>
          <cell r="AF87">
            <v>0</v>
          </cell>
          <cell r="AG87">
            <v>0</v>
          </cell>
        </row>
        <row r="88">
          <cell r="A88" t="str">
            <v>PAF-ATF-093-2013</v>
          </cell>
          <cell r="B88" t="str">
            <v>“CONSTRUCCIÓN TERCERA ETAPA PLAN MAESTRO DE ACUEDUCTO Y ALCANTARILLADO ZONA URBANA MUNICIPIO DE SANTO DOMINGO”</v>
          </cell>
          <cell r="C88">
            <v>7387717783</v>
          </cell>
          <cell r="D88">
            <v>7387717783</v>
          </cell>
          <cell r="E88">
            <v>0</v>
          </cell>
          <cell r="F88">
            <v>538509899</v>
          </cell>
          <cell r="G88">
            <v>538509899</v>
          </cell>
          <cell r="H88">
            <v>0</v>
          </cell>
          <cell r="I88">
            <v>0</v>
          </cell>
          <cell r="J88">
            <v>158524553.64000002</v>
          </cell>
          <cell r="K88">
            <v>161759746</v>
          </cell>
          <cell r="L88">
            <v>0</v>
          </cell>
          <cell r="M88">
            <v>41460</v>
          </cell>
          <cell r="N88" t="str">
            <v>Contrato No. 036 de 2012
CDP 274712
16 Fondos Especiales</v>
          </cell>
          <cell r="O88" t="str">
            <v>Contrato No. 036 de 2012
CDP 274712
16 Fondos Especiales</v>
          </cell>
          <cell r="P88">
            <v>0</v>
          </cell>
          <cell r="Q88" t="str">
            <v>GRUPO 11</v>
          </cell>
          <cell r="R88" t="str">
            <v>UNION TEMPORAL REDES 2013
HAPIL INGENIERIA S.A.S
R.M Y CIA S.A.S.</v>
          </cell>
          <cell r="S88">
            <v>900646804</v>
          </cell>
          <cell r="T88">
            <v>41501</v>
          </cell>
          <cell r="U88">
            <v>6987778860</v>
          </cell>
          <cell r="V88">
            <v>6987778860</v>
          </cell>
          <cell r="W88">
            <v>0</v>
          </cell>
          <cell r="X88">
            <v>518083840</v>
          </cell>
          <cell r="Y88">
            <v>518083840</v>
          </cell>
          <cell r="Z88">
            <v>0</v>
          </cell>
          <cell r="AA88">
            <v>0</v>
          </cell>
          <cell r="AB88" t="str">
            <v>SANTO DOMINGO</v>
          </cell>
          <cell r="AC88" t="str">
            <v>ANTIOQUIA</v>
          </cell>
          <cell r="AD88" t="str">
            <v>22-08-2013</v>
          </cell>
          <cell r="AE88">
            <v>6</v>
          </cell>
          <cell r="AF88">
            <v>0</v>
          </cell>
          <cell r="AG88">
            <v>2096333658</v>
          </cell>
        </row>
        <row r="89">
          <cell r="A89" t="str">
            <v>PAF-ATF-094-2013</v>
          </cell>
          <cell r="B89" t="str">
            <v>“CONSTRUCCIÓN DEL PLAN MAESTRO DE ACUEDUCTO Y ALCANTARILLADO DEL MUNICIPIO DE SAN VICENTE DE FERRER”</v>
          </cell>
          <cell r="C89">
            <v>8163598710</v>
          </cell>
          <cell r="D89">
            <v>8163598710</v>
          </cell>
          <cell r="E89">
            <v>0</v>
          </cell>
          <cell r="F89">
            <v>581017604</v>
          </cell>
          <cell r="G89">
            <v>581017604</v>
          </cell>
          <cell r="H89">
            <v>0</v>
          </cell>
          <cell r="I89">
            <v>0</v>
          </cell>
          <cell r="J89">
            <v>174892326.28</v>
          </cell>
          <cell r="K89">
            <v>179674406</v>
          </cell>
          <cell r="L89">
            <v>0</v>
          </cell>
          <cell r="M89">
            <v>41460</v>
          </cell>
          <cell r="N89" t="str">
            <v>SALDOS CONTRATO 036 DE 2012
TODOS LOS CDP VER RELACIÓN ANEXA</v>
          </cell>
          <cell r="O89" t="str">
            <v>Contrato No. 036 de 2012
CDP 290212
11 Recursos del Tesoro
Contrato 036 de 2012
CDP 1413 
Vigencias Futuras 2013</v>
          </cell>
          <cell r="P89">
            <v>0</v>
          </cell>
          <cell r="Q89" t="str">
            <v>GRUPO 11</v>
          </cell>
          <cell r="R89" t="str">
            <v>CONSORCIO AGUAS SAN VICENTE
PROINARK S.A.
EXCAVACIONES JOBEPA SUCURSAL COLOMBIA
EPROCON S.A.</v>
          </cell>
          <cell r="S89">
            <v>900646147</v>
          </cell>
          <cell r="T89">
            <v>41501</v>
          </cell>
          <cell r="U89">
            <v>7733328619</v>
          </cell>
          <cell r="V89">
            <v>7733328619</v>
          </cell>
          <cell r="W89">
            <v>0</v>
          </cell>
          <cell r="X89">
            <v>552276000</v>
          </cell>
          <cell r="Y89">
            <v>552276000</v>
          </cell>
          <cell r="Z89">
            <v>0</v>
          </cell>
          <cell r="AA89">
            <v>0</v>
          </cell>
          <cell r="AB89" t="str">
            <v>SAN VICENTE DE FERRER</v>
          </cell>
          <cell r="AC89" t="str">
            <v>ANTIOQUIA</v>
          </cell>
          <cell r="AD89">
            <v>41509</v>
          </cell>
          <cell r="AE89">
            <v>10</v>
          </cell>
          <cell r="AF89">
            <v>0</v>
          </cell>
          <cell r="AG89">
            <v>2319998585.6999998</v>
          </cell>
        </row>
        <row r="90">
          <cell r="A90" t="str">
            <v>PAF-ATF-095-2013</v>
          </cell>
          <cell r="B90" t="str">
            <v>PLAN DE MANEJO AMBIENTAL PARA EL CIERRE DEL ANTIGUO BOTADERO A CIELO ABIERTO EL MIRADOR DEL MUNICIPIO DE MANZANARES</v>
          </cell>
          <cell r="C90">
            <v>216330796</v>
          </cell>
          <cell r="D90">
            <v>216330796</v>
          </cell>
          <cell r="E90">
            <v>0</v>
          </cell>
          <cell r="F90">
            <v>15143156</v>
          </cell>
          <cell r="G90">
            <v>15143156</v>
          </cell>
          <cell r="H90">
            <v>0</v>
          </cell>
          <cell r="I90">
            <v>0</v>
          </cell>
          <cell r="J90">
            <v>4629479.04</v>
          </cell>
          <cell r="K90">
            <v>4414914</v>
          </cell>
          <cell r="L90">
            <v>0</v>
          </cell>
          <cell r="M90">
            <v>41464</v>
          </cell>
          <cell r="N90" t="str">
            <v>Contrato No. 159 de 2013
CDP 137513
11 Nación</v>
          </cell>
          <cell r="O90" t="str">
            <v>Contrato No. 159 de 2013
CDP 137513
11 Nación</v>
          </cell>
          <cell r="P90">
            <v>0</v>
          </cell>
          <cell r="Q90" t="str">
            <v>GRUPO 11</v>
          </cell>
          <cell r="R90">
            <v>0</v>
          </cell>
          <cell r="S90">
            <v>0</v>
          </cell>
          <cell r="T90" t="str">
            <v>DESIERTO</v>
          </cell>
          <cell r="U90">
            <v>0</v>
          </cell>
          <cell r="V90">
            <v>0</v>
          </cell>
          <cell r="W90">
            <v>0</v>
          </cell>
          <cell r="X90">
            <v>14261248.800000001</v>
          </cell>
          <cell r="Y90">
            <v>14261248.800000001</v>
          </cell>
          <cell r="Z90">
            <v>0</v>
          </cell>
          <cell r="AA90">
            <v>0</v>
          </cell>
          <cell r="AB90" t="str">
            <v>MANZANARES</v>
          </cell>
          <cell r="AC90" t="str">
            <v>CALDAS</v>
          </cell>
          <cell r="AD90">
            <v>0</v>
          </cell>
          <cell r="AE90">
            <v>7</v>
          </cell>
          <cell r="AF90">
            <v>0</v>
          </cell>
          <cell r="AG90">
            <v>0</v>
          </cell>
        </row>
        <row r="91">
          <cell r="A91" t="str">
            <v>PAF-ATF-096-2013</v>
          </cell>
          <cell r="B91" t="str">
            <v>OPTIMIZACIÓN RELLENO SANITARIO LA VEGA DEL ALTO ORIENTE DE CALDAS MUNICIPIO DE MARQUETALIA</v>
          </cell>
          <cell r="C91">
            <v>1047507561</v>
          </cell>
          <cell r="D91">
            <v>1047507561</v>
          </cell>
          <cell r="E91">
            <v>0</v>
          </cell>
          <cell r="F91">
            <v>73325529</v>
          </cell>
          <cell r="G91">
            <v>73325529</v>
          </cell>
          <cell r="H91">
            <v>0</v>
          </cell>
          <cell r="I91">
            <v>0</v>
          </cell>
          <cell r="J91">
            <v>22416661.800000001</v>
          </cell>
          <cell r="K91">
            <v>22874145</v>
          </cell>
          <cell r="L91">
            <v>0</v>
          </cell>
          <cell r="M91">
            <v>41464</v>
          </cell>
          <cell r="N91" t="str">
            <v>Contrato No. 159 de 2013
CDP 137513
11 Nación</v>
          </cell>
          <cell r="O91" t="str">
            <v>Contrato No. 159 de 2013
CDP 137513
11 Nación</v>
          </cell>
          <cell r="P91">
            <v>0</v>
          </cell>
          <cell r="Q91" t="str">
            <v>GRUPO 11</v>
          </cell>
          <cell r="R91" t="str">
            <v xml:space="preserve">CONSORCIO CAAN
INGENIEROS CIVILES Y ASOCIADOS LIMITADA CASI LTDA
JHONN JAIRO ANDRADE SERRANO
</v>
          </cell>
          <cell r="S91">
            <v>900649725</v>
          </cell>
          <cell r="T91">
            <v>41509</v>
          </cell>
          <cell r="U91">
            <v>962247823</v>
          </cell>
          <cell r="V91">
            <v>962247823</v>
          </cell>
          <cell r="W91">
            <v>0</v>
          </cell>
          <cell r="X91">
            <v>72201416</v>
          </cell>
          <cell r="Y91">
            <v>72201416</v>
          </cell>
          <cell r="Z91">
            <v>0</v>
          </cell>
          <cell r="AA91">
            <v>0</v>
          </cell>
          <cell r="AB91" t="str">
            <v>MARQUETALIA</v>
          </cell>
          <cell r="AC91" t="str">
            <v>CALDAS</v>
          </cell>
          <cell r="AD91">
            <v>41519</v>
          </cell>
          <cell r="AE91">
            <v>12</v>
          </cell>
          <cell r="AF91">
            <v>0</v>
          </cell>
          <cell r="AG91">
            <v>288674346.89999998</v>
          </cell>
        </row>
        <row r="92">
          <cell r="A92" t="str">
            <v>PAF-ATF-097-2013</v>
          </cell>
          <cell r="B92" t="str">
            <v>OPTIMIZACIÓN RELLENO SANITARIO EL EDÉN DEL MUNICIPIO DE SAMANÁ</v>
          </cell>
          <cell r="C92">
            <v>708307979</v>
          </cell>
          <cell r="D92">
            <v>708307979</v>
          </cell>
          <cell r="E92">
            <v>0</v>
          </cell>
          <cell r="F92">
            <v>49581559</v>
          </cell>
          <cell r="G92">
            <v>49581559</v>
          </cell>
          <cell r="H92">
            <v>0</v>
          </cell>
          <cell r="I92">
            <v>0</v>
          </cell>
          <cell r="J92">
            <v>15157790.76</v>
          </cell>
          <cell r="K92">
            <v>15467133</v>
          </cell>
          <cell r="L92">
            <v>0</v>
          </cell>
          <cell r="M92">
            <v>41464</v>
          </cell>
          <cell r="N92" t="str">
            <v>Contrato No. 159 de 2013
CDP 137513
11 Nación</v>
          </cell>
          <cell r="O92" t="str">
            <v>Contrato No. 159 de 2013
CDP 137513
11 Nación</v>
          </cell>
          <cell r="P92">
            <v>0</v>
          </cell>
          <cell r="Q92" t="str">
            <v>GRUPO 11</v>
          </cell>
          <cell r="R92" t="str">
            <v xml:space="preserve">CONSORCIO CAAN
INGENIEROS CIVILES Y ASOCIADOS LIMITADA CASI LTDA
JHONN JAIRO ANDRADE SERRANO
</v>
          </cell>
          <cell r="S92">
            <v>900649725</v>
          </cell>
          <cell r="T92">
            <v>41509</v>
          </cell>
          <cell r="U92">
            <v>657164410</v>
          </cell>
          <cell r="V92">
            <v>657164410</v>
          </cell>
          <cell r="W92">
            <v>0</v>
          </cell>
          <cell r="X92">
            <v>49325752</v>
          </cell>
          <cell r="Y92">
            <v>49325752</v>
          </cell>
          <cell r="Z92">
            <v>0</v>
          </cell>
          <cell r="AA92">
            <v>0</v>
          </cell>
          <cell r="AB92" t="str">
            <v>SAMANA</v>
          </cell>
          <cell r="AC92" t="str">
            <v>CALDAS</v>
          </cell>
          <cell r="AD92">
            <v>41519</v>
          </cell>
          <cell r="AE92">
            <v>12</v>
          </cell>
          <cell r="AF92">
            <v>0</v>
          </cell>
          <cell r="AG92">
            <v>197149323</v>
          </cell>
        </row>
        <row r="93">
          <cell r="A93" t="str">
            <v>PAF-ATF-098-2013</v>
          </cell>
          <cell r="B93" t="str">
            <v>“CONSTRUCCIÓN, AMPLIACIÓN Y OPTIMIZACIÓN DEL SISTEMA DE ACUEDUCTO URBANO, MUNICIPIO DE CISNEROS”</v>
          </cell>
          <cell r="C93">
            <v>2530989988</v>
          </cell>
          <cell r="D93">
            <v>2530989988</v>
          </cell>
          <cell r="E93">
            <v>0</v>
          </cell>
          <cell r="F93">
            <v>202479199</v>
          </cell>
          <cell r="G93">
            <v>202479199</v>
          </cell>
          <cell r="H93">
            <v>0</v>
          </cell>
          <cell r="I93">
            <v>0</v>
          </cell>
          <cell r="J93">
            <v>54669383.740000002</v>
          </cell>
          <cell r="K93">
            <v>57548351</v>
          </cell>
          <cell r="L93">
            <v>0</v>
          </cell>
          <cell r="M93">
            <v>41467</v>
          </cell>
          <cell r="N93" t="str">
            <v>Contrato No. 159 de 2013
CDP 155913
11 Nación</v>
          </cell>
          <cell r="O93" t="str">
            <v>Contrato No. 159 de 2013
CDP 155913
11 Nación</v>
          </cell>
          <cell r="P93">
            <v>0</v>
          </cell>
          <cell r="Q93" t="str">
            <v>GRUPO 12</v>
          </cell>
          <cell r="R93" t="str">
            <v>CONSORCIO ACUEDUCTO MUNICIPIO DE CISNEROS</v>
          </cell>
          <cell r="S93">
            <v>900654141</v>
          </cell>
          <cell r="T93">
            <v>41522</v>
          </cell>
          <cell r="U93">
            <v>2376790278</v>
          </cell>
          <cell r="V93">
            <v>2376790278</v>
          </cell>
          <cell r="W93">
            <v>0</v>
          </cell>
          <cell r="X93">
            <v>192756852</v>
          </cell>
          <cell r="Y93">
            <v>192756852</v>
          </cell>
          <cell r="Z93">
            <v>0</v>
          </cell>
          <cell r="AA93">
            <v>0</v>
          </cell>
          <cell r="AB93" t="str">
            <v>CISNEROS</v>
          </cell>
          <cell r="AC93" t="str">
            <v>ANTIOQUIA</v>
          </cell>
          <cell r="AD93">
            <v>41530</v>
          </cell>
          <cell r="AE93">
            <v>7</v>
          </cell>
          <cell r="AF93">
            <v>0</v>
          </cell>
          <cell r="AG93">
            <v>713037083.39999998</v>
          </cell>
        </row>
        <row r="94">
          <cell r="A94" t="str">
            <v>PAF-ATF-100-2013</v>
          </cell>
          <cell r="B94" t="str">
            <v>“REHABILITACIÓN DEL SISTEMA DE BOMBEO DE LOS POZOS NUMERO UNO Y DOS DEL SISTEMA DE ACUEDUCTO DEL MUNICIPIO DE ARIGUANÍ”</v>
          </cell>
          <cell r="C94">
            <v>204463749</v>
          </cell>
          <cell r="D94">
            <v>204463749</v>
          </cell>
          <cell r="E94">
            <v>0</v>
          </cell>
          <cell r="F94">
            <v>14312463</v>
          </cell>
          <cell r="G94">
            <v>14312463</v>
          </cell>
          <cell r="H94">
            <v>0</v>
          </cell>
          <cell r="I94">
            <v>0</v>
          </cell>
          <cell r="J94">
            <v>4375524.24</v>
          </cell>
          <cell r="K94">
            <v>4464821</v>
          </cell>
          <cell r="L94">
            <v>0</v>
          </cell>
          <cell r="M94">
            <v>41487</v>
          </cell>
          <cell r="N94" t="str">
            <v>Contrato No. 159 de 2013
CDP 155913
11 Nación</v>
          </cell>
          <cell r="O94" t="str">
            <v>Contrato No. 159 de 2013
CDP 155913
11 Nación</v>
          </cell>
          <cell r="P94">
            <v>0</v>
          </cell>
          <cell r="Q94" t="str">
            <v>GRUPO 13</v>
          </cell>
          <cell r="R94" t="str">
            <v>CONSTRUCCIONES INCO S.A.S.</v>
          </cell>
          <cell r="S94">
            <v>806008712</v>
          </cell>
          <cell r="T94">
            <v>41200</v>
          </cell>
          <cell r="U94">
            <v>199302163</v>
          </cell>
          <cell r="V94">
            <v>199302163</v>
          </cell>
          <cell r="W94">
            <v>0</v>
          </cell>
          <cell r="X94">
            <v>14050500</v>
          </cell>
          <cell r="Y94">
            <v>14050500</v>
          </cell>
          <cell r="Z94">
            <v>0</v>
          </cell>
          <cell r="AA94">
            <v>0</v>
          </cell>
          <cell r="AB94" t="str">
            <v>ARIGUANI</v>
          </cell>
          <cell r="AC94" t="str">
            <v>MAGDALENA</v>
          </cell>
          <cell r="AD94">
            <v>41590</v>
          </cell>
          <cell r="AE94">
            <v>1</v>
          </cell>
          <cell r="AF94">
            <v>0</v>
          </cell>
          <cell r="AG94">
            <v>0</v>
          </cell>
        </row>
        <row r="95">
          <cell r="A95" t="str">
            <v>PAF-ATF-101-2013</v>
          </cell>
          <cell r="B95" t="str">
            <v>AMPLIACIÓN DEL RELLENO SANITARIO DEL MUNICIPIO DE MÁLAGA”</v>
          </cell>
          <cell r="C95">
            <v>1310069787</v>
          </cell>
          <cell r="D95">
            <v>1310069787</v>
          </cell>
          <cell r="E95">
            <v>0</v>
          </cell>
          <cell r="F95">
            <v>131006979</v>
          </cell>
          <cell r="G95">
            <v>131006979</v>
          </cell>
          <cell r="H95">
            <v>0</v>
          </cell>
          <cell r="I95">
            <v>0</v>
          </cell>
          <cell r="J95">
            <v>28821535.32</v>
          </cell>
          <cell r="K95">
            <v>33641535</v>
          </cell>
          <cell r="L95">
            <v>0</v>
          </cell>
          <cell r="M95">
            <v>41487</v>
          </cell>
          <cell r="N95" t="str">
            <v>Contrato No. 159 de 2013
CDP 137513
11 Nación</v>
          </cell>
          <cell r="O95" t="str">
            <v>Contrato No. 159 de 2013
CDP 137513
11 Nación</v>
          </cell>
          <cell r="P95">
            <v>0</v>
          </cell>
          <cell r="Q95" t="str">
            <v>GRUPO 13</v>
          </cell>
          <cell r="R95" t="str">
            <v>INGENIERO CARLOS MANRIQUE SAAVEDRA</v>
          </cell>
          <cell r="S95">
            <v>12130133</v>
          </cell>
          <cell r="T95">
            <v>41522</v>
          </cell>
          <cell r="U95">
            <v>1260787500</v>
          </cell>
          <cell r="V95">
            <v>1260787500</v>
          </cell>
          <cell r="W95">
            <v>0</v>
          </cell>
          <cell r="X95">
            <v>124691532</v>
          </cell>
          <cell r="Y95">
            <v>124691532</v>
          </cell>
          <cell r="Z95">
            <v>0</v>
          </cell>
          <cell r="AA95">
            <v>0</v>
          </cell>
          <cell r="AB95" t="str">
            <v>MALAGA</v>
          </cell>
          <cell r="AC95" t="str">
            <v>SANTANDER</v>
          </cell>
          <cell r="AD95">
            <v>41530</v>
          </cell>
          <cell r="AE95">
            <v>5</v>
          </cell>
          <cell r="AF95">
            <v>0</v>
          </cell>
          <cell r="AG95">
            <v>0</v>
          </cell>
        </row>
        <row r="96">
          <cell r="A96" t="str">
            <v>PAF-ATF-103-2013</v>
          </cell>
          <cell r="B96" t="str">
            <v>“CONSTRUCCION DEL SISTEMA DE ALCANTARILLADO SANITARIO DEL DISTRITO No. 4 (INCLUYE ESTACION DE BOMBEO Y REDES SECUNDARIAS)”</v>
          </cell>
          <cell r="C96">
            <v>25920090921</v>
          </cell>
          <cell r="D96">
            <v>11572440312</v>
          </cell>
          <cell r="E96">
            <v>14347650609</v>
          </cell>
          <cell r="F96">
            <v>1897839332</v>
          </cell>
          <cell r="G96">
            <v>1897839332</v>
          </cell>
          <cell r="H96">
            <v>0</v>
          </cell>
          <cell r="I96">
            <v>0</v>
          </cell>
          <cell r="J96">
            <v>556358605.06000006</v>
          </cell>
          <cell r="K96">
            <v>567900035</v>
          </cell>
          <cell r="L96">
            <v>0</v>
          </cell>
          <cell r="M96">
            <v>41487</v>
          </cell>
          <cell r="N96" t="str">
            <v>Contrato No. 159 de 2013
CDP 155913
11 Nación</v>
          </cell>
          <cell r="O96" t="str">
            <v>Contrato No. 159 de 2013
CDP 155913
11 Nación</v>
          </cell>
          <cell r="P96">
            <v>0</v>
          </cell>
          <cell r="Q96" t="str">
            <v>GRUPO 15</v>
          </cell>
          <cell r="R96" t="str">
            <v>INGEMAS S.A.</v>
          </cell>
          <cell r="S96" t="str">
            <v>A33613308</v>
          </cell>
          <cell r="T96">
            <v>41600</v>
          </cell>
          <cell r="U96">
            <v>24637944872</v>
          </cell>
          <cell r="V96">
            <v>10290294263</v>
          </cell>
          <cell r="W96">
            <v>14347650609</v>
          </cell>
          <cell r="X96">
            <v>0</v>
          </cell>
          <cell r="Y96">
            <v>0</v>
          </cell>
          <cell r="Z96">
            <v>0</v>
          </cell>
          <cell r="AA96">
            <v>0</v>
          </cell>
          <cell r="AB96" t="str">
            <v>SAN ANDRES</v>
          </cell>
          <cell r="AC96" t="str">
            <v>SAN ANDRES</v>
          </cell>
          <cell r="AD96">
            <v>0</v>
          </cell>
          <cell r="AE96">
            <v>0</v>
          </cell>
          <cell r="AF96">
            <v>0</v>
          </cell>
          <cell r="AG96">
            <v>0</v>
          </cell>
        </row>
        <row r="97">
          <cell r="A97">
            <v>0</v>
          </cell>
          <cell r="B97">
            <v>0</v>
          </cell>
          <cell r="C97">
            <v>829645077870</v>
          </cell>
          <cell r="D97">
            <v>702343817902</v>
          </cell>
          <cell r="E97">
            <v>69332841140</v>
          </cell>
          <cell r="F97">
            <v>51333721180.080002</v>
          </cell>
          <cell r="G97">
            <v>49636850660.080002</v>
          </cell>
          <cell r="H97">
            <v>1696870519</v>
          </cell>
          <cell r="I97" t="e">
            <v>#VALUE!</v>
          </cell>
          <cell r="J97">
            <v>0</v>
          </cell>
          <cell r="K97">
            <v>16285027233.98</v>
          </cell>
          <cell r="L97">
            <v>40000000</v>
          </cell>
          <cell r="M97">
            <v>3387970</v>
          </cell>
          <cell r="N97" t="e">
            <v>#VALUE!</v>
          </cell>
          <cell r="O97" t="e">
            <v>#VALUE!</v>
          </cell>
          <cell r="P97" t="e">
            <v>#VALUE!</v>
          </cell>
          <cell r="Q97" t="e">
            <v>#VALUE!</v>
          </cell>
          <cell r="R97" t="e">
            <v>#VALUE!</v>
          </cell>
          <cell r="S97">
            <v>0</v>
          </cell>
          <cell r="T97" t="e">
            <v>#VALUE!</v>
          </cell>
          <cell r="U97">
            <v>722723336554</v>
          </cell>
          <cell r="V97">
            <v>656852815324</v>
          </cell>
          <cell r="W97">
            <v>69332841140</v>
          </cell>
          <cell r="X97">
            <v>48722070238.800003</v>
          </cell>
          <cell r="Y97">
            <v>47030143997.800003</v>
          </cell>
          <cell r="Z97">
            <v>807229101</v>
          </cell>
          <cell r="AA97">
            <v>40000000</v>
          </cell>
          <cell r="AB97">
            <v>0</v>
          </cell>
          <cell r="AC97">
            <v>0</v>
          </cell>
          <cell r="AD97">
            <v>3518119</v>
          </cell>
          <cell r="AE97">
            <v>928</v>
          </cell>
          <cell r="AF97">
            <v>41443</v>
          </cell>
          <cell r="AG97">
            <v>216735447773.09991</v>
          </cell>
        </row>
        <row r="98">
          <cell r="C98">
            <v>829645077870</v>
          </cell>
          <cell r="D98">
            <v>763534556652</v>
          </cell>
          <cell r="E98">
            <v>66110521230</v>
          </cell>
          <cell r="F98">
            <v>56176180920.040001</v>
          </cell>
          <cell r="G98">
            <v>54479310400.040001</v>
          </cell>
          <cell r="H98">
            <v>1696870519</v>
          </cell>
          <cell r="I98">
            <v>0</v>
          </cell>
          <cell r="J98">
            <v>17037136199.440001</v>
          </cell>
          <cell r="K98">
            <v>40000000</v>
          </cell>
          <cell r="S98">
            <v>723712280077</v>
          </cell>
          <cell r="T98">
            <v>657601758847</v>
          </cell>
          <cell r="U98">
            <v>66110521230</v>
          </cell>
          <cell r="V98">
            <v>48722070238.800003</v>
          </cell>
          <cell r="W98">
            <v>47030143997.800003</v>
          </cell>
          <cell r="X98">
            <v>1691926241</v>
          </cell>
          <cell r="Y98">
            <v>40000000</v>
          </cell>
          <cell r="AE98">
            <v>216735447773.09991</v>
          </cell>
          <cell r="AF98">
            <v>169333026044.60001</v>
          </cell>
        </row>
      </sheetData>
      <sheetData sheetId="46"/>
      <sheetData sheetId="47"/>
      <sheetData sheetId="48"/>
      <sheetData sheetId="49"/>
      <sheetData sheetId="50" refreshError="1"/>
      <sheetData sheetId="51"/>
      <sheetData sheetId="5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trapartidas"/>
      <sheetName val="Contrato 036"/>
      <sheetName val="Contrato 159"/>
      <sheetName val="CONVOCATORIA GRUPO 1"/>
      <sheetName val="INTERAGUAS"/>
      <sheetName val="CONVOCATORIA GRUPO 2"/>
      <sheetName val="IEH GRUCON S.A."/>
      <sheetName val="HMV INGENIEROS LTDA"/>
      <sheetName val="CONVOCATORIA GRUPO 3"/>
      <sheetName val="CONSORCIO PROSPERIDAD"/>
      <sheetName val="CONVOCATORIA GRUPO 4"/>
      <sheetName val="CONVOCATORIA GRUPO 1A"/>
      <sheetName val="CONVOCATORIA GRUPO 5"/>
      <sheetName val="AGUAS DE COLOMBIA S.A."/>
      <sheetName val="CONVOCATORIA GRUPO 6"/>
      <sheetName val="CONSORCIO MAB-GIS"/>
      <sheetName val="CONVOCATORIA GRUPO 7"/>
      <sheetName val="CONSORCIO ACUEDUCTO Y SANEA"/>
      <sheetName val="CONVOCATORIA GRUPO 8"/>
      <sheetName val="UT SAN ISIDRO ZONA 2"/>
      <sheetName val="CONVOCATORIA GRUPO 9"/>
      <sheetName val="CONSORCIO HICON"/>
      <sheetName val="CONVOCATORIA GRUPO 10"/>
      <sheetName val="CONSORCIO EHSB"/>
      <sheetName val="CONVOCATORIA GRUPO 11"/>
      <sheetName val="CONTRATO FIRMADO"/>
      <sheetName val="Resumen 159 Original"/>
      <sheetName val="R. Contrato 036 Original"/>
      <sheetName val="FC MAYO (036)"/>
      <sheetName val="FC MAYO (159)"/>
      <sheetName val="FCaja Proyectado Contrato 036"/>
      <sheetName val="FCaja Proyectado Contrato 159"/>
      <sheetName val="CONVOCATORIA GRUPO 12"/>
      <sheetName val="CONVOCATORIA GRUPO 13"/>
      <sheetName val="Hoja3"/>
      <sheetName val="Resumen 036 Junio 12"/>
      <sheetName val="Resumen 159 Junio 12"/>
      <sheetName val="CONVOCATORIA GRUPO 15"/>
      <sheetName val="INTERV GRUPO 15"/>
      <sheetName val="PAGOS OBRA"/>
      <sheetName val="FIN EJEC. INTEGRAL"/>
      <sheetName val="TDR"/>
      <sheetName val="PAGOS INTERVENTORIA"/>
      <sheetName val="FACTURA FIND OBRA"/>
      <sheetName val="FACTURA FIND INTERV"/>
      <sheetName val="CONSOLIDADO"/>
      <sheetName val="INFORME MINISTERIO"/>
      <sheetName val="SEGUIMIENTO PN-PJ"/>
      <sheetName val="Hoja2"/>
      <sheetName val="SIMULACIÓN SEGUIMIENTO"/>
      <sheetName val="Hoja4"/>
      <sheetName val="TDR - EJEC INT"/>
      <sheetName val="Hoja1"/>
      <sheetName val="SEGUIMIENTO 159"/>
      <sheetName val="SEGUIMIENTO 03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row r="3">
          <cell r="A3" t="str">
            <v>CONVOCATORIA</v>
          </cell>
          <cell r="B3" t="str">
            <v>FUENTE DE RECURSOS</v>
          </cell>
        </row>
        <row r="4">
          <cell r="A4" t="str">
            <v>PAF-ATF-001-2012</v>
          </cell>
          <cell r="B4" t="str">
            <v>Contrato No. 036 de 2012
CDP 274712
11 Recursos del Tesoro</v>
          </cell>
        </row>
        <row r="5">
          <cell r="A5" t="str">
            <v>PAF-ATF-002-2012</v>
          </cell>
          <cell r="B5" t="str">
            <v>Contrato No. 036 de 2012
CDP 1413                                                                                                                                                                                                                                                                                                          Vigencias Futuras 2013</v>
          </cell>
        </row>
        <row r="6">
          <cell r="A6" t="str">
            <v>PAF-ATF-003-2012
PAF-ATF-041-2012</v>
          </cell>
          <cell r="B6" t="str">
            <v>Contrato No. 036 de 2012 
CDP 274712
10 Recursos Corrientes</v>
          </cell>
        </row>
        <row r="7">
          <cell r="A7" t="str">
            <v>PAF-ATF-004-2012</v>
          </cell>
          <cell r="B7" t="str">
            <v>Contrato No. 036 de 2012
CDP 274712
11 Recursos del Tesoro</v>
          </cell>
        </row>
        <row r="8">
          <cell r="A8" t="str">
            <v>PAF-ATF-005-2012</v>
          </cell>
          <cell r="B8" t="str">
            <v>Contrato No. 036 de 2012
CDP 274712
11 Recursos del Tesoro</v>
          </cell>
        </row>
        <row r="9">
          <cell r="A9" t="str">
            <v>PAF-ATF-006-2012</v>
          </cell>
          <cell r="B9" t="str">
            <v>Contrato No. 036 de 2012
CDP 1413                                                                                                                                                                                                                                                                                                         
 Vigencias Futuras 2013</v>
          </cell>
        </row>
        <row r="10">
          <cell r="A10" t="str">
            <v>PAF-ATF-007-2012</v>
          </cell>
          <cell r="B10" t="str">
            <v>Contrato No. 036 de 2012
CDP 1413                                                                                                                                                                                                                                                                                                          
Vigencias Futuras 2013</v>
          </cell>
        </row>
        <row r="11">
          <cell r="A11" t="str">
            <v>PAF-ATF-008-2012</v>
          </cell>
          <cell r="B11" t="str">
            <v>Contrato No. 036 de 2012
CDP 274712
16 Fondos Especiales</v>
          </cell>
        </row>
        <row r="12">
          <cell r="A12" t="str">
            <v>PAF-ATF-PJ-006
SIN NUMERO</v>
          </cell>
          <cell r="B12">
            <v>0</v>
          </cell>
        </row>
        <row r="13">
          <cell r="A13" t="str">
            <v>PAF-ATF-009-2012</v>
          </cell>
          <cell r="B13" t="str">
            <v>Contrato No. 036 de 2012
CDP 274712
16 Fondos Especiales</v>
          </cell>
        </row>
        <row r="14">
          <cell r="A14" t="str">
            <v>PAF-ATF-010-2012</v>
          </cell>
          <cell r="B14" t="str">
            <v>Contrato No. 036 de 2012 
CDP 274712
10 Recursos Corrientes</v>
          </cell>
        </row>
        <row r="15">
          <cell r="A15" t="str">
            <v>PAF-ATF-011-2012</v>
          </cell>
          <cell r="B15" t="str">
            <v>Contrato No. 036 de 2012
CDP 274712
16 Fondos Especiales</v>
          </cell>
        </row>
        <row r="16">
          <cell r="A16" t="str">
            <v>PAF-ATF-012-2012</v>
          </cell>
          <cell r="B16" t="str">
            <v>Contrato No. 036 de 2012 
CDP 274712
10 Recursos Corrientes</v>
          </cell>
        </row>
        <row r="17">
          <cell r="A17" t="str">
            <v>PAF-ATF-013-2012</v>
          </cell>
          <cell r="B17" t="str">
            <v>Contrato No. 036 de 2012
CDP 274712
16 Fondos Especiales</v>
          </cell>
        </row>
        <row r="18">
          <cell r="A18" t="str">
            <v>PAF-ATF-014-2012</v>
          </cell>
          <cell r="B18" t="str">
            <v>Contrato No. 036 de 2012
CDP 274712
16 Fondos Especiales</v>
          </cell>
        </row>
        <row r="19">
          <cell r="A19" t="str">
            <v>PAF-ATF-015-2012</v>
          </cell>
          <cell r="B19" t="str">
            <v>Contrato No. 036 de 2012 
CDP 274712
10 Recursos Corrientes</v>
          </cell>
        </row>
        <row r="20">
          <cell r="A20" t="str">
            <v>PAF-ATF-016-2012</v>
          </cell>
          <cell r="B20" t="str">
            <v>Contrato No. 036 de 2012
CDP 274712
16 Fondos Especiales</v>
          </cell>
        </row>
        <row r="21">
          <cell r="A21" t="str">
            <v>PAF-ATF-017-2012
PAF-ATF-039-2013
PAF-ATF-075-2013
PAF-ATF-087-2013
PAF-ATF-099-2013</v>
          </cell>
          <cell r="B21" t="str">
            <v>Contrato No. 036 de 2012
CDP 274712
16 Fondos Especiales</v>
          </cell>
        </row>
        <row r="22">
          <cell r="A22" t="str">
            <v>PAF-ATF-018-2012
PAF-ATF-040-2012</v>
          </cell>
          <cell r="B22" t="str">
            <v>Contrato No. 036 de 2012
CDP 274712
16 Fondos Especiales</v>
          </cell>
        </row>
        <row r="23">
          <cell r="A23" t="str">
            <v>PAF-ATF-019-2012</v>
          </cell>
          <cell r="B23" t="str">
            <v>Contrato No. 036 de 2012
CDP 274712
16 Fondos Especiales</v>
          </cell>
        </row>
        <row r="24">
          <cell r="A24" t="str">
            <v>PAF-ATF-020-2012</v>
          </cell>
          <cell r="B24" t="str">
            <v>Contrato No. 036 de 2012
CDP 274712
16 Fondos Especiales</v>
          </cell>
        </row>
        <row r="25">
          <cell r="A25" t="str">
            <v>PAF-ATF-021-2012</v>
          </cell>
          <cell r="B25" t="str">
            <v>Contrato No. 036 de 2012
CDP 274712
16 Fondos Especiales</v>
          </cell>
        </row>
        <row r="26">
          <cell r="A26" t="str">
            <v>PAF-ATF-022-2012</v>
          </cell>
          <cell r="B26" t="str">
            <v>Contrato No. 036 de 2012
CDP 274712
16 Fondos Especiales</v>
          </cell>
        </row>
        <row r="27">
          <cell r="A27" t="str">
            <v>PAF-ATF-023-2012</v>
          </cell>
          <cell r="B27" t="str">
            <v>Contrato No. 036 de 2012
CDP 304012
11 Nación</v>
          </cell>
        </row>
        <row r="28">
          <cell r="A28" t="str">
            <v>PAF-ATF-024-2012</v>
          </cell>
          <cell r="B28" t="str">
            <v>Contrato No. 036 de 2012
CDP 274712
16 Fondos Especiales</v>
          </cell>
        </row>
        <row r="29">
          <cell r="A29" t="str">
            <v>PAF-ATF-025-2012</v>
          </cell>
          <cell r="B29" t="str">
            <v>Contrato No. 036 de 2012
CDP 274712
16 Fondos Especiales</v>
          </cell>
        </row>
        <row r="30">
          <cell r="A30" t="str">
            <v>PAF-ATF-026-2012</v>
          </cell>
          <cell r="B30" t="str">
            <v xml:space="preserve">CDP 235012                                                                                                                                                                                                                                                                                                                       NACIÓN 11                                                                                                                                                                                                                                                                                                              PRESUPUESTO ANUAL DE GASTOS E INVERSIONES DEL MUNICIPIO                                                                                                                                                </v>
          </cell>
        </row>
        <row r="31">
          <cell r="A31" t="str">
            <v>PAF-ATF-027-2012</v>
          </cell>
          <cell r="B31" t="str">
            <v>Contrato No. 036 de 2012
CDP 304012
11 Nación</v>
          </cell>
        </row>
        <row r="32">
          <cell r="A32" t="str">
            <v>PAF-ATF-028-2012</v>
          </cell>
          <cell r="B32" t="str">
            <v>Contrato No. 036 de 2012
CDP 290212
11 Recursos del Tesoro</v>
          </cell>
        </row>
        <row r="33">
          <cell r="A33" t="str">
            <v>PAF-ATF-029-2012
PAF-ATF-076-2013</v>
          </cell>
          <cell r="B33" t="str">
            <v>Contrato No. 036 de 2012
CDP 1413                                                                                                                                                                                                                                                                                                         
 Vigencias Futuras 2013</v>
          </cell>
        </row>
        <row r="34">
          <cell r="A34" t="str">
            <v>PAF-ATF-030-2012</v>
          </cell>
          <cell r="B34" t="str">
            <v>Contrato No. 036 de 2012 
CDP 274712
10 Recursos Corrientes</v>
          </cell>
        </row>
        <row r="35">
          <cell r="A35" t="str">
            <v>PAF-ATF-031-2012</v>
          </cell>
          <cell r="B35" t="str">
            <v>Contrato No. 036 de 2012 
CDP 274712
10 Recursos Corrientes</v>
          </cell>
        </row>
        <row r="36">
          <cell r="A36" t="str">
            <v>PAF-ATF-032-2012</v>
          </cell>
          <cell r="B36" t="str">
            <v>Contrato No. 036 de 2012 
CDP 274712
10 Recursos Corrientes</v>
          </cell>
        </row>
        <row r="37">
          <cell r="A37" t="str">
            <v>PAF-ATF-033-2012
PAF-ATF-074-2013</v>
          </cell>
          <cell r="B37" t="str">
            <v>Contrato No. 036 de 2012
CDP 274712
11 Recursos del Tesoro</v>
          </cell>
        </row>
        <row r="38">
          <cell r="A38" t="str">
            <v>PAF-ATF-034-2012</v>
          </cell>
          <cell r="B38" t="str">
            <v>Contrato No. 036 de 2012 
CDP 274712
10 Recursos Corrientes</v>
          </cell>
        </row>
        <row r="39">
          <cell r="A39" t="str">
            <v>PAF-ATF-035-2012***</v>
          </cell>
          <cell r="B39" t="str">
            <v>Contrato No. 036 de 2012
CDP 274712
16 Fondos Especiales</v>
          </cell>
        </row>
        <row r="40">
          <cell r="A40" t="str">
            <v>PAF-ATF-036-2012</v>
          </cell>
          <cell r="B40" t="str">
            <v>Contrato No. 036 de 2012
CDP 274712
16 Fondos Especiales</v>
          </cell>
        </row>
        <row r="41">
          <cell r="A41" t="str">
            <v>PAF-ATF-037-2012</v>
          </cell>
          <cell r="B41" t="str">
            <v>Contrato No. 036 de 2012
CDP 274712
16 Fondos Especiales</v>
          </cell>
        </row>
        <row r="42">
          <cell r="A42" t="str">
            <v>PAF-ATF-038-2012</v>
          </cell>
          <cell r="B42" t="str">
            <v>Contrato No. 036 de 2012 
CDP 274712
10 Recursos Corrientes</v>
          </cell>
        </row>
        <row r="43">
          <cell r="A43" t="str">
            <v>PAF-ATF-042-2013</v>
          </cell>
          <cell r="B43" t="str">
            <v>Contrato No. 159 de 2013
CDP 22813
11 Recursos del Tesoro</v>
          </cell>
        </row>
        <row r="44">
          <cell r="A44" t="str">
            <v>PAF-ATF-043-2013</v>
          </cell>
          <cell r="B44" t="str">
            <v>Contrato No. 159 de 2013
CDP 22813
11 Recursos del Tesoro</v>
          </cell>
        </row>
        <row r="45">
          <cell r="A45" t="str">
            <v>PAF-ATF-044-2013</v>
          </cell>
          <cell r="B45" t="str">
            <v>Contrato No. 159 de 2013
CDP 22813
11 Recursos del Tesoro</v>
          </cell>
        </row>
        <row r="46">
          <cell r="A46" t="str">
            <v>PAF-ATF-045-2013</v>
          </cell>
          <cell r="B46" t="str">
            <v>Contrato No. 159 de 2013
CDP 22813
11 Recursos del Tesoro</v>
          </cell>
        </row>
        <row r="47">
          <cell r="A47" t="str">
            <v>PAF-ATF-046-2013</v>
          </cell>
          <cell r="B47" t="str">
            <v>Contrato No. 036 de 2012 
CDP 274712
10 Recursos Corrientes</v>
          </cell>
        </row>
        <row r="48">
          <cell r="A48" t="str">
            <v>PAF-ATF-047-2013</v>
          </cell>
          <cell r="B48" t="str">
            <v>Contrato No. 159 de 2013
CDP 22813
11 Recursos del Tesoro</v>
          </cell>
        </row>
        <row r="49">
          <cell r="A49" t="str">
            <v>PAF-ATF-048-2013</v>
          </cell>
          <cell r="B49" t="str">
            <v>Contrato No. 159 de 2013
CDP 22813
11 Recursos del Tesoro</v>
          </cell>
        </row>
        <row r="50">
          <cell r="A50" t="str">
            <v>PAF-ATF-049-2013</v>
          </cell>
          <cell r="B50" t="str">
            <v>Contrato No. 159 de 2013
CDP 22813
11 Recursos del Tesoro</v>
          </cell>
        </row>
        <row r="51">
          <cell r="A51" t="str">
            <v>PAF-ATF-050-2013</v>
          </cell>
          <cell r="B51" t="str">
            <v>Contrato No. 036 de 2012
CDP 274712
16 Fondos Especiales</v>
          </cell>
        </row>
        <row r="52">
          <cell r="A52" t="str">
            <v>PAF-ATF-051-2013</v>
          </cell>
          <cell r="B52" t="str">
            <v>Contrato No. 036 de 2012
CDP 274712
16 Fondos Especiales</v>
          </cell>
        </row>
        <row r="53">
          <cell r="A53" t="str">
            <v>PAF-ATF-052-2013</v>
          </cell>
          <cell r="B53" t="str">
            <v>Contrato No. 159 de 2013
CDP 22813
11 Recursos del Tesoro</v>
          </cell>
        </row>
        <row r="54">
          <cell r="A54" t="str">
            <v>PAF-ATF-053-2013
PAF-ATF-102-2013</v>
          </cell>
          <cell r="B54" t="str">
            <v>Contrato No. 159 de 2013
CDP 22813
11 Recursos del Tesoro</v>
          </cell>
        </row>
        <row r="55">
          <cell r="A55" t="str">
            <v>PAF-ATF-054-2013</v>
          </cell>
          <cell r="B55" t="str">
            <v>Contrato No. 159 de 2013
CDP 22813
11 Recursos del Tesoro</v>
          </cell>
        </row>
        <row r="56">
          <cell r="A56" t="str">
            <v>PAF-ATF-055-2013</v>
          </cell>
          <cell r="B56" t="str">
            <v>Contrato No. 159 de 2013
CDP 22813
11 Recursos del Tesoro</v>
          </cell>
        </row>
        <row r="57">
          <cell r="A57" t="str">
            <v>PAF-ATF-056-2013</v>
          </cell>
          <cell r="B57" t="str">
            <v>Contrato No. 036 de 2012 
CDP 274712
10 Recursos Corrientes</v>
          </cell>
        </row>
        <row r="58">
          <cell r="A58" t="str">
            <v>PAF-ATF-057-2013</v>
          </cell>
          <cell r="B58" t="str">
            <v>Contrato No. 036 de 2012 
CDP 274712
10 Recursos Corrientes</v>
          </cell>
        </row>
        <row r="59">
          <cell r="A59" t="str">
            <v>PAF-ATF-058-2013</v>
          </cell>
          <cell r="B59" t="str">
            <v>Contrato No. 036 de 2012
CDP 274712
16 Fondos Especiales</v>
          </cell>
        </row>
        <row r="60">
          <cell r="A60" t="str">
            <v>PAF-ATF-059-2013</v>
          </cell>
          <cell r="B60" t="str">
            <v>Contrato No. 159 de 2013
CDP 22813
11 Recursos del Tesoro</v>
          </cell>
        </row>
        <row r="61">
          <cell r="A61" t="str">
            <v>PAF-ATF-060-2013</v>
          </cell>
          <cell r="B61" t="str">
            <v>Contrato No. 159 de 2013
CDP 22813
11 Recursos del Tesoro</v>
          </cell>
        </row>
        <row r="62">
          <cell r="A62" t="str">
            <v>PAF-ATF-061-2013</v>
          </cell>
          <cell r="B62" t="str">
            <v>Contrato No. 036 de 2012
CDP 274712
16 Fondos Especiales</v>
          </cell>
        </row>
        <row r="63">
          <cell r="A63" t="str">
            <v>PAF-ATF-062-2013</v>
          </cell>
          <cell r="B63" t="str">
            <v>Contrato No. 159 de 2013
CDP 22813
11 Recursos del Tesoro</v>
          </cell>
        </row>
        <row r="64">
          <cell r="A64" t="str">
            <v>PAF-ATF-063-2013</v>
          </cell>
          <cell r="B64" t="str">
            <v>Contrato No. 159 de 2013
CDP 22813
11 Recursos del Tesoro</v>
          </cell>
        </row>
        <row r="65">
          <cell r="A65" t="str">
            <v>PAF-ATF-064-2013</v>
          </cell>
          <cell r="B65" t="str">
            <v>Contrato No. 159 de 2013
CDP 22813
11 Recursos del Tesoro</v>
          </cell>
        </row>
        <row r="66">
          <cell r="A66" t="str">
            <v>PAF-ATF-065-2013</v>
          </cell>
          <cell r="B66" t="str">
            <v>Contrato No. 159 de 2013
CDP 22813
11 Recursos del Tesoro</v>
          </cell>
        </row>
        <row r="67">
          <cell r="A67" t="str">
            <v>PAF-ATF-066-2013</v>
          </cell>
          <cell r="B67" t="str">
            <v>Contrato No. 159 de 2013
CDP 22813
11 Recursos del Tesoro</v>
          </cell>
        </row>
        <row r="68">
          <cell r="A68" t="str">
            <v>PAF-ATF-067-2013</v>
          </cell>
          <cell r="B68" t="str">
            <v>Contrato No. 159 de 2013
CDP 22813
11 Recursos del Tesoro</v>
          </cell>
        </row>
        <row r="69">
          <cell r="A69" t="str">
            <v>PAF-ATF-069-2013</v>
          </cell>
          <cell r="B69" t="str">
            <v>Contrato No. 036 de 2012 
CDP 274712
10 Recursos Corrientes</v>
          </cell>
        </row>
        <row r="70">
          <cell r="A70" t="str">
            <v>PAF-ATF-070-2013</v>
          </cell>
          <cell r="B70" t="str">
            <v>Contrato No. 159 de 2013
CDP 22813
16 Fondos Especiales</v>
          </cell>
        </row>
        <row r="71">
          <cell r="A71" t="str">
            <v>PAF-ATF-071-2013</v>
          </cell>
          <cell r="B71" t="str">
            <v>Contrato No. 159 de 2013
CDP 22813
16 Fondos Especiales</v>
          </cell>
        </row>
        <row r="72">
          <cell r="A72" t="str">
            <v>PAF-ATF-072-2013</v>
          </cell>
          <cell r="B72" t="str">
            <v>Contrato No. 159 de 2013
CDP 22813
16 Fondos Especiales</v>
          </cell>
        </row>
        <row r="73">
          <cell r="A73" t="str">
            <v>PAF-ATF-073-2013</v>
          </cell>
          <cell r="B73" t="str">
            <v xml:space="preserve">CDP 152012  
SEGUN MAIL REMITIDO DEL MVCT                                                                                                                                                                                                                                                 </v>
          </cell>
        </row>
        <row r="74">
          <cell r="A74" t="str">
            <v>PAF-ATF-077-2013</v>
          </cell>
          <cell r="B74" t="str">
            <v>Contrato No. 036 de 2012
CDP 274712
16 Fondos Especiales</v>
          </cell>
        </row>
        <row r="75">
          <cell r="A75" t="str">
            <v>PAF-ATF-078-2013</v>
          </cell>
          <cell r="B75" t="str">
            <v>Contrato No. 159 de 2013
CDP 22813
16 Fondos Especiales</v>
          </cell>
        </row>
        <row r="76">
          <cell r="A76" t="str">
            <v>PAF-ATF-079-2013</v>
          </cell>
          <cell r="B76" t="str">
            <v>Contrato No. 159 de 2013
CDP 22813
16 Fondos Especiales</v>
          </cell>
        </row>
        <row r="77">
          <cell r="A77" t="str">
            <v>PAF-ATF-080-2013</v>
          </cell>
          <cell r="B77" t="str">
            <v>Contrato No. 159 de 2013
CDP 22813
16 Fondos Especiales</v>
          </cell>
        </row>
        <row r="78">
          <cell r="A78" t="str">
            <v>PAF-ATF-081-2013</v>
          </cell>
          <cell r="B78" t="str">
            <v>Contrato No. 159 de 2013
CDP 22813
16 Fondos Especiales</v>
          </cell>
        </row>
        <row r="79">
          <cell r="A79" t="str">
            <v>PAF-ATF-082-2013</v>
          </cell>
          <cell r="B79" t="str">
            <v>Contrato No. 159 de 2013
CDP 22813
16 Fondos Especiales</v>
          </cell>
        </row>
        <row r="80">
          <cell r="A80" t="str">
            <v>PAF-ATF-083-2013</v>
          </cell>
          <cell r="B80" t="str">
            <v>Contrato No. 159 de 2013
CDP 22813
16 Fondos Especiales</v>
          </cell>
        </row>
        <row r="81">
          <cell r="A81" t="str">
            <v>PAF-ATF-084-2013</v>
          </cell>
          <cell r="B81" t="str">
            <v>Contrato No. 036 de 2012
CDP 274712
16 Fondos Especiales</v>
          </cell>
        </row>
        <row r="82">
          <cell r="A82" t="str">
            <v>PAF-ATF-085-2013</v>
          </cell>
          <cell r="B82" t="str">
            <v>Contrato No. 159 de 2013
CDP 22813
16 Fondos Especiales</v>
          </cell>
        </row>
        <row r="83">
          <cell r="A83" t="str">
            <v>PAF-ATF-086-2013</v>
          </cell>
          <cell r="B83" t="str">
            <v>Contrato No. 036 de 2012
CDP 274712
16 Fondos Especiales</v>
          </cell>
        </row>
        <row r="84">
          <cell r="A84" t="str">
            <v>PAF-ATF-090-2013</v>
          </cell>
          <cell r="B84" t="str">
            <v>Contrato No. 159 de 2013
CDP 22813
16 Fondos Especiales</v>
          </cell>
        </row>
        <row r="85">
          <cell r="A85" t="str">
            <v>PAF-ATF-091-2013</v>
          </cell>
          <cell r="B85" t="str">
            <v>Contrato No. 159 de 2013
CDP 22813
16 Fondos Especiales</v>
          </cell>
        </row>
        <row r="86">
          <cell r="A86" t="str">
            <v>PAF-ATF-093-2013</v>
          </cell>
          <cell r="B86" t="str">
            <v>Contrato No. 036 de 2012
CDP 274712
16 Fondos Especiales</v>
          </cell>
        </row>
        <row r="87">
          <cell r="A87" t="str">
            <v>PAF-ATF-094-2013</v>
          </cell>
          <cell r="B87" t="str">
            <v>SALDOS CONTRATO 036 DE 2012
TODOS LOS CDP VER RELACIÓN ANEXA</v>
          </cell>
        </row>
        <row r="88">
          <cell r="A88" t="str">
            <v>PAF-ATF-095-2013</v>
          </cell>
          <cell r="B88" t="str">
            <v>Contrato No. 159 de 2013
CDP 137513
11 Nación</v>
          </cell>
        </row>
        <row r="89">
          <cell r="A89" t="str">
            <v>PAF-ATF-096-2013</v>
          </cell>
          <cell r="B89" t="str">
            <v>Contrato No. 159 de 2013
CDP 137513
11 Nación</v>
          </cell>
        </row>
        <row r="90">
          <cell r="A90" t="str">
            <v>PAF-ATF-097-2013</v>
          </cell>
          <cell r="B90" t="str">
            <v>Contrato No. 159 de 2013
CDP 137513
11 Nación</v>
          </cell>
        </row>
        <row r="91">
          <cell r="A91" t="str">
            <v>PAF-ATF-098-2013</v>
          </cell>
          <cell r="B91" t="str">
            <v>Contrato No. 159 de 2013
CDP 155913
11 Nación</v>
          </cell>
        </row>
        <row r="92">
          <cell r="A92" t="str">
            <v>PAF-ATF-100-2013</v>
          </cell>
          <cell r="B92" t="str">
            <v>Contrato No. 159 de 2013
CDP 155913
11 Nación</v>
          </cell>
        </row>
        <row r="93">
          <cell r="A93" t="str">
            <v>PAF-ATF-101-2013</v>
          </cell>
          <cell r="B93" t="str">
            <v>Contrato No. 159 de 2013
CDP 137513
11 Nación</v>
          </cell>
        </row>
        <row r="94">
          <cell r="A94" t="str">
            <v>PAF-ATF-103-2013</v>
          </cell>
          <cell r="B94" t="str">
            <v>Contrato No. 159 de 2013
CDP 155913
11 Nación</v>
          </cell>
        </row>
      </sheetData>
      <sheetData sheetId="41"/>
      <sheetData sheetId="42"/>
      <sheetData sheetId="43"/>
      <sheetData sheetId="44">
        <row r="3">
          <cell r="A3" t="str">
            <v>CONVOCATORIA</v>
          </cell>
        </row>
      </sheetData>
      <sheetData sheetId="45">
        <row r="3">
          <cell r="A3" t="str">
            <v>CONVOCATORIA</v>
          </cell>
        </row>
      </sheetData>
      <sheetData sheetId="46" refreshError="1">
        <row r="3">
          <cell r="A3" t="str">
            <v>CONVOCATORIA</v>
          </cell>
          <cell r="B3" t="str">
            <v>CONCEPTO</v>
          </cell>
          <cell r="C3" t="str">
            <v>PRESUPUESTO OBRA</v>
          </cell>
          <cell r="D3" t="str">
            <v>PRESUPUESTO OBRA NACIÓN</v>
          </cell>
          <cell r="E3" t="str">
            <v>CONTRAPARTIDA OBRA</v>
          </cell>
          <cell r="F3" t="str">
            <v>PRESUPUESTO INTERVENTORIA</v>
          </cell>
          <cell r="G3" t="str">
            <v>INTERVENTORIA NACIÓN</v>
          </cell>
          <cell r="H3" t="str">
            <v>CONTRAPARTIDA INTERVENTORIA</v>
          </cell>
          <cell r="I3" t="str">
            <v>ENTIDADES RESPONSABLES CONTRAPARTIDAS</v>
          </cell>
          <cell r="J3" t="str">
            <v>SEGUIMIENTO (MTSJ)</v>
          </cell>
          <cell r="K3" t="str">
            <v>SEGUIMIENTO (VIABILIZACIÓN)/ASEGURAMIENTO</v>
          </cell>
          <cell r="L3" t="str">
            <v>CONTRAPARTIDA SEGUIMIENTO (VIABILIZACIÓN)</v>
          </cell>
          <cell r="M3" t="str">
            <v>FECHA APERTURA</v>
          </cell>
          <cell r="N3" t="str">
            <v>FUENTE DE RECURSOS OBRA ASIGNADO MTSJ</v>
          </cell>
          <cell r="O3" t="str">
            <v>FUENTE DE RECURSOS INTERVENTORIA ASIGNADO</v>
          </cell>
          <cell r="P3" t="str">
            <v>FUENTE DE RECURSOS OBRA MVCT</v>
          </cell>
          <cell r="Q3" t="str">
            <v>GRUPO</v>
          </cell>
          <cell r="R3" t="str">
            <v>PROPONENTES</v>
          </cell>
          <cell r="S3" t="str">
            <v>IDENTIFICACIÓN (NIT)</v>
          </cell>
          <cell r="T3" t="str">
            <v>FECHA ADJUDICACIÓN</v>
          </cell>
          <cell r="U3" t="str">
            <v>MONTO ADJUDICADO OBRA</v>
          </cell>
          <cell r="V3" t="str">
            <v>MONTO ADJUDICADO OBRA (NACIÓN)</v>
          </cell>
          <cell r="W3" t="str">
            <v>CONTRAPARTIDA OBRA</v>
          </cell>
          <cell r="X3" t="str">
            <v>MONTO ADJUDICADO INTERVENTORIA</v>
          </cell>
          <cell r="Y3" t="str">
            <v>MONTO ADJUDICADO INTERVENTORIA (NACIÓN)</v>
          </cell>
          <cell r="Z3" t="str">
            <v>INTERVENTORIA CONTRAPARTIDA</v>
          </cell>
          <cell r="AA3" t="str">
            <v>CONTRAPARTIDA SEGUIMIENTO</v>
          </cell>
          <cell r="AB3" t="str">
            <v>MUNICIPIO</v>
          </cell>
          <cell r="AC3" t="str">
            <v>DEPARTAMENTO</v>
          </cell>
          <cell r="AD3" t="str">
            <v>FECHA SUSCRIPCIÓN DEL CONTRATO</v>
          </cell>
          <cell r="AE3" t="str">
            <v>PLAZO DE EJECUCIÓN (MESES)</v>
          </cell>
          <cell r="AF3" t="str">
            <v>FECHA ACTA DE INCIO</v>
          </cell>
          <cell r="AG3" t="str">
            <v>ANTICIPO OBRA</v>
          </cell>
          <cell r="AH3" t="str">
            <v>MONTO GIRADO</v>
          </cell>
          <cell r="AI3" t="str">
            <v>FECHA DE GIRO</v>
          </cell>
        </row>
        <row r="4">
          <cell r="A4" t="str">
            <v>PAF-ATF-001-2012</v>
          </cell>
          <cell r="B4" t="str">
            <v>CONSTRUCCIÓN DE LA INFRAESTRUCTURA MATRIZ PARA EL SUMINISTRO DE AGUA POTABLE AL PROYECTO CIUDAD DEL  BICENTENARIO ETAPA 1 FASE 2B</v>
          </cell>
          <cell r="C4">
            <v>10256430884</v>
          </cell>
          <cell r="D4">
            <v>10256430884</v>
          </cell>
          <cell r="E4">
            <v>0</v>
          </cell>
          <cell r="F4">
            <v>615385853</v>
          </cell>
          <cell r="G4">
            <v>0</v>
          </cell>
          <cell r="H4">
            <v>615385853</v>
          </cell>
          <cell r="I4" t="str">
            <v xml:space="preserve">CONVENIO INTERADMINISTRATIVO 131           ACUACAR S.A. E.S.P.                                                                                                                                                                                                                                               31-12-2012                                                                                                                                                                                                                                                                                                         $824.700.769
</v>
          </cell>
          <cell r="J4">
            <v>217436334.74000001</v>
          </cell>
          <cell r="K4">
            <v>209314916</v>
          </cell>
          <cell r="L4">
            <v>0</v>
          </cell>
          <cell r="M4">
            <v>41222</v>
          </cell>
          <cell r="N4" t="str">
            <v>Contrato No. 036 de 2012
CDP 274712
11 Recursos del Tesoro</v>
          </cell>
          <cell r="O4" t="str">
            <v>Contrato No. 036 de 2012
CDP 274712
11 Recursos del Tesoro</v>
          </cell>
          <cell r="P4" t="str">
            <v>Contrato No. 036 de 2012
CDP 274712
11 Recursos del Tesoro</v>
          </cell>
          <cell r="Q4" t="str">
            <v>GRUPO 1</v>
          </cell>
          <cell r="R4" t="str">
            <v xml:space="preserve">U.T ACUEDUCTO 2012
CONSTRUCCIONES E INVERSIONES BETA S.A.S.
PROMOTORA EL CAMPIN S.A.
</v>
          </cell>
          <cell r="S4">
            <v>900587967</v>
          </cell>
          <cell r="T4">
            <v>41271</v>
          </cell>
          <cell r="U4">
            <v>9999927181</v>
          </cell>
          <cell r="V4">
            <v>9999927181</v>
          </cell>
          <cell r="W4">
            <v>0</v>
          </cell>
          <cell r="X4">
            <v>615385853</v>
          </cell>
          <cell r="Y4">
            <v>0</v>
          </cell>
          <cell r="Z4">
            <v>615385853</v>
          </cell>
          <cell r="AA4">
            <v>0</v>
          </cell>
          <cell r="AB4" t="str">
            <v>CARTAGENA D.T.</v>
          </cell>
          <cell r="AC4" t="str">
            <v>BOLIVAR</v>
          </cell>
          <cell r="AD4">
            <v>41297</v>
          </cell>
          <cell r="AE4">
            <v>10</v>
          </cell>
          <cell r="AF4">
            <v>0</v>
          </cell>
          <cell r="AG4">
            <v>2999978154.2999997</v>
          </cell>
          <cell r="AH4">
            <v>2999978154.2999997</v>
          </cell>
          <cell r="AI4">
            <v>41368</v>
          </cell>
        </row>
        <row r="5">
          <cell r="A5" t="str">
            <v>PAF-ATF-002-2012</v>
          </cell>
          <cell r="B5" t="str">
            <v>CONSTRUCCIÓN OBRAS DE OPTIMIZACIÓN DE REDES DE ACUEDUCTO PARA LA PIMERA ETAPA DEL SISTEMA ESTRATEGICO DE TRANSPORTE PUBLICO DEL MUNICIPIO DE POPAYAN"</v>
          </cell>
          <cell r="C5">
            <v>10115388621</v>
          </cell>
          <cell r="D5">
            <v>10115388621</v>
          </cell>
          <cell r="E5">
            <v>0</v>
          </cell>
          <cell r="F5">
            <v>539287636</v>
          </cell>
          <cell r="G5">
            <v>539287636</v>
          </cell>
          <cell r="H5">
            <v>0</v>
          </cell>
          <cell r="I5">
            <v>0</v>
          </cell>
          <cell r="J5">
            <v>213093525.14000002</v>
          </cell>
          <cell r="K5">
            <v>217662781</v>
          </cell>
          <cell r="L5">
            <v>0</v>
          </cell>
          <cell r="M5">
            <v>41222</v>
          </cell>
          <cell r="N5" t="str">
            <v>Contrato No. 036 de 2012
CDP 1413                                                                                                                                                                                                                                                                                                          
Vigencias Futuras 2013</v>
          </cell>
          <cell r="O5" t="str">
            <v>Contrato No. 036 de 2012
CDP 1413                                                                                                                                                                                                                                                                                                         
 Vigencias Futuras 2013</v>
          </cell>
          <cell r="P5" t="str">
            <v>Contrato No. 036 de 2012
CDP 1413                                                                                                                                                                                                                                                                                                          Vigencias Futuras 2013</v>
          </cell>
          <cell r="Q5" t="str">
            <v>GRUPO 1</v>
          </cell>
          <cell r="R5" t="str">
            <v>FAGAR SERVICIOS
FAGAR SERVICIOS  97 S. L.  SUCURSAL COLOMBIA</v>
          </cell>
          <cell r="S5">
            <v>900400391</v>
          </cell>
          <cell r="T5">
            <v>41271</v>
          </cell>
          <cell r="U5">
            <v>10022371708</v>
          </cell>
          <cell r="V5">
            <v>10022371708</v>
          </cell>
          <cell r="W5">
            <v>0</v>
          </cell>
          <cell r="X5">
            <v>512323280</v>
          </cell>
          <cell r="Y5">
            <v>512323280</v>
          </cell>
          <cell r="Z5">
            <v>0</v>
          </cell>
          <cell r="AA5">
            <v>0</v>
          </cell>
          <cell r="AB5" t="str">
            <v>POPAYAN</v>
          </cell>
          <cell r="AC5" t="str">
            <v>CAUCA</v>
          </cell>
          <cell r="AD5">
            <v>41304</v>
          </cell>
          <cell r="AE5">
            <v>14</v>
          </cell>
          <cell r="AF5">
            <v>0</v>
          </cell>
          <cell r="AG5">
            <v>3006711512.4000001</v>
          </cell>
          <cell r="AH5">
            <v>3006711512.4000001</v>
          </cell>
          <cell r="AI5">
            <v>41409</v>
          </cell>
        </row>
        <row r="6">
          <cell r="A6" t="str">
            <v>PAF-ATF-003-2012
PAF-ATF-041-2012</v>
          </cell>
          <cell r="B6" t="str">
            <v>CONSTRUCCIÓN OBRAS DE OPTIMIZACIÓN REDES DE ALCANTARILLADO PRIMERA ETAPA DEL SISTEMA ESTRATÉGICO DE TRANSPORTE PÚBLICO DEL MUNICIPIO DE POPAYÁN</v>
          </cell>
          <cell r="C6">
            <v>7826096261</v>
          </cell>
          <cell r="D6">
            <v>7826096261</v>
          </cell>
          <cell r="E6">
            <v>0</v>
          </cell>
          <cell r="F6">
            <v>501934144</v>
          </cell>
          <cell r="G6">
            <v>501934144</v>
          </cell>
          <cell r="H6">
            <v>0</v>
          </cell>
          <cell r="I6">
            <v>0</v>
          </cell>
          <cell r="J6">
            <v>166560608.09999999</v>
          </cell>
          <cell r="K6">
            <v>169959804</v>
          </cell>
          <cell r="L6">
            <v>0</v>
          </cell>
          <cell r="M6" t="str">
            <v>09-11-2012
08-01-2013</v>
          </cell>
          <cell r="N6" t="str">
            <v>Contrato No. 036 de 2012 
CDP 274712
10 Recursos Corrientes</v>
          </cell>
          <cell r="O6" t="str">
            <v>Contrato No. 036 de 2012 
CDP 274712
10 Recursos Corrientes</v>
          </cell>
          <cell r="P6" t="str">
            <v>Contrato No. 036 de 2012 
CDP 274712
10 Recursos Corrientes</v>
          </cell>
          <cell r="Q6" t="str">
            <v>GRUPO 1</v>
          </cell>
          <cell r="R6" t="str">
            <v>CONSORCIO REDES ALCANTARILLADO POPAYAN
JUAN CARLOS CANENCIO SANCHEZ
ESPINA Y DELFIN COLOMBIA</v>
          </cell>
          <cell r="S6">
            <v>900600452</v>
          </cell>
          <cell r="T6">
            <v>41332</v>
          </cell>
          <cell r="U6">
            <v>7720288571</v>
          </cell>
          <cell r="V6">
            <v>7720288571</v>
          </cell>
          <cell r="W6">
            <v>0</v>
          </cell>
          <cell r="X6">
            <v>476843520</v>
          </cell>
          <cell r="Y6">
            <v>476843520</v>
          </cell>
          <cell r="Z6">
            <v>0</v>
          </cell>
          <cell r="AA6">
            <v>40000000</v>
          </cell>
          <cell r="AB6" t="str">
            <v>POPAYAN</v>
          </cell>
          <cell r="AC6" t="str">
            <v>CAUCA</v>
          </cell>
          <cell r="AD6">
            <v>41353</v>
          </cell>
          <cell r="AE6">
            <v>18</v>
          </cell>
          <cell r="AF6">
            <v>0</v>
          </cell>
          <cell r="AG6">
            <v>2316086571.2999997</v>
          </cell>
          <cell r="AH6">
            <v>2316086571.2999997</v>
          </cell>
          <cell r="AI6">
            <v>41382</v>
          </cell>
        </row>
        <row r="7">
          <cell r="A7" t="str">
            <v>PAF-ATF-004-2012</v>
          </cell>
          <cell r="B7" t="str">
            <v>CONSTRUCCIÓN DEL INTERCEPTOR RANCHO GRANDE EN EL MUNICIPIO DE MONTERIA</v>
          </cell>
          <cell r="C7">
            <v>2604552906</v>
          </cell>
          <cell r="D7">
            <v>2604552906</v>
          </cell>
          <cell r="E7">
            <v>0</v>
          </cell>
          <cell r="F7">
            <v>92807928</v>
          </cell>
          <cell r="G7">
            <v>0</v>
          </cell>
          <cell r="H7">
            <v>92807928</v>
          </cell>
          <cell r="I7" t="str">
            <v xml:space="preserve">PROACTIVA S.A. ESP               $92.807.928                                                                                                                                                                                                                                                                 </v>
          </cell>
          <cell r="J7">
            <v>53947216.68</v>
          </cell>
          <cell r="K7">
            <v>53154141</v>
          </cell>
          <cell r="L7">
            <v>0</v>
          </cell>
          <cell r="M7">
            <v>41222</v>
          </cell>
          <cell r="N7" t="str">
            <v>Contrato No. 036 de 2012
CDP 274712
11 Recursos del Tesoro</v>
          </cell>
          <cell r="O7" t="str">
            <v>Contrato No. 036 de 2012
CDP 274712
11 Recursos del Tesoro</v>
          </cell>
          <cell r="P7" t="str">
            <v>Contrato No. 036 de 2012
CDP 274712
11 Recursos del Tesoro</v>
          </cell>
          <cell r="Q7" t="str">
            <v>GRUPO 1</v>
          </cell>
          <cell r="R7" t="str">
            <v>CONSORCIO RANCHO GRANDE MV-LM
MEJIA VILLEGAS CONSTRUCCIONES S.A.
LUIS FERNANDO MESA BALLESTEROS</v>
          </cell>
          <cell r="S7">
            <v>900583182</v>
          </cell>
          <cell r="T7">
            <v>41271</v>
          </cell>
          <cell r="U7">
            <v>2545265423</v>
          </cell>
          <cell r="V7">
            <v>2545265423</v>
          </cell>
          <cell r="W7">
            <v>0</v>
          </cell>
          <cell r="X7">
            <v>92807928</v>
          </cell>
          <cell r="Y7">
            <v>0</v>
          </cell>
          <cell r="Z7">
            <v>92807928</v>
          </cell>
          <cell r="AA7">
            <v>0</v>
          </cell>
          <cell r="AB7" t="str">
            <v>MONTERIA</v>
          </cell>
          <cell r="AC7" t="str">
            <v>CORDOBA</v>
          </cell>
          <cell r="AD7">
            <v>41305</v>
          </cell>
          <cell r="AE7">
            <v>8</v>
          </cell>
          <cell r="AF7">
            <v>0</v>
          </cell>
          <cell r="AG7">
            <v>763579626.89999998</v>
          </cell>
          <cell r="AH7">
            <v>763579626.89999998</v>
          </cell>
          <cell r="AI7">
            <v>41369</v>
          </cell>
        </row>
        <row r="8">
          <cell r="A8" t="str">
            <v>PAF-ATF-005-2012</v>
          </cell>
          <cell r="B8" t="str">
            <v>EXTENSIÓN DE REDES DE ALCANTARILLADO SANITARIO EN LOS BARRIOS VILLA MARGARITA ETAPA III Y COMUNA 6 SECTOR 4 DE LA CIUDAD DE MONTERIA</v>
          </cell>
          <cell r="C8">
            <v>4604435444</v>
          </cell>
          <cell r="D8">
            <v>4604435444</v>
          </cell>
          <cell r="E8">
            <v>0</v>
          </cell>
          <cell r="F8">
            <v>176503359</v>
          </cell>
          <cell r="G8">
            <v>0</v>
          </cell>
          <cell r="H8">
            <v>176503359</v>
          </cell>
          <cell r="I8" t="str">
            <v xml:space="preserve">PROACTIVA S.A. ESP     $176.503.359                                                                                                                                                                                                                                                                          
 </v>
          </cell>
          <cell r="J8">
            <v>95618776.060000002</v>
          </cell>
          <cell r="K8">
            <v>93968070</v>
          </cell>
          <cell r="L8">
            <v>0</v>
          </cell>
          <cell r="M8">
            <v>41222</v>
          </cell>
          <cell r="N8" t="str">
            <v>Contrato No. 036 de 2012
CDP 274712
11 Recursos del Tesoro</v>
          </cell>
          <cell r="O8" t="str">
            <v>Contrato No. 036 de 2012
CDP 274712
11 Recursos del Tesoro</v>
          </cell>
          <cell r="P8" t="str">
            <v>Contrato No. 036 de 2012
CDP 274712
11 Recursos del Tesoro</v>
          </cell>
          <cell r="Q8" t="str">
            <v>GRUPO 1</v>
          </cell>
          <cell r="R8" t="str">
            <v>CONSORCIO SANEAMIENTO MONTERIA
ORLANDO FAJARDO CASTILLO
LUIS GABRIEL NIETO GARCIA                                                                                                                                                                                                                                                                                                                      CONSTRUCTORA FAJARDO NIETO LIMITADA</v>
          </cell>
          <cell r="S8">
            <v>900583845</v>
          </cell>
          <cell r="T8">
            <v>41271</v>
          </cell>
          <cell r="U8">
            <v>4500586137</v>
          </cell>
          <cell r="V8">
            <v>4500586137</v>
          </cell>
          <cell r="W8">
            <v>0</v>
          </cell>
          <cell r="X8">
            <v>176503359</v>
          </cell>
          <cell r="Y8">
            <v>0</v>
          </cell>
          <cell r="Z8">
            <v>176503359</v>
          </cell>
          <cell r="AA8">
            <v>0</v>
          </cell>
          <cell r="AB8" t="str">
            <v>MONTERIA</v>
          </cell>
          <cell r="AC8" t="str">
            <v>CORDOBA</v>
          </cell>
          <cell r="AD8">
            <v>41305</v>
          </cell>
          <cell r="AE8">
            <v>8</v>
          </cell>
          <cell r="AF8">
            <v>0</v>
          </cell>
          <cell r="AG8">
            <v>1350175841.0999999</v>
          </cell>
          <cell r="AH8">
            <v>1350175841.0999999</v>
          </cell>
          <cell r="AI8">
            <v>41368</v>
          </cell>
        </row>
        <row r="9">
          <cell r="A9" t="str">
            <v>PAF-ATF-006-2012</v>
          </cell>
          <cell r="B9" t="str">
            <v>OPTIMIZACIÓN Y AMPLIACIÓN DEL SISTEMA DE ACUEDUCTO EN EL MUNICIPIO DE SAHAGUN CORDOBA</v>
          </cell>
          <cell r="C9">
            <v>11337319249</v>
          </cell>
          <cell r="D9">
            <v>11337319249</v>
          </cell>
          <cell r="E9">
            <v>0</v>
          </cell>
          <cell r="F9">
            <v>793612347</v>
          </cell>
          <cell r="G9">
            <v>793612347</v>
          </cell>
          <cell r="H9">
            <v>0</v>
          </cell>
          <cell r="I9">
            <v>0</v>
          </cell>
          <cell r="J9">
            <v>242618631.92000002</v>
          </cell>
          <cell r="K9">
            <v>247570033</v>
          </cell>
          <cell r="L9">
            <v>0</v>
          </cell>
          <cell r="M9">
            <v>41222</v>
          </cell>
          <cell r="N9" t="str">
            <v>Contrato No. 036 de 2012
CDP 1413                                                                                                                                                                                                                                                                                                          Vigencias Futuras 2013</v>
          </cell>
          <cell r="O9" t="str">
            <v>Contrato No. 036 de 2012
CDP 1413                                                                                                                                                                                                                                                                                                          Vigencias Futuras 2013</v>
          </cell>
          <cell r="P9" t="str">
            <v>Contrato No. 036 de 2012
CDP 1413                                                                                                                                                                                                                                                                                                          Vigencias Futuras 2013</v>
          </cell>
          <cell r="Q9" t="str">
            <v>GRUPO 1</v>
          </cell>
          <cell r="R9" t="str">
            <v>UNION TEMPORAL ACUEDUCTO SAHAGUN
INGECOL S.A.
OINCO LTDA
LYDCO INGENIERIA S.A.S.
CONALRED S.A.S.
CONSTRUSOCIAL S.A.S.</v>
          </cell>
          <cell r="S9">
            <v>900584606</v>
          </cell>
          <cell r="T9">
            <v>41271</v>
          </cell>
          <cell r="U9">
            <v>11136353815</v>
          </cell>
          <cell r="V9">
            <v>11136353815</v>
          </cell>
          <cell r="W9">
            <v>0</v>
          </cell>
          <cell r="X9">
            <v>690432000</v>
          </cell>
          <cell r="Y9">
            <v>690432000</v>
          </cell>
          <cell r="Z9">
            <v>0</v>
          </cell>
          <cell r="AA9">
            <v>0</v>
          </cell>
          <cell r="AB9" t="str">
            <v>SAHAGUN</v>
          </cell>
          <cell r="AC9" t="str">
            <v>CORDOBA</v>
          </cell>
          <cell r="AD9">
            <v>41305</v>
          </cell>
          <cell r="AE9">
            <v>6</v>
          </cell>
          <cell r="AF9">
            <v>0</v>
          </cell>
          <cell r="AG9">
            <v>3340906144.5</v>
          </cell>
          <cell r="AH9">
            <v>3340906144.5</v>
          </cell>
          <cell r="AI9">
            <v>41373</v>
          </cell>
        </row>
        <row r="10">
          <cell r="A10" t="str">
            <v>PAF-ATF-007-2012</v>
          </cell>
          <cell r="B10" t="str">
            <v>CONSTRUCCIÓN COLECTORES REGIONAL LOS OLIVOS Y REDES SECUNDARIAS DE ALCANTARILLADO SANITARIO EN EL MUNICIPIO DE SAN JUAN DEL CESAR, GUAJIRA</v>
          </cell>
          <cell r="C10">
            <v>11252844580</v>
          </cell>
          <cell r="D10">
            <v>11252844580</v>
          </cell>
          <cell r="E10">
            <v>0</v>
          </cell>
          <cell r="F10">
            <v>787699122</v>
          </cell>
          <cell r="G10">
            <v>787699122</v>
          </cell>
          <cell r="H10">
            <v>0</v>
          </cell>
          <cell r="I10">
            <v>0</v>
          </cell>
          <cell r="J10">
            <v>240810874.03999999</v>
          </cell>
          <cell r="K10">
            <v>245725382</v>
          </cell>
          <cell r="L10">
            <v>0</v>
          </cell>
          <cell r="M10">
            <v>41222</v>
          </cell>
          <cell r="N10" t="str">
            <v>Contrato No. 036 de 2012
CDP 1413                                                                                                                                                                                                                                                                                                          Vigencias Futuras 2013</v>
          </cell>
          <cell r="O10" t="str">
            <v>Contrato No. 036 de 2012
CDP 1413                                                                                                                                                                                                                                                                                                          Vigencias Futuras 2013</v>
          </cell>
          <cell r="P10" t="str">
            <v>Contrato No. 036 de 2012
CDP 1413                                                                                                                                                                                                                                                                                                          Vigencias Futuras 2013</v>
          </cell>
          <cell r="Q10" t="str">
            <v>GRUPO 1</v>
          </cell>
          <cell r="R10" t="str">
            <v>CONSORCIO AGUA CLARA
KMA CONSTRUCCIONES S.A.
CICON S.A.</v>
          </cell>
          <cell r="S10">
            <v>900582961</v>
          </cell>
          <cell r="T10">
            <v>41271</v>
          </cell>
          <cell r="U10">
            <v>11043891234</v>
          </cell>
          <cell r="V10">
            <v>11043891234</v>
          </cell>
          <cell r="W10">
            <v>0</v>
          </cell>
          <cell r="X10">
            <v>777809000</v>
          </cell>
          <cell r="Y10">
            <v>777809000</v>
          </cell>
          <cell r="Z10">
            <v>0</v>
          </cell>
          <cell r="AA10">
            <v>0</v>
          </cell>
          <cell r="AB10" t="str">
            <v>SAN JUAN DEL CESAR</v>
          </cell>
          <cell r="AC10" t="str">
            <v>GUAJIRA</v>
          </cell>
          <cell r="AD10">
            <v>41303</v>
          </cell>
          <cell r="AE10">
            <v>11</v>
          </cell>
          <cell r="AF10">
            <v>0</v>
          </cell>
          <cell r="AG10">
            <v>3313167370.1999998</v>
          </cell>
          <cell r="AH10">
            <v>3313167370.1999998</v>
          </cell>
          <cell r="AI10">
            <v>41375</v>
          </cell>
        </row>
        <row r="11">
          <cell r="A11" t="str">
            <v>PAF-ATF-008-2012</v>
          </cell>
          <cell r="B11" t="str">
            <v>CONSTRUCCIÓN DE LA LÍNEA DE ABASTECIMIENTO DESDE LA QUEBRADA CINCO MIL, OPTIMIZACIÓN DEL SISTEMA DE TRATAMIENTO Y ALMACENAMIENTO DEL ACUEDUCTO URBANO DEL MUNICIPIO DE SOCORRO, SANTANDER</v>
          </cell>
          <cell r="C11">
            <v>26537113862</v>
          </cell>
          <cell r="D11">
            <v>26537113862</v>
          </cell>
          <cell r="E11">
            <v>0</v>
          </cell>
          <cell r="F11">
            <v>1612680939</v>
          </cell>
          <cell r="G11">
            <v>1612680939</v>
          </cell>
          <cell r="H11">
            <v>0</v>
          </cell>
          <cell r="I11">
            <v>0</v>
          </cell>
          <cell r="J11">
            <v>562995896.01999998</v>
          </cell>
          <cell r="K11">
            <v>574485608</v>
          </cell>
          <cell r="L11">
            <v>0</v>
          </cell>
          <cell r="M11">
            <v>41222</v>
          </cell>
          <cell r="N11" t="str">
            <v>Contrato No. 036 de 2012
CDP 274712
16 Fondos Especiales</v>
          </cell>
          <cell r="O11" t="str">
            <v>Contrato No. 036 de 2012
CDP 274712
16 Fondos Especiales</v>
          </cell>
          <cell r="P11" t="str">
            <v>Contrato No. 036 de 2012
CDP 274712
16 Fondos Especiales</v>
          </cell>
          <cell r="Q11" t="str">
            <v>GRUPO 1</v>
          </cell>
          <cell r="R11" t="str">
            <v>CONSORCIO ALIANZA YDM SOCORRO
YAMIL SABAAGH CONSTRUCCIONES  S.A.S.
CONSTRUCCIONES NAMUS S.A.
CONSTRUCCIONES CIVILES PORTUARIAS S.A.
D&amp;S S.A.</v>
          </cell>
          <cell r="S11">
            <v>900581329</v>
          </cell>
          <cell r="T11">
            <v>41271</v>
          </cell>
          <cell r="U11">
            <v>26140330594</v>
          </cell>
          <cell r="V11">
            <v>26140330594</v>
          </cell>
          <cell r="W11">
            <v>0</v>
          </cell>
          <cell r="X11">
            <v>1591395300</v>
          </cell>
          <cell r="Y11">
            <v>1591395300</v>
          </cell>
          <cell r="Z11">
            <v>0</v>
          </cell>
          <cell r="AA11">
            <v>0</v>
          </cell>
          <cell r="AB11" t="str">
            <v>SOCORRO</v>
          </cell>
          <cell r="AC11" t="str">
            <v>SANTANDER</v>
          </cell>
          <cell r="AD11">
            <v>41303</v>
          </cell>
          <cell r="AE11">
            <v>22</v>
          </cell>
          <cell r="AF11">
            <v>0</v>
          </cell>
          <cell r="AG11">
            <v>7842099178.1999998</v>
          </cell>
          <cell r="AH11">
            <v>7842099178.1999998</v>
          </cell>
          <cell r="AI11">
            <v>41381</v>
          </cell>
        </row>
        <row r="12">
          <cell r="A12" t="str">
            <v>PAF-ATF-009-2012</v>
          </cell>
          <cell r="B12" t="str">
            <v>CONSTRUCCIÓN ALCANTARILLADO SANITARIO EN EL MUNICIPIO DE LOS SANTOS SANTANDER</v>
          </cell>
          <cell r="C12">
            <v>4303834880</v>
          </cell>
          <cell r="D12">
            <v>4303834880</v>
          </cell>
          <cell r="E12">
            <v>0</v>
          </cell>
          <cell r="F12">
            <v>301268442</v>
          </cell>
          <cell r="G12">
            <v>301268442</v>
          </cell>
          <cell r="H12">
            <v>0</v>
          </cell>
          <cell r="I12">
            <v>0</v>
          </cell>
          <cell r="J12">
            <v>92102066.439999998</v>
          </cell>
          <cell r="K12">
            <v>93981700</v>
          </cell>
          <cell r="L12">
            <v>0</v>
          </cell>
          <cell r="M12">
            <v>41222</v>
          </cell>
          <cell r="N12" t="str">
            <v>Contrato No. 036 de 2012
CDP 274712
16 Fondos Especiales</v>
          </cell>
          <cell r="O12" t="str">
            <v>Contrato No. 036 de 2012
CDP 274712
16 Fondos Especiales</v>
          </cell>
          <cell r="P12" t="str">
            <v>Contrato No. 036 de 2012
CDP 274712
16 Fondos Especiales</v>
          </cell>
          <cell r="Q12" t="str">
            <v>GRUPO 1</v>
          </cell>
          <cell r="R12" t="str">
            <v xml:space="preserve">CONSTRUCCIONES E INVERSIONES BETA S.A.S.
CONSTRUCCIONES E INVERSIONES BETA S.A.S.
</v>
          </cell>
          <cell r="S12">
            <v>890108661</v>
          </cell>
          <cell r="T12">
            <v>41271</v>
          </cell>
          <cell r="U12">
            <v>4221438949</v>
          </cell>
          <cell r="V12">
            <v>4221438949</v>
          </cell>
          <cell r="W12">
            <v>0</v>
          </cell>
          <cell r="X12">
            <v>296266320</v>
          </cell>
          <cell r="Y12">
            <v>296266320</v>
          </cell>
          <cell r="Z12">
            <v>0</v>
          </cell>
          <cell r="AA12">
            <v>0</v>
          </cell>
          <cell r="AB12" t="str">
            <v>LOS SANTOS</v>
          </cell>
          <cell r="AC12" t="str">
            <v>SANTANDER</v>
          </cell>
          <cell r="AD12">
            <v>41303</v>
          </cell>
          <cell r="AE12">
            <v>9</v>
          </cell>
          <cell r="AF12">
            <v>0</v>
          </cell>
          <cell r="AG12">
            <v>1266431684.7</v>
          </cell>
          <cell r="AH12">
            <v>1266431684.7</v>
          </cell>
          <cell r="AI12">
            <v>41381</v>
          </cell>
        </row>
        <row r="13">
          <cell r="A13" t="str">
            <v>PAF-ATF-010-2012</v>
          </cell>
          <cell r="B13" t="str">
            <v>CONSTRUCCIÓN, OPTIMIZACIÓN Y AUTOMATIZACIÓN PLANTA DE TRATAMIENTO DE AGUA POTABLE –PTAP, MUNICIPIO DE SAN GIL”.</v>
          </cell>
          <cell r="C13">
            <v>10395936387</v>
          </cell>
          <cell r="D13">
            <v>10395936387</v>
          </cell>
          <cell r="E13">
            <v>0</v>
          </cell>
          <cell r="F13">
            <v>727715547</v>
          </cell>
          <cell r="G13">
            <v>727715547</v>
          </cell>
          <cell r="H13">
            <v>0</v>
          </cell>
          <cell r="I13">
            <v>0</v>
          </cell>
          <cell r="J13">
            <v>222473038.68000001</v>
          </cell>
          <cell r="K13">
            <v>227013305</v>
          </cell>
          <cell r="L13">
            <v>0</v>
          </cell>
          <cell r="M13">
            <v>0</v>
          </cell>
          <cell r="N13" t="str">
            <v>Contrato No. 036 de 2012 
CDP 274712
10 Recursos Corrientes</v>
          </cell>
          <cell r="O13" t="str">
            <v>Contrato 036 de 2012
CDP 316212
13 Nación</v>
          </cell>
          <cell r="P13" t="str">
            <v>Contrato No. 036 de 2012 
CDP 274712
10 Recursos Corrientes</v>
          </cell>
          <cell r="Q13" t="str">
            <v>GRUPO 1</v>
          </cell>
          <cell r="R13" t="str">
            <v>CONSTRUCCIONES OBRAS SAN GIL
JORGE TRIANA &amp; CIA LTDA
COINGENIERIA
EDUARDO GIRONZA</v>
          </cell>
          <cell r="S13">
            <v>900638748</v>
          </cell>
          <cell r="T13">
            <v>41463</v>
          </cell>
          <cell r="U13">
            <v>9858424464</v>
          </cell>
          <cell r="V13">
            <v>9858424464</v>
          </cell>
          <cell r="W13">
            <v>0</v>
          </cell>
          <cell r="X13">
            <v>698760800</v>
          </cell>
          <cell r="Y13">
            <v>698760800</v>
          </cell>
          <cell r="Z13">
            <v>0</v>
          </cell>
          <cell r="AA13">
            <v>0</v>
          </cell>
          <cell r="AB13" t="str">
            <v>SAN GIL</v>
          </cell>
          <cell r="AC13" t="str">
            <v>SANTANDER</v>
          </cell>
          <cell r="AD13">
            <v>41477</v>
          </cell>
          <cell r="AE13">
            <v>11</v>
          </cell>
          <cell r="AF13">
            <v>0</v>
          </cell>
          <cell r="AG13">
            <v>2957527339.1999998</v>
          </cell>
          <cell r="AH13">
            <v>2957527339.1999998</v>
          </cell>
          <cell r="AI13">
            <v>41607</v>
          </cell>
        </row>
        <row r="14">
          <cell r="A14" t="str">
            <v>PAF-ATF-011-2012</v>
          </cell>
          <cell r="B14" t="str">
            <v>CONSTRUCCIÓN DE LAS LÍNEAS DE CONDUCCIÓN VEREDAS LAGUNA VERDE, LAGUNAS, SAN ANDRÉS Y ALTO DEL TIGRE DEL MUNICIPIO DE LA MESA Y VEREDAS LA CHICA Y EL HIGUERÓN DEL MUNICIPIO DE ANAPOIMA</v>
          </cell>
          <cell r="C14">
            <v>4569415997</v>
          </cell>
          <cell r="D14">
            <v>4569415997</v>
          </cell>
          <cell r="E14">
            <v>0</v>
          </cell>
          <cell r="F14">
            <v>319859120</v>
          </cell>
          <cell r="G14">
            <v>319859120</v>
          </cell>
          <cell r="H14">
            <v>0</v>
          </cell>
          <cell r="I14">
            <v>0</v>
          </cell>
          <cell r="J14">
            <v>97785502.340000004</v>
          </cell>
          <cell r="K14">
            <v>99781125</v>
          </cell>
          <cell r="L14">
            <v>0</v>
          </cell>
          <cell r="M14">
            <v>41222</v>
          </cell>
          <cell r="N14" t="str">
            <v>Contrato No. 036 de 2012
CDP 274712
16 Fondos Especiales</v>
          </cell>
          <cell r="O14" t="str">
            <v>Contrato No. 036 de 2012
CDP 274712
16 Fondos Especiales</v>
          </cell>
          <cell r="P14" t="str">
            <v>Contrato No. 036 de 2012
CDP 274712
16 Fondos Especiales</v>
          </cell>
          <cell r="Q14" t="str">
            <v>GRUPO 1</v>
          </cell>
          <cell r="R14" t="str">
            <v>CONSTRUCCIONES E INVERSIONES BETA S.A.S.
CONSTRUCCIONES E INVERSIONES BETA S.A.S.</v>
          </cell>
          <cell r="S14">
            <v>890108661</v>
          </cell>
          <cell r="T14">
            <v>41271</v>
          </cell>
          <cell r="U14">
            <v>4479229199</v>
          </cell>
          <cell r="V14">
            <v>4479229199</v>
          </cell>
          <cell r="W14">
            <v>0</v>
          </cell>
          <cell r="X14">
            <v>316022280</v>
          </cell>
          <cell r="Y14">
            <v>316022280</v>
          </cell>
          <cell r="Z14">
            <v>0</v>
          </cell>
          <cell r="AA14">
            <v>0</v>
          </cell>
          <cell r="AB14" t="str">
            <v>LA MESA ANAPOIMA</v>
          </cell>
          <cell r="AC14" t="str">
            <v>CUNDINAMARCA</v>
          </cell>
          <cell r="AD14">
            <v>41296</v>
          </cell>
          <cell r="AE14">
            <v>7</v>
          </cell>
          <cell r="AF14">
            <v>0</v>
          </cell>
          <cell r="AG14">
            <v>1343768759.7</v>
          </cell>
          <cell r="AH14">
            <v>1343768759.7</v>
          </cell>
          <cell r="AI14">
            <v>41374</v>
          </cell>
        </row>
        <row r="15">
          <cell r="A15" t="str">
            <v>PAF-ATF-012-2012</v>
          </cell>
          <cell r="B15" t="str">
            <v>AMPLIACIÓN RED DE ACUEDUCTO TANQUES CHARRASQUERO I Y II Y LÍNEA DE DISTRIBUCIÓN VÍA NARIÑO EN EL MUNICIPIO DE GIRARDOT</v>
          </cell>
          <cell r="C15">
            <v>8396127793</v>
          </cell>
          <cell r="D15">
            <v>8396127793</v>
          </cell>
          <cell r="E15">
            <v>0</v>
          </cell>
          <cell r="F15">
            <v>587728945</v>
          </cell>
          <cell r="G15">
            <v>587728945</v>
          </cell>
          <cell r="H15">
            <v>0</v>
          </cell>
          <cell r="I15">
            <v>0</v>
          </cell>
          <cell r="J15">
            <v>179677134.75999999</v>
          </cell>
          <cell r="K15">
            <v>183344015</v>
          </cell>
          <cell r="L15">
            <v>0</v>
          </cell>
          <cell r="M15">
            <v>41222</v>
          </cell>
          <cell r="N15" t="str">
            <v>Contrato No. 036 de 2012 
CDP 274712
10 Recursos Corrientes</v>
          </cell>
          <cell r="O15" t="str">
            <v>Contrato No. 036 de 2012 
CDP 274712
10 Recursos Corrientes</v>
          </cell>
          <cell r="P15" t="str">
            <v>Contrato No. 036 de 2012 
CDP 274712
10 Recursos Corrientes</v>
          </cell>
          <cell r="Q15" t="str">
            <v>GRUPO 1</v>
          </cell>
          <cell r="R15" t="str">
            <v>CONSTRUCCIONES E INVERSIONES BETA S.A.S.
CONSTRUCCIONES E INVERSIONES BETA S.A.S.</v>
          </cell>
          <cell r="S15">
            <v>890108661</v>
          </cell>
          <cell r="T15">
            <v>41271</v>
          </cell>
          <cell r="U15">
            <v>8281900353</v>
          </cell>
          <cell r="V15">
            <v>8281900353</v>
          </cell>
          <cell r="W15">
            <v>0</v>
          </cell>
          <cell r="X15">
            <v>546029400</v>
          </cell>
          <cell r="Y15">
            <v>546029400</v>
          </cell>
          <cell r="Z15">
            <v>0</v>
          </cell>
          <cell r="AA15">
            <v>0</v>
          </cell>
          <cell r="AB15" t="str">
            <v>GIRARDOT</v>
          </cell>
          <cell r="AC15" t="str">
            <v>CUNDINAMARCA</v>
          </cell>
          <cell r="AD15">
            <v>41296</v>
          </cell>
          <cell r="AE15">
            <v>6</v>
          </cell>
          <cell r="AF15">
            <v>0</v>
          </cell>
          <cell r="AG15">
            <v>2484570105.9000001</v>
          </cell>
          <cell r="AH15">
            <v>2484570105.9000001</v>
          </cell>
          <cell r="AI15">
            <v>41374</v>
          </cell>
        </row>
        <row r="16">
          <cell r="A16" t="str">
            <v>PAF-ATF-013-2012</v>
          </cell>
          <cell r="B16" t="str">
            <v>OPTIMIZACIÓN DE UNIDADES DE FILTRACIÓN PLANTA DE TRATAMIENTO DE AGUA POTABLE –PTAP CENTENARIO MUNICIPIO DE PASTO</v>
          </cell>
          <cell r="C16">
            <v>6918165118</v>
          </cell>
          <cell r="D16">
            <v>6918165118</v>
          </cell>
          <cell r="E16">
            <v>0</v>
          </cell>
          <cell r="F16">
            <v>484271558</v>
          </cell>
          <cell r="G16">
            <v>484271558</v>
          </cell>
          <cell r="H16">
            <v>0</v>
          </cell>
          <cell r="I16">
            <v>0</v>
          </cell>
          <cell r="J16">
            <v>148048733.52000001</v>
          </cell>
          <cell r="K16">
            <v>151070136</v>
          </cell>
          <cell r="L16">
            <v>0</v>
          </cell>
          <cell r="M16">
            <v>41222</v>
          </cell>
          <cell r="N16" t="str">
            <v>Contrato No. 036 de 2012
CDP 274712
16 Fondos Especiales</v>
          </cell>
          <cell r="O16" t="str">
            <v>Contrato No. 036 de 2012
CDP 274712
16 Fondos Especiales</v>
          </cell>
          <cell r="P16" t="str">
            <v>Contrato No. 036 de 2012
CDP 274712
16 Fondos Especiales</v>
          </cell>
          <cell r="Q16" t="str">
            <v xml:space="preserve">GRUPO 1                                                                                                                                                                                                                                                                                                                            </v>
          </cell>
          <cell r="R16" t="str">
            <v>CONSORCIO OBRAS HIDAULICAS CENTENARIO PASTO
COINGENIERIA S.A.
EDUARDO GIRONZA LOZANO
JORGE TRIANA Y COMPANIA LTDA</v>
          </cell>
          <cell r="S16">
            <v>900587111</v>
          </cell>
          <cell r="T16">
            <v>41271</v>
          </cell>
          <cell r="U16">
            <v>6739826740</v>
          </cell>
          <cell r="V16">
            <v>6739826740</v>
          </cell>
          <cell r="W16">
            <v>0</v>
          </cell>
          <cell r="X16">
            <v>460056000</v>
          </cell>
          <cell r="Y16">
            <v>460056000</v>
          </cell>
          <cell r="Z16">
            <v>0</v>
          </cell>
          <cell r="AA16">
            <v>0</v>
          </cell>
          <cell r="AB16" t="str">
            <v>PASTO</v>
          </cell>
          <cell r="AC16" t="str">
            <v>NARIÑO</v>
          </cell>
          <cell r="AD16">
            <v>41304</v>
          </cell>
          <cell r="AE16">
            <v>15</v>
          </cell>
          <cell r="AF16">
            <v>0</v>
          </cell>
          <cell r="AG16">
            <v>2021948022</v>
          </cell>
          <cell r="AH16">
            <v>2021948022</v>
          </cell>
          <cell r="AI16">
            <v>41376</v>
          </cell>
        </row>
        <row r="17">
          <cell r="A17" t="str">
            <v>PAF-ATF-014-2012</v>
          </cell>
          <cell r="B17" t="str">
            <v>CONSTRUCCIÓN RED ALCANTARILLADO CALLE 20 ENTRE CARRERAS 19 Y 30 MUNICIPIO DE PASTO</v>
          </cell>
          <cell r="C17">
            <v>4782944758</v>
          </cell>
          <cell r="D17">
            <v>4782944758</v>
          </cell>
          <cell r="E17">
            <v>0</v>
          </cell>
          <cell r="F17">
            <v>334806133</v>
          </cell>
          <cell r="G17">
            <v>334806133</v>
          </cell>
          <cell r="H17">
            <v>0</v>
          </cell>
          <cell r="I17">
            <v>0</v>
          </cell>
          <cell r="J17">
            <v>102355017.82000001</v>
          </cell>
          <cell r="K17">
            <v>104443896</v>
          </cell>
          <cell r="L17">
            <v>0</v>
          </cell>
          <cell r="M17">
            <v>41222</v>
          </cell>
          <cell r="N17" t="str">
            <v>Contrato No. 036 de 2012
CDP 274712
16 Fondos Especiales</v>
          </cell>
          <cell r="O17" t="str">
            <v>Contrato No. 036 de 2012
CDP 274712
16 Fondos Especiales</v>
          </cell>
          <cell r="P17" t="str">
            <v>Contrato No. 036 de 2012
CDP 274712
16 Fondos Especiales</v>
          </cell>
          <cell r="Q17" t="str">
            <v>GRUPO 1</v>
          </cell>
          <cell r="R17" t="str">
            <v>CONSORCIO REDES PASTO
INGEAGUAS S.A.S.
ESPINA Y DELFIN COLOMBIA</v>
          </cell>
          <cell r="S17">
            <v>900583103</v>
          </cell>
          <cell r="T17">
            <v>41271</v>
          </cell>
          <cell r="U17">
            <v>4549768116</v>
          </cell>
          <cell r="V17">
            <v>4549768116</v>
          </cell>
          <cell r="W17">
            <v>0</v>
          </cell>
          <cell r="X17">
            <v>318072000</v>
          </cell>
          <cell r="Y17">
            <v>318072000</v>
          </cell>
          <cell r="Z17">
            <v>0</v>
          </cell>
          <cell r="AA17">
            <v>0</v>
          </cell>
          <cell r="AB17" t="str">
            <v>PASTO</v>
          </cell>
          <cell r="AC17" t="str">
            <v>NARIÑO</v>
          </cell>
          <cell r="AD17">
            <v>41304</v>
          </cell>
          <cell r="AE17">
            <v>4</v>
          </cell>
          <cell r="AF17">
            <v>0</v>
          </cell>
          <cell r="AG17">
            <v>1364930434.8</v>
          </cell>
          <cell r="AH17">
            <v>1364930434.8</v>
          </cell>
          <cell r="AI17">
            <v>41368</v>
          </cell>
        </row>
        <row r="18">
          <cell r="A18" t="str">
            <v>PAF-ATF-015-2012</v>
          </cell>
          <cell r="B18" t="str">
            <v>MODERNIZACIÓN DE LA PLANTA DE TRATAMIENTO DE AGUAS RESIDUALES RÍO FRÍO II ETAPA FASE 2 - REACTOR UASB No. 5 MUNICIPIO SAN JUAN DE GIRON</v>
          </cell>
          <cell r="C18">
            <v>13760573907</v>
          </cell>
          <cell r="D18">
            <v>13760573907</v>
          </cell>
          <cell r="E18">
            <v>0</v>
          </cell>
          <cell r="F18">
            <v>963240173</v>
          </cell>
          <cell r="G18">
            <v>963240173</v>
          </cell>
          <cell r="H18">
            <v>0</v>
          </cell>
          <cell r="I18">
            <v>0</v>
          </cell>
          <cell r="J18">
            <v>294476281.60000002</v>
          </cell>
          <cell r="K18">
            <v>300486002</v>
          </cell>
          <cell r="L18">
            <v>0</v>
          </cell>
          <cell r="M18">
            <v>0</v>
          </cell>
          <cell r="N18" t="str">
            <v>Contrato No. 036 de 2012 
CDP 274712
10 Recursos Corrientes</v>
          </cell>
          <cell r="O18" t="str">
            <v>Contrato No. 036 de 2012 
CDP 274712
10 Recursos Corrientes</v>
          </cell>
          <cell r="P18" t="str">
            <v>Contrato No. 036 de 2012 
CDP 274712
10 Recursos Corrientes</v>
          </cell>
          <cell r="Q18" t="str">
            <v>GRUPO 1</v>
          </cell>
          <cell r="R18" t="str">
            <v>CONSORCIO ALIANZA YDN GIRON
YAMIL SABAAGH SOLANO
YS CAPITAL S.A.S.                                                                                                                                                                                                                                                                                                                                       D&amp;S S.A.</v>
          </cell>
          <cell r="S18">
            <v>900600469</v>
          </cell>
          <cell r="T18">
            <v>41333</v>
          </cell>
          <cell r="U18">
            <v>13523411339</v>
          </cell>
          <cell r="V18">
            <v>13523411339</v>
          </cell>
          <cell r="W18">
            <v>0</v>
          </cell>
          <cell r="X18">
            <v>958500750</v>
          </cell>
          <cell r="Y18">
            <v>958500750</v>
          </cell>
          <cell r="Z18">
            <v>0</v>
          </cell>
          <cell r="AA18">
            <v>0</v>
          </cell>
          <cell r="AB18" t="str">
            <v>SAN JUAN DE GIRON</v>
          </cell>
          <cell r="AC18" t="str">
            <v>SANTANDER</v>
          </cell>
          <cell r="AD18">
            <v>41337</v>
          </cell>
          <cell r="AE18">
            <v>15</v>
          </cell>
          <cell r="AF18">
            <v>0</v>
          </cell>
          <cell r="AG18">
            <v>4057023401.6999998</v>
          </cell>
          <cell r="AH18">
            <v>4057023401.6999998</v>
          </cell>
          <cell r="AI18">
            <v>41382</v>
          </cell>
        </row>
        <row r="19">
          <cell r="A19" t="str">
            <v>PAF-ATF-016-2012</v>
          </cell>
          <cell r="B19" t="str">
            <v>CONSTRUCCIÓN COLECTOR NORTE DEL MUNICIPIO DE ESPINAL</v>
          </cell>
          <cell r="C19">
            <v>7242451114</v>
          </cell>
          <cell r="D19">
            <v>7242451114</v>
          </cell>
          <cell r="E19">
            <v>0</v>
          </cell>
          <cell r="F19">
            <v>506971578</v>
          </cell>
          <cell r="G19">
            <v>506971578</v>
          </cell>
          <cell r="H19">
            <v>0</v>
          </cell>
          <cell r="I19">
            <v>0</v>
          </cell>
          <cell r="J19">
            <v>154988453.84</v>
          </cell>
          <cell r="K19">
            <v>158151484</v>
          </cell>
          <cell r="L19">
            <v>0</v>
          </cell>
          <cell r="M19">
            <v>41222</v>
          </cell>
          <cell r="N19" t="str">
            <v>Contrato No. 036 de 2012
CDP 274712
16 Fondos Especiales</v>
          </cell>
          <cell r="O19" t="str">
            <v>Contrato No. 036 de 2012
CDP 274712
16 Fondos Especiales</v>
          </cell>
          <cell r="P19" t="str">
            <v>Contrato No. 036 de 2012
CDP 274712
16 Fondos Especiales</v>
          </cell>
          <cell r="Q19" t="str">
            <v>GRUPO 1</v>
          </cell>
          <cell r="R19" t="str">
            <v>CONSORCIO AGUA CLARA
CICON S.A.
KMA CONSTRUCCIONES S.A</v>
          </cell>
          <cell r="S19">
            <v>900582962</v>
          </cell>
          <cell r="T19">
            <v>41271</v>
          </cell>
          <cell r="U19">
            <v>7105543081</v>
          </cell>
          <cell r="V19">
            <v>7105543081</v>
          </cell>
          <cell r="W19">
            <v>0</v>
          </cell>
          <cell r="X19">
            <v>501968250</v>
          </cell>
          <cell r="Y19">
            <v>501968250</v>
          </cell>
          <cell r="Z19">
            <v>0</v>
          </cell>
          <cell r="AA19">
            <v>0</v>
          </cell>
          <cell r="AB19" t="str">
            <v>EL ESPINAL</v>
          </cell>
          <cell r="AC19" t="str">
            <v>TOLIMA</v>
          </cell>
          <cell r="AD19">
            <v>41296</v>
          </cell>
          <cell r="AE19">
            <v>9</v>
          </cell>
          <cell r="AF19">
            <v>0</v>
          </cell>
          <cell r="AG19">
            <v>2131662924.3</v>
          </cell>
          <cell r="AH19">
            <v>2131662924.3</v>
          </cell>
          <cell r="AI19">
            <v>41375</v>
          </cell>
        </row>
        <row r="20">
          <cell r="A20" t="str">
            <v>PAF-ATF-017-2012
PAF-ATF-039-2013
PAF-ATF-075-2013
PAF-ATF-087-2013
PAF-ATF-099-2013</v>
          </cell>
          <cell r="B20" t="str">
            <v>OPTIMIZACIÓN SISTEMA DE ALCANTARILLADO Y CONSTRUCCIÓN PLANTA DE TRATAMIENTO DE AGUAS RESIDUALES -PTAR EN EL MUNICIPIO DE BAJO BAUDÓ”</v>
          </cell>
          <cell r="C20">
            <v>8093728373</v>
          </cell>
          <cell r="D20">
            <v>8093728373</v>
          </cell>
          <cell r="E20">
            <v>0</v>
          </cell>
          <cell r="F20">
            <v>566560986</v>
          </cell>
          <cell r="G20">
            <v>566560986</v>
          </cell>
          <cell r="H20">
            <v>0</v>
          </cell>
          <cell r="I20">
            <v>0</v>
          </cell>
          <cell r="J20">
            <v>173205787.18000001</v>
          </cell>
          <cell r="K20">
            <v>176740599</v>
          </cell>
          <cell r="L20">
            <v>0</v>
          </cell>
          <cell r="M20" t="str">
            <v xml:space="preserve">09-11-2012
08-01-2013
06-03-2013
19-04-2013
</v>
          </cell>
          <cell r="N20" t="str">
            <v>Contrato No. 036 de 2012
CDP 274712
16 Fondos Especiales</v>
          </cell>
          <cell r="O20" t="str">
            <v>Contrato No. 036 de 2012
CDP 274712
16 Fondos Especiales</v>
          </cell>
          <cell r="P20" t="str">
            <v>Contrato No. 036 de 2012
CDP 274712
16 Fondos Especiales</v>
          </cell>
          <cell r="Q20" t="str">
            <v>GRUPO 1
GRUPO 1A
GRUPO 2A
GRUPO 3A
GRUPO 4A</v>
          </cell>
          <cell r="R20" t="str">
            <v>CONSORCIO CONSTRUYENDO BAJO BAUDO</v>
          </cell>
          <cell r="S20">
            <v>900656298</v>
          </cell>
          <cell r="T20">
            <v>41522</v>
          </cell>
          <cell r="U20">
            <v>7955474832</v>
          </cell>
          <cell r="V20">
            <v>7955474832</v>
          </cell>
          <cell r="W20">
            <v>0</v>
          </cell>
          <cell r="X20">
            <v>538235360</v>
          </cell>
          <cell r="Y20">
            <v>538235360</v>
          </cell>
          <cell r="Z20">
            <v>0</v>
          </cell>
          <cell r="AA20">
            <v>0</v>
          </cell>
          <cell r="AB20" t="str">
            <v>BAJO BAUDO</v>
          </cell>
          <cell r="AC20" t="str">
            <v>CHOCO</v>
          </cell>
          <cell r="AD20">
            <v>41530</v>
          </cell>
          <cell r="AE20">
            <v>8</v>
          </cell>
          <cell r="AF20">
            <v>0</v>
          </cell>
          <cell r="AG20">
            <v>2386642449.5999999</v>
          </cell>
          <cell r="AH20">
            <v>2386642449.5999999</v>
          </cell>
          <cell r="AI20">
            <v>0</v>
          </cell>
        </row>
        <row r="21">
          <cell r="A21" t="str">
            <v>PAF-ATF-018-2012
PAF-ATF-040-2012</v>
          </cell>
          <cell r="B21" t="str">
            <v>OPTIMIZACIÓN DEL SISTEMA DE ALCANTARILLADO Y CONSTRUCCIÓN DE PLANTA DE TRATAMIENTO DE AGUAS RESIDUALES –PTAR- EN EL MUNICIPIO DE LLORÓ”</v>
          </cell>
          <cell r="C21">
            <v>6198706333</v>
          </cell>
          <cell r="D21">
            <v>6198706333</v>
          </cell>
          <cell r="E21">
            <v>0</v>
          </cell>
          <cell r="F21">
            <v>433909443</v>
          </cell>
          <cell r="G21">
            <v>433909443</v>
          </cell>
          <cell r="H21">
            <v>0</v>
          </cell>
          <cell r="I21">
            <v>0</v>
          </cell>
          <cell r="J21">
            <v>132652315.52</v>
          </cell>
          <cell r="K21">
            <v>135359506</v>
          </cell>
          <cell r="L21">
            <v>0</v>
          </cell>
          <cell r="M21" t="str">
            <v>09-11-2012
08-01-2013</v>
          </cell>
          <cell r="N21" t="str">
            <v>Contrato No. 036 de 2012
CDP 274712
16 Fondos Especiales</v>
          </cell>
          <cell r="O21" t="str">
            <v>Contrato No. 036 de 2012
CDP 274712
16 Fondos Especiales</v>
          </cell>
          <cell r="P21" t="str">
            <v>Contrato No. 036 de 2012
CDP 274712
16 Fondos Especiales</v>
          </cell>
          <cell r="Q21" t="str">
            <v>GRUPO 1
GRUPO 1A</v>
          </cell>
          <cell r="R21" t="str">
            <v>CONSORCIO LLORÓ
INVERSIONES JACUR &amp; CIA LTDA
INVESAKK LTDA</v>
          </cell>
          <cell r="S21">
            <v>900598284</v>
          </cell>
          <cell r="T21">
            <v>41333</v>
          </cell>
          <cell r="U21">
            <v>6182253474</v>
          </cell>
          <cell r="V21">
            <v>6182253474</v>
          </cell>
          <cell r="W21">
            <v>0</v>
          </cell>
          <cell r="X21">
            <v>412212960</v>
          </cell>
          <cell r="Y21">
            <v>412212960</v>
          </cell>
          <cell r="Z21">
            <v>0</v>
          </cell>
          <cell r="AA21">
            <v>0</v>
          </cell>
          <cell r="AB21" t="str">
            <v>LLORÓ</v>
          </cell>
          <cell r="AC21" t="str">
            <v>CHOCO</v>
          </cell>
          <cell r="AD21">
            <v>41333</v>
          </cell>
          <cell r="AE21">
            <v>12</v>
          </cell>
          <cell r="AF21">
            <v>0</v>
          </cell>
          <cell r="AG21">
            <v>1854676042.2</v>
          </cell>
          <cell r="AH21">
            <v>1854676042.2</v>
          </cell>
          <cell r="AI21">
            <v>41382</v>
          </cell>
        </row>
        <row r="22">
          <cell r="A22" t="str">
            <v>PAF-ATF-019-2012</v>
          </cell>
          <cell r="B22" t="str">
            <v>CONSTRUCCIÓN DEL SISTEMA DE ACUEDUCTO PARA EL MUNICIPIO DE PROVIDENCIA Y SANTA CATALINA FASE I</v>
          </cell>
          <cell r="C22">
            <v>15153312565</v>
          </cell>
          <cell r="D22">
            <v>15153312565</v>
          </cell>
          <cell r="E22">
            <v>0</v>
          </cell>
          <cell r="F22">
            <v>1060731880</v>
          </cell>
          <cell r="G22">
            <v>1060731880</v>
          </cell>
          <cell r="H22">
            <v>0</v>
          </cell>
          <cell r="I22">
            <v>0</v>
          </cell>
          <cell r="J22">
            <v>324280888.90000004</v>
          </cell>
          <cell r="K22">
            <v>330898866</v>
          </cell>
          <cell r="L22">
            <v>0</v>
          </cell>
          <cell r="M22">
            <v>41222</v>
          </cell>
          <cell r="N22" t="str">
            <v>Contrato No. 036 de 2012
CDP 274712
16 Fondos Especiales</v>
          </cell>
          <cell r="O22" t="str">
            <v>Contrato No. 036 de 2012
CDP 274712
16 Fondos Especiales</v>
          </cell>
          <cell r="P22" t="str">
            <v>Contrato No. 036 de 2012
CDP 274712
16 Fondos Especiales</v>
          </cell>
          <cell r="Q22" t="str">
            <v>GRUPO 1</v>
          </cell>
          <cell r="R22" t="str">
            <v>VALORES Y CONTRATOS S.A.
VALORES Y CONTRATOS S.A.</v>
          </cell>
          <cell r="S22">
            <v>800182330</v>
          </cell>
          <cell r="T22">
            <v>41271</v>
          </cell>
          <cell r="U22">
            <v>14957103560</v>
          </cell>
          <cell r="V22">
            <v>14957103560</v>
          </cell>
          <cell r="W22">
            <v>0</v>
          </cell>
          <cell r="X22">
            <v>1047932400</v>
          </cell>
          <cell r="Y22">
            <v>1047932400</v>
          </cell>
          <cell r="Z22">
            <v>0</v>
          </cell>
          <cell r="AA22">
            <v>0</v>
          </cell>
          <cell r="AB22" t="str">
            <v>PROVIDENCIA Y SANTA CATALINA</v>
          </cell>
          <cell r="AC22" t="str">
            <v>SAN ANDRES</v>
          </cell>
          <cell r="AD22">
            <v>41323</v>
          </cell>
          <cell r="AE22">
            <v>14</v>
          </cell>
          <cell r="AF22">
            <v>0</v>
          </cell>
          <cell r="AG22">
            <v>4487131068</v>
          </cell>
          <cell r="AH22">
            <v>4487131068</v>
          </cell>
          <cell r="AI22">
            <v>41367</v>
          </cell>
        </row>
        <row r="23">
          <cell r="A23" t="str">
            <v>PAF-ATF-020-2012</v>
          </cell>
          <cell r="B23" t="str">
            <v>CONSTRUCCIÓN Y OPTIMIZACIÓN PLAN MAESTRO DE ALCANTARILLADO PLUVIAL DEL MUNICIPIO DE EL ROSAL</v>
          </cell>
          <cell r="C23">
            <v>5190391851</v>
          </cell>
          <cell r="D23">
            <v>5190391851</v>
          </cell>
          <cell r="E23">
            <v>0</v>
          </cell>
          <cell r="F23">
            <v>363327430</v>
          </cell>
          <cell r="G23">
            <v>363327430</v>
          </cell>
          <cell r="H23">
            <v>0</v>
          </cell>
          <cell r="I23">
            <v>0</v>
          </cell>
          <cell r="J23">
            <v>111074385.62</v>
          </cell>
          <cell r="K23">
            <v>113341210</v>
          </cell>
          <cell r="L23">
            <v>0</v>
          </cell>
          <cell r="M23">
            <v>41222</v>
          </cell>
          <cell r="N23" t="str">
            <v>Contrato No. 036 de 2012
CDP 274712
16 Fondos Especiales</v>
          </cell>
          <cell r="O23" t="str">
            <v>Contrato No. 036 de 2012
CDP 274712
16 Fondos Especiales</v>
          </cell>
          <cell r="P23" t="str">
            <v>Contrato No. 036 de 2012
CDP 274712
16 Fondos Especiales</v>
          </cell>
          <cell r="Q23" t="str">
            <v>GRUPO 1</v>
          </cell>
          <cell r="R23" t="str">
            <v>CONSORCIO BETA -DJG EL ROSAL
DIEGO JARAMILLO GOMEZ
CONSTRUCCIONES E INVERSIONES BETA S.A.S.</v>
          </cell>
          <cell r="S23">
            <v>900586017</v>
          </cell>
          <cell r="T23">
            <v>41271</v>
          </cell>
          <cell r="U23">
            <v>5116545294</v>
          </cell>
          <cell r="V23">
            <v>5116545294</v>
          </cell>
          <cell r="W23">
            <v>0</v>
          </cell>
          <cell r="X23">
            <v>357622200</v>
          </cell>
          <cell r="Y23">
            <v>357622200</v>
          </cell>
          <cell r="Z23">
            <v>0</v>
          </cell>
          <cell r="AA23">
            <v>0</v>
          </cell>
          <cell r="AB23" t="str">
            <v>EL ROSAL</v>
          </cell>
          <cell r="AC23" t="str">
            <v>CUNDINAMARCA</v>
          </cell>
          <cell r="AD23">
            <v>41296</v>
          </cell>
          <cell r="AE23">
            <v>6</v>
          </cell>
          <cell r="AF23">
            <v>0</v>
          </cell>
          <cell r="AG23">
            <v>1534963588.2</v>
          </cell>
          <cell r="AH23">
            <v>1534963588.2</v>
          </cell>
          <cell r="AI23">
            <v>41374</v>
          </cell>
        </row>
        <row r="24">
          <cell r="A24" t="str">
            <v>PAF-ATF-021-2012</v>
          </cell>
          <cell r="B24" t="str">
            <v>CONSTRUCCION DE LA FASE II Y OBRAS COMPLEMENTARIAS PARA LA CULMINACION DE LA TRINCHERA 5 DEL RELLENO SANITARIO, MUNICIPIO DE LETICIA</v>
          </cell>
          <cell r="C24">
            <v>4316271667</v>
          </cell>
          <cell r="D24">
            <v>2501456853</v>
          </cell>
          <cell r="E24">
            <v>1814814815</v>
          </cell>
          <cell r="F24">
            <v>345301733</v>
          </cell>
          <cell r="G24">
            <v>200116548</v>
          </cell>
          <cell r="H24">
            <v>145185185</v>
          </cell>
          <cell r="I24" t="str">
            <v>AUDIENCIAS PUBLICAS PDA (RESOLUCIÓN 378 DEL 25-06-2012)
$2.000.000.000: 
OBRA CIVIL $ 1.814.814.815
INTERVENTORIA $145.185.185
SEGUIMIENTO $40.000.000</v>
          </cell>
          <cell r="J24">
            <v>93231468.019999996</v>
          </cell>
          <cell r="K24">
            <v>95134151</v>
          </cell>
          <cell r="L24">
            <v>40000000</v>
          </cell>
          <cell r="M24">
            <v>41247</v>
          </cell>
          <cell r="N24" t="str">
            <v>Contrato No. 036 de 2012
CDP 274712
16 Fondos Especiales</v>
          </cell>
          <cell r="O24" t="str">
            <v>Contrato No. 036 de 2012
CDP 274712
16 Fondos Especiales</v>
          </cell>
          <cell r="P24" t="str">
            <v>Contrato No. 036 de 2012
CDP 274712
16 Fondos Especiales</v>
          </cell>
          <cell r="Q24" t="str">
            <v>GRUPO 2</v>
          </cell>
          <cell r="R24" t="str">
            <v>CONSORCIO CPV
GUSTAVO HERNAN VELANDIA POVEDA
JULIO CESAR CASTRO
ANTONIO MARIA PUENTES</v>
          </cell>
          <cell r="S24">
            <v>900601479</v>
          </cell>
          <cell r="T24">
            <v>41326</v>
          </cell>
          <cell r="U24">
            <v>4186933219</v>
          </cell>
          <cell r="V24">
            <v>2372118404</v>
          </cell>
          <cell r="W24">
            <v>1814814815</v>
          </cell>
          <cell r="X24">
            <v>336571680</v>
          </cell>
          <cell r="Y24">
            <v>191386495</v>
          </cell>
          <cell r="Z24">
            <v>145185185</v>
          </cell>
          <cell r="AA24">
            <v>0</v>
          </cell>
          <cell r="AB24" t="str">
            <v>LETICIA</v>
          </cell>
          <cell r="AC24" t="str">
            <v>AMAZONAS</v>
          </cell>
          <cell r="AD24">
            <v>41348</v>
          </cell>
          <cell r="AE24">
            <v>8</v>
          </cell>
          <cell r="AF24">
            <v>0</v>
          </cell>
          <cell r="AG24">
            <v>1256079965.7</v>
          </cell>
          <cell r="AH24">
            <v>1256079965.7</v>
          </cell>
          <cell r="AI24">
            <v>41478</v>
          </cell>
        </row>
        <row r="25">
          <cell r="A25" t="str">
            <v>PAF-ATF-022-2012</v>
          </cell>
          <cell r="B25" t="str">
            <v>CONSTRUCCIÓN Y OPTIMIZACIÓN DEL SISTEMA DE ALCANTARILLADO SANITARIO” FIRAVITOBA - BOYACA</v>
          </cell>
          <cell r="C25">
            <v>3646760374</v>
          </cell>
          <cell r="D25">
            <v>3646760374</v>
          </cell>
          <cell r="E25">
            <v>0</v>
          </cell>
          <cell r="F25">
            <v>242558377</v>
          </cell>
          <cell r="G25">
            <v>242558377</v>
          </cell>
          <cell r="H25">
            <v>0</v>
          </cell>
          <cell r="I25">
            <v>0</v>
          </cell>
          <cell r="J25">
            <v>77786375.019999996</v>
          </cell>
          <cell r="K25">
            <v>79373852</v>
          </cell>
          <cell r="L25">
            <v>0</v>
          </cell>
          <cell r="M25">
            <v>41247</v>
          </cell>
          <cell r="N25" t="str">
            <v>Contrato No. 036 de 2012
CDP 274712
16 Fondos Especiales</v>
          </cell>
          <cell r="O25" t="str">
            <v>Contrato 036 de 2012
CDP 316212
13 Nación</v>
          </cell>
          <cell r="P25" t="str">
            <v>Contrato No. 036 de 2012
CDP 304012
11 Nación</v>
          </cell>
          <cell r="Q25" t="str">
            <v>GRUPO 2</v>
          </cell>
          <cell r="R25" t="str">
            <v>CONSORCIO AGUAS BOYACA
PROINARK S.A.
AISAR SALIM FARAH BUELVAS
EXCAVACIONES JOBEPA S.L.
ROSEMBERTH LOPEZ</v>
          </cell>
          <cell r="S25">
            <v>900598309</v>
          </cell>
          <cell r="T25">
            <v>41332</v>
          </cell>
          <cell r="U25">
            <v>3577826242</v>
          </cell>
          <cell r="V25">
            <v>3577826242</v>
          </cell>
          <cell r="W25">
            <v>0</v>
          </cell>
          <cell r="X25">
            <v>237463020</v>
          </cell>
          <cell r="Y25">
            <v>237463020</v>
          </cell>
          <cell r="Z25">
            <v>0</v>
          </cell>
          <cell r="AA25">
            <v>0</v>
          </cell>
          <cell r="AB25" t="str">
            <v>FIRAVITOBA</v>
          </cell>
          <cell r="AC25" t="str">
            <v>BOYACA</v>
          </cell>
          <cell r="AD25">
            <v>41338</v>
          </cell>
          <cell r="AE25">
            <v>6</v>
          </cell>
          <cell r="AF25">
            <v>0</v>
          </cell>
          <cell r="AG25">
            <v>1073347872.5999999</v>
          </cell>
          <cell r="AH25">
            <v>1073347872.5999999</v>
          </cell>
          <cell r="AI25">
            <v>41424</v>
          </cell>
        </row>
        <row r="26">
          <cell r="A26" t="str">
            <v>PAF-ATF-023-2012</v>
          </cell>
          <cell r="B26" t="str">
            <v>CONSTRUCCIÓN DE ACUEDUCTO Y ALCANTARILLADO SANITARIO EN EL SECTOR SANTA HELENA SANTA MARTA MAGDALENA</v>
          </cell>
          <cell r="C26">
            <v>7309439550</v>
          </cell>
          <cell r="D26">
            <v>7309439550</v>
          </cell>
          <cell r="E26">
            <v>0</v>
          </cell>
          <cell r="F26">
            <v>503047725</v>
          </cell>
          <cell r="G26">
            <v>503047725</v>
          </cell>
          <cell r="H26">
            <v>0</v>
          </cell>
          <cell r="I26">
            <v>0</v>
          </cell>
          <cell r="J26">
            <v>156249745.5</v>
          </cell>
          <cell r="K26">
            <v>159438517</v>
          </cell>
          <cell r="L26">
            <v>0</v>
          </cell>
          <cell r="M26">
            <v>41247</v>
          </cell>
          <cell r="N26" t="str">
            <v>Contrato No. 036 de 2012
CDP 304012
11 Nación</v>
          </cell>
          <cell r="O26" t="str">
            <v>Contrato No. 036 de 2012
CDP 304012
11 Nación</v>
          </cell>
          <cell r="P26" t="str">
            <v>Contrato No. 036 de 2012
CDP 304012
11 Nación</v>
          </cell>
          <cell r="Q26" t="str">
            <v>GRUPO 2</v>
          </cell>
          <cell r="R26" t="str">
            <v>CONSORCIO CHBJ-023
BERNARDO ENRIQUE BRAVO PEREZ
CONEQUIPOS ING LTDA
JJ INGENIERIA Y CONSTRUCCIONES SAS</v>
          </cell>
          <cell r="S26">
            <v>900599926</v>
          </cell>
          <cell r="T26">
            <v>41327</v>
          </cell>
          <cell r="U26">
            <v>7163627678</v>
          </cell>
          <cell r="V26">
            <v>7163627678</v>
          </cell>
          <cell r="W26">
            <v>0</v>
          </cell>
          <cell r="X26">
            <v>501990000</v>
          </cell>
          <cell r="Y26">
            <v>501990000</v>
          </cell>
          <cell r="Z26">
            <v>0</v>
          </cell>
          <cell r="AA26">
            <v>0</v>
          </cell>
          <cell r="AB26" t="str">
            <v>SANTA MARTA</v>
          </cell>
          <cell r="AC26" t="str">
            <v>MAGDALENA</v>
          </cell>
          <cell r="AD26">
            <v>41342</v>
          </cell>
          <cell r="AE26">
            <v>12</v>
          </cell>
          <cell r="AF26">
            <v>0</v>
          </cell>
          <cell r="AG26">
            <v>2149088303.4000001</v>
          </cell>
          <cell r="AH26">
            <v>2149088303.4000001</v>
          </cell>
          <cell r="AI26">
            <v>41445</v>
          </cell>
        </row>
        <row r="27">
          <cell r="A27" t="str">
            <v>PAF-ATF-024-2012</v>
          </cell>
          <cell r="B27" t="str">
            <v>OPTIMIZACIÓN ALCANTARILLADO CARRERA 3 ETAPA II, MUNICIPIO DE IPIALES”</v>
          </cell>
          <cell r="C27">
            <v>4307026770</v>
          </cell>
          <cell r="D27">
            <v>4307026770</v>
          </cell>
          <cell r="E27">
            <v>0</v>
          </cell>
          <cell r="F27">
            <v>286156970</v>
          </cell>
          <cell r="G27">
            <v>286156970</v>
          </cell>
          <cell r="H27">
            <v>0</v>
          </cell>
          <cell r="I27">
            <v>0</v>
          </cell>
          <cell r="J27">
            <v>91863674.799999997</v>
          </cell>
          <cell r="K27">
            <v>93738444</v>
          </cell>
          <cell r="L27">
            <v>0</v>
          </cell>
          <cell r="M27">
            <v>41247</v>
          </cell>
          <cell r="N27" t="str">
            <v>Contrato No. 036 de 2012
CDP 274712
16 Fondos Especiales</v>
          </cell>
          <cell r="O27" t="str">
            <v>Contrato No. 036 de 2012
CDP 274712
16 Fondos Especiales</v>
          </cell>
          <cell r="P27" t="str">
            <v>Contrato No. 036 de 2012
CDP 274712
16 Fondos Especiales</v>
          </cell>
          <cell r="Q27" t="str">
            <v>GRUPO 2</v>
          </cell>
          <cell r="R27" t="str">
            <v>CONSORCIO SANEAMIENTO IPIALES
CASS CONSTRUCTORES &amp; CIA S.C.A.
CARLOS ALBERTO SOLARTE SOLARTE
ORLANDO FAJARDO CASTILLO
LUIS GABRIEL NIETO GARCIA</v>
          </cell>
          <cell r="S27">
            <v>900602755</v>
          </cell>
          <cell r="T27">
            <v>41332</v>
          </cell>
          <cell r="U27">
            <v>4260700397</v>
          </cell>
          <cell r="V27">
            <v>4260700397</v>
          </cell>
          <cell r="W27">
            <v>0</v>
          </cell>
          <cell r="X27">
            <v>271857600</v>
          </cell>
          <cell r="Y27">
            <v>271857600</v>
          </cell>
          <cell r="Z27">
            <v>0</v>
          </cell>
          <cell r="AA27">
            <v>0</v>
          </cell>
          <cell r="AB27" t="str">
            <v>IPIALES</v>
          </cell>
          <cell r="AC27" t="str">
            <v>NARIÑO</v>
          </cell>
          <cell r="AD27">
            <v>41352</v>
          </cell>
          <cell r="AE27">
            <v>8</v>
          </cell>
          <cell r="AF27">
            <v>0</v>
          </cell>
          <cell r="AG27">
            <v>1278210119.0999999</v>
          </cell>
          <cell r="AH27">
            <v>1278210119.0999999</v>
          </cell>
          <cell r="AI27">
            <v>41457</v>
          </cell>
        </row>
        <row r="28">
          <cell r="A28" t="str">
            <v>PAF-ATF-025-2012</v>
          </cell>
          <cell r="B28" t="str">
            <v>SISTEMA DE ABASTECIMIENTO QUEBRADA PIEDRAS FASE II, MUNICIPIO DE SAN JUAN DE PASTO</v>
          </cell>
          <cell r="C28">
            <v>27195834365</v>
          </cell>
          <cell r="D28">
            <v>23091385366</v>
          </cell>
          <cell r="E28">
            <v>4104448999</v>
          </cell>
          <cell r="F28">
            <v>1834092509</v>
          </cell>
          <cell r="G28">
            <v>1834092509</v>
          </cell>
          <cell r="H28">
            <v>0</v>
          </cell>
          <cell r="I28" t="str">
            <v>CONVENIO INTERADMINISTRATIVO                                                                                                                                                                                                                                                                   31-12-2012                                                                                                                                                                                                                                                         EMPOPASTO $4.104.448.999
ACTA JUNTA DIRECTIVA  27/11/2012 VIGENCIAS FUTURAS</v>
          </cell>
          <cell r="J28">
            <v>580598537.48000002</v>
          </cell>
          <cell r="K28">
            <v>508683222</v>
          </cell>
          <cell r="L28">
            <v>0</v>
          </cell>
          <cell r="M28">
            <v>41247</v>
          </cell>
          <cell r="N28" t="str">
            <v>Contrato No. 036 de 2012
CDP 274712
16 Fondos Especiales</v>
          </cell>
          <cell r="O28" t="str">
            <v>Contrato No. 036 de 2012
CDP 274712
16 Fondos Especiales</v>
          </cell>
          <cell r="P28" t="str">
            <v>Contrato No. 036 de 2012
CDP 274712
16 Fondos Especiales</v>
          </cell>
          <cell r="Q28" t="str">
            <v>GRUPO 2</v>
          </cell>
          <cell r="R28" t="str">
            <v>UNION TEMPORAL FASE 2
ORTIZ CONSTRUCCIONES Y PROYECTOS S.A. SUCURSAL COLOMBIA
PROYECTOS CIVILES E HIDRAULICOS S.A.S.</v>
          </cell>
          <cell r="S28">
            <v>900599458</v>
          </cell>
          <cell r="T28">
            <v>41332</v>
          </cell>
          <cell r="U28">
            <v>26765328534</v>
          </cell>
          <cell r="V28">
            <v>22660879535</v>
          </cell>
          <cell r="W28">
            <v>4104448999</v>
          </cell>
          <cell r="X28">
            <v>1742388440</v>
          </cell>
          <cell r="Y28">
            <v>1742388440</v>
          </cell>
          <cell r="Z28">
            <v>0</v>
          </cell>
          <cell r="AA28">
            <v>0</v>
          </cell>
          <cell r="AB28" t="str">
            <v xml:space="preserve"> PASTO</v>
          </cell>
          <cell r="AC28" t="str">
            <v>NARIÑO</v>
          </cell>
          <cell r="AD28">
            <v>41366</v>
          </cell>
          <cell r="AE28">
            <v>13</v>
          </cell>
          <cell r="AF28">
            <v>0</v>
          </cell>
          <cell r="AG28">
            <v>8029598560.1999998</v>
          </cell>
          <cell r="AH28">
            <v>8029598560.1999998</v>
          </cell>
          <cell r="AI28">
            <v>41409</v>
          </cell>
        </row>
        <row r="29">
          <cell r="A29" t="str">
            <v>PAF-ATF-026-2012</v>
          </cell>
          <cell r="B29" t="str">
            <v>CONSTRUCCIÓN SISTEMA MAESTRO INTERCEPTOR RIO CHIQUITO, TEJAR Y SAN CAYETANO, TERMINACIÓN INTERCEPTOR RIO TEJO Y CONTINUACIÓN SISTEMA PRINCIPAL HATILLO-FILIPOTE, INCLUIDO EL SISTEMA DE TRATAMIENTO DE AGUAS RESIDUALES DENTRO DEL PLAN MAESTRO DE ALCANTARILLADO, MUNICIPIO DE OCAÑA”</v>
          </cell>
          <cell r="C29">
            <v>21166434793</v>
          </cell>
          <cell r="D29">
            <v>20926434793</v>
          </cell>
          <cell r="E29">
            <v>240000000</v>
          </cell>
          <cell r="F29">
            <v>1621315424</v>
          </cell>
          <cell r="G29">
            <v>1621315424</v>
          </cell>
          <cell r="H29">
            <v>0</v>
          </cell>
          <cell r="I29" t="str">
            <v xml:space="preserve">CONVENIO INTERADMINISTRATIVO        
$240.000.000       OBRA CIVIL                                                                                                                                                                                                                                                    </v>
          </cell>
          <cell r="J29">
            <v>455755004.34000003</v>
          </cell>
          <cell r="K29">
            <v>460158168</v>
          </cell>
          <cell r="L29">
            <v>0</v>
          </cell>
          <cell r="M29">
            <v>41247</v>
          </cell>
          <cell r="N29" t="str">
            <v xml:space="preserve">CDP 235012                                                                                                                                                                                                                                                                                                                       NACIÓN 11                                                                                                                                                                                                                                                                                                              PRESUPUESTO ANUAL DE GASTOS E INVERSIONES DEL MUNICIPIO                                                                                                                                                </v>
          </cell>
          <cell r="O29" t="str">
            <v>Contrato No. 036 de 2012
CDP 304012
11 Nación</v>
          </cell>
          <cell r="P29" t="str">
            <v>Contrato No. 036 de 2012
CDP 304012
11 Nación</v>
          </cell>
          <cell r="Q29" t="str">
            <v>GRUPO 2</v>
          </cell>
          <cell r="R29" t="str">
            <v>CONSORCIO OCAÑA
HIDROPROYECTOS S.A. SUCURSAL COLOMBIA
INGENIEROS GF S.A.S.
CONSICAL LTDA ING LTDA
CONEQUIPOS</v>
          </cell>
          <cell r="S29">
            <v>900606713</v>
          </cell>
          <cell r="T29">
            <v>41348</v>
          </cell>
          <cell r="U29">
            <v>20930517750</v>
          </cell>
          <cell r="V29">
            <v>20690517750</v>
          </cell>
          <cell r="W29">
            <v>240000000</v>
          </cell>
          <cell r="X29">
            <v>1570698000</v>
          </cell>
          <cell r="Y29">
            <v>1570698000</v>
          </cell>
          <cell r="Z29">
            <v>0</v>
          </cell>
          <cell r="AA29">
            <v>0</v>
          </cell>
          <cell r="AB29" t="str">
            <v>OCAÑA</v>
          </cell>
          <cell r="AC29" t="str">
            <v>NORTE DE SANTANDER</v>
          </cell>
          <cell r="AD29">
            <v>41365</v>
          </cell>
          <cell r="AE29">
            <v>18</v>
          </cell>
          <cell r="AF29">
            <v>0</v>
          </cell>
          <cell r="AG29">
            <v>6279155325</v>
          </cell>
          <cell r="AH29">
            <v>6279155325</v>
          </cell>
          <cell r="AI29">
            <v>41551</v>
          </cell>
        </row>
        <row r="30">
          <cell r="A30" t="str">
            <v>PAF-ATF-027-2012</v>
          </cell>
          <cell r="B30" t="str">
            <v>CONSTRUCCIÓN, OPTIMIZACIÓN Y MEJORAMIENTO DE OBRAS COMPLEMENTARIAS DEL PLAN MAESTRO DE ACUEDUCTO, MUNICIPIO DE DOSQUEBRADAS”</v>
          </cell>
          <cell r="C30">
            <v>6776215059</v>
          </cell>
          <cell r="D30">
            <v>6696215059</v>
          </cell>
          <cell r="E30">
            <v>80000000</v>
          </cell>
          <cell r="F30">
            <v>438123476</v>
          </cell>
          <cell r="G30">
            <v>438123476</v>
          </cell>
          <cell r="H30">
            <v>0</v>
          </cell>
          <cell r="I30" t="str">
            <v xml:space="preserve">CONVENIO INTERADMINISTRATIVO $80.000.000 EQUIVALENTE AL 1%  OBRA CIVIL
EJECUTOR SERVICIUDAD E.S.P.
</v>
          </cell>
          <cell r="J30">
            <v>144286770.70000002</v>
          </cell>
          <cell r="K30">
            <v>147231399</v>
          </cell>
          <cell r="L30">
            <v>0</v>
          </cell>
          <cell r="M30">
            <v>41247</v>
          </cell>
          <cell r="N30" t="str">
            <v>Contrato No. 036 de 2012
CDP 304012
11 Nación</v>
          </cell>
          <cell r="O30" t="str">
            <v>Contrato No. 036 de 2012
CDP 304012
11 Nación</v>
          </cell>
          <cell r="P30" t="str">
            <v>Contrato No. 036 de 2012
CDP 304012
11 Nación</v>
          </cell>
          <cell r="Q30" t="str">
            <v>GRUPO 2</v>
          </cell>
          <cell r="R30" t="str">
            <v>UNION TEMPORAL DOSQUEBRADAS 2013
VIÑAS RUSSI S.A.S.
JIMENEZ INGENIERIA S.A.S
FRANCISCO RIOS DANIES
CASTRO TCHERASSI S.A.</v>
          </cell>
          <cell r="S30">
            <v>900598971</v>
          </cell>
          <cell r="T30">
            <v>41332</v>
          </cell>
          <cell r="U30">
            <v>6646571702</v>
          </cell>
          <cell r="V30">
            <v>6566571702</v>
          </cell>
          <cell r="W30">
            <v>80000000</v>
          </cell>
          <cell r="X30">
            <v>416219600</v>
          </cell>
          <cell r="Y30">
            <v>416219600</v>
          </cell>
          <cell r="Z30">
            <v>0</v>
          </cell>
          <cell r="AA30">
            <v>0</v>
          </cell>
          <cell r="AB30" t="str">
            <v>DOSQUEBRADAS</v>
          </cell>
          <cell r="AC30" t="str">
            <v>RISARALDA</v>
          </cell>
          <cell r="AD30">
            <v>41339</v>
          </cell>
          <cell r="AE30">
            <v>10</v>
          </cell>
          <cell r="AF30">
            <v>0</v>
          </cell>
          <cell r="AG30">
            <v>1993971510.5999999</v>
          </cell>
          <cell r="AH30">
            <v>1993971510.5999999</v>
          </cell>
          <cell r="AI30">
            <v>41382</v>
          </cell>
        </row>
        <row r="31">
          <cell r="A31" t="str">
            <v>PAF-ATF-028-2012</v>
          </cell>
          <cell r="B31" t="str">
            <v>CONSTRUCCIÓN DEL COLECTOR POZO 7 PLAN DE SANEAMIENTO HÍDRICO, MUNICIPIO DE BARRANCABERMEJA</v>
          </cell>
          <cell r="C31">
            <v>6082894525</v>
          </cell>
          <cell r="D31">
            <v>4878342109</v>
          </cell>
          <cell r="E31">
            <v>1204552416</v>
          </cell>
          <cell r="F31">
            <v>389536478</v>
          </cell>
          <cell r="G31">
            <v>0</v>
          </cell>
          <cell r="H31">
            <v>389536478</v>
          </cell>
          <cell r="I31" t="str">
            <v>CONVENIO INTERADMINISTRATIVO  OBRA CIVIL $ 1.204.552.416
INTERVENTORIA $ 389.536.478 
TOTAL $1.594.088.894</v>
          </cell>
          <cell r="J31">
            <v>129448620.06</v>
          </cell>
          <cell r="K31">
            <v>99558002</v>
          </cell>
          <cell r="L31">
            <v>0</v>
          </cell>
          <cell r="M31">
            <v>41247</v>
          </cell>
          <cell r="N31" t="str">
            <v>Contrato No. 036 de 2012
CDP 290212
11 Recursos del Tesoro</v>
          </cell>
          <cell r="O31" t="str">
            <v>CONTRAPARTIDA</v>
          </cell>
          <cell r="P31" t="str">
            <v>Contrato No. 036 de 2012
CDP 290212
11 Recursos del Tesoro</v>
          </cell>
          <cell r="Q31" t="str">
            <v>GRUPO 2</v>
          </cell>
          <cell r="R31" t="str">
            <v>CONSORCIO BARRANCA 028
GUTEMBERG JOSE GONZALEZ PEREZ
SAIN ESPINOZA MURCIA
CONALRED S.A.S.
OINCO LTDA</v>
          </cell>
          <cell r="S31">
            <v>900599235</v>
          </cell>
          <cell r="T31">
            <v>41333</v>
          </cell>
          <cell r="U31">
            <v>5981924700</v>
          </cell>
          <cell r="V31">
            <v>4777372284</v>
          </cell>
          <cell r="W31">
            <v>1204552416</v>
          </cell>
          <cell r="X31">
            <v>384592200</v>
          </cell>
          <cell r="Y31">
            <v>0</v>
          </cell>
          <cell r="Z31">
            <v>384592200</v>
          </cell>
          <cell r="AA31">
            <v>0</v>
          </cell>
          <cell r="AB31" t="str">
            <v>BARRANCABERMEJA</v>
          </cell>
          <cell r="AC31" t="str">
            <v>SANTANDER</v>
          </cell>
          <cell r="AD31">
            <v>41337</v>
          </cell>
          <cell r="AE31">
            <v>12</v>
          </cell>
          <cell r="AF31">
            <v>0</v>
          </cell>
          <cell r="AG31">
            <v>1794577410</v>
          </cell>
          <cell r="AH31">
            <v>1794577410</v>
          </cell>
          <cell r="AI31">
            <v>41410</v>
          </cell>
        </row>
        <row r="32">
          <cell r="A32" t="str">
            <v>PAF-ATF-029-2012
PAF-ATF-076-2013</v>
          </cell>
          <cell r="B32" t="str">
            <v>CONSTRUCCIÓN LÍNEA DE CONDUCCIÓN TRAMO II DESDE LA ESTACIÓN DE COROZAL HASTA LA ESTACIÓN DE REBOMBEO SINCELEJO, DESDE K4+300 HASTA K8+770; CONSTRUCCIÓN DEL POZO PROFUNDO No. 50 CON SU EQUIPAMIENTO Y LÍNEA DE ADUCCIÓN, SECTOR PALMITOS; CONSTRUCCIÓN DEL POZO PROFUNDO No. 51 CON SU EQUIPAMENTO Y LÍNEA DE ADUCCIÓN, SECTOR PALMITOS Y CONSTRUCCIÓN REDES MATRICES ACUEDUCTO FASE III, MUNICIPIO DE SINCELEJO</v>
          </cell>
          <cell r="C32">
            <v>26793973094</v>
          </cell>
          <cell r="D32">
            <v>26793973094</v>
          </cell>
          <cell r="E32">
            <v>0</v>
          </cell>
          <cell r="F32">
            <v>1482982548</v>
          </cell>
          <cell r="G32">
            <v>1482982548</v>
          </cell>
          <cell r="H32">
            <v>0</v>
          </cell>
          <cell r="I32">
            <v>0</v>
          </cell>
          <cell r="J32">
            <v>565539112.84000003</v>
          </cell>
          <cell r="K32">
            <v>577080727</v>
          </cell>
          <cell r="L32">
            <v>0</v>
          </cell>
          <cell r="M32" t="str">
            <v xml:space="preserve">04-12-2012
06-03-2013
</v>
          </cell>
          <cell r="N32" t="str">
            <v>Contrato No. 036 de 2012
CDP 1413                                                                                                                                                                                                                                                                                                         
 Vigencias Futuras 2013</v>
          </cell>
          <cell r="O32" t="str">
            <v>Contrato No. 036 de 2012
CDP 1413                                                                                                                                                                                                                                                                                                          Vigencias Futuras 2013</v>
          </cell>
          <cell r="P32" t="str">
            <v>Contrato No. 036 de 2012
CDP 1413                                                                                                                                                                                                                                                                                                          Vigencias Futuras 2013</v>
          </cell>
          <cell r="Q32" t="str">
            <v>GRUPO 2
GRUPO 2A</v>
          </cell>
          <cell r="R32" t="str">
            <v xml:space="preserve">CONSORCIO INGENIAR
E-CON S.A.S
HORACIO MENDOZA MARTINEZ
</v>
          </cell>
          <cell r="S32">
            <v>900610587</v>
          </cell>
          <cell r="T32">
            <v>41381</v>
          </cell>
          <cell r="U32">
            <v>24122452506</v>
          </cell>
          <cell r="V32">
            <v>24122452506</v>
          </cell>
          <cell r="W32">
            <v>0</v>
          </cell>
          <cell r="X32">
            <v>1482741000</v>
          </cell>
          <cell r="Y32">
            <v>1482741000</v>
          </cell>
          <cell r="Z32">
            <v>0</v>
          </cell>
          <cell r="AA32">
            <v>0</v>
          </cell>
          <cell r="AB32" t="str">
            <v>SINCELEJO</v>
          </cell>
          <cell r="AC32" t="str">
            <v>SUCRE</v>
          </cell>
          <cell r="AD32">
            <v>41383</v>
          </cell>
          <cell r="AE32">
            <v>13</v>
          </cell>
          <cell r="AF32">
            <v>0</v>
          </cell>
          <cell r="AG32">
            <v>7236735751.8000002</v>
          </cell>
          <cell r="AH32">
            <v>7236735751.8000002</v>
          </cell>
          <cell r="AI32">
            <v>41459</v>
          </cell>
        </row>
        <row r="33">
          <cell r="A33" t="str">
            <v>PAF-ATF-030-2012</v>
          </cell>
          <cell r="B33" t="str">
            <v>CONSTRUCCIÓN DE PLANTA DE TRATAMIENTO DE AGUA POTABLE DE 400 LPS Y SUMINISTRO E INSTALACIÓN DE BOMBA DE RESERVA EN LA ESTACIÓN GAMBOTE” ARJONA- TURBACO</v>
          </cell>
          <cell r="C33">
            <v>10033153982</v>
          </cell>
          <cell r="D33">
            <v>10033153982</v>
          </cell>
          <cell r="E33">
            <v>0</v>
          </cell>
          <cell r="F33">
            <v>601989239</v>
          </cell>
          <cell r="G33">
            <v>601989239</v>
          </cell>
          <cell r="H33">
            <v>0</v>
          </cell>
          <cell r="I33">
            <v>0</v>
          </cell>
          <cell r="J33">
            <v>212702864.42000002</v>
          </cell>
          <cell r="K33">
            <v>217043739</v>
          </cell>
          <cell r="L33">
            <v>0</v>
          </cell>
          <cell r="M33">
            <v>41254</v>
          </cell>
          <cell r="N33" t="str">
            <v>Contrato No. 036 de 2012 
CDP 274712
10 Recursos Corrientes</v>
          </cell>
          <cell r="O33" t="str">
            <v>Contrato No. 036 de 2012 
CDP 274712
10 Recursos Corrientes</v>
          </cell>
          <cell r="P33" t="str">
            <v>Contrato No. 036 de 2012 
CDP 274712
10 Recursos Corrientes</v>
          </cell>
          <cell r="Q33" t="str">
            <v>GRUPO 3</v>
          </cell>
          <cell r="R33" t="str">
            <v xml:space="preserve">CONSORCIO EHP GAMBOTE                                                                                                                                                                                                                                                                                                                                                                           PROYECTAR INGENIERIA S.A.S                                                                                                                                                                                                                                                             ELECTROHIDRAULICA S.A. REPRESENTACIONES                        </v>
          </cell>
          <cell r="S33">
            <v>900611538</v>
          </cell>
          <cell r="T33">
            <v>41355</v>
          </cell>
          <cell r="U33">
            <v>9665235505</v>
          </cell>
          <cell r="V33">
            <v>9665235505</v>
          </cell>
          <cell r="W33">
            <v>0</v>
          </cell>
          <cell r="X33">
            <v>554126200</v>
          </cell>
          <cell r="Y33">
            <v>554126200</v>
          </cell>
          <cell r="Z33">
            <v>0</v>
          </cell>
          <cell r="AA33">
            <v>0</v>
          </cell>
          <cell r="AB33" t="str">
            <v>ARJONA- TURBACO</v>
          </cell>
          <cell r="AC33" t="str">
            <v>BOLIVAR</v>
          </cell>
          <cell r="AD33">
            <v>41383</v>
          </cell>
          <cell r="AE33">
            <v>10</v>
          </cell>
          <cell r="AF33">
            <v>0</v>
          </cell>
          <cell r="AG33">
            <v>2899570651.5</v>
          </cell>
          <cell r="AH33">
            <v>2899570651.5</v>
          </cell>
          <cell r="AI33">
            <v>41523</v>
          </cell>
        </row>
        <row r="34">
          <cell r="A34" t="str">
            <v>PAF-ATF-031-2012</v>
          </cell>
          <cell r="B34" t="str">
            <v>CONSTRUCCIÓN COLECTOR ORIENTAL DE AGUAS SERVIDAS VALLEDUPAR</v>
          </cell>
          <cell r="C34">
            <v>11120459735</v>
          </cell>
          <cell r="D34">
            <v>11120459735</v>
          </cell>
          <cell r="E34">
            <v>0</v>
          </cell>
          <cell r="F34">
            <v>642311492</v>
          </cell>
          <cell r="G34">
            <v>642311492</v>
          </cell>
          <cell r="H34">
            <v>0</v>
          </cell>
          <cell r="I34">
            <v>0</v>
          </cell>
          <cell r="J34">
            <v>235255424.53999999</v>
          </cell>
          <cell r="K34">
            <v>240056556</v>
          </cell>
          <cell r="L34">
            <v>0</v>
          </cell>
          <cell r="M34">
            <v>41254</v>
          </cell>
          <cell r="N34" t="str">
            <v>Contrato No. 036 de 2012 
CDP 274712
10 Recursos Corrientes</v>
          </cell>
          <cell r="O34" t="str">
            <v>Contrato No. 036 de 2012 
CDP 274712
10 Recursos Corrientes</v>
          </cell>
          <cell r="P34" t="str">
            <v>Contrato No. 036 de 2012 
CDP 274712
10 Recursos Corrientes</v>
          </cell>
          <cell r="Q34" t="str">
            <v>GRUPO 3</v>
          </cell>
          <cell r="R34" t="str">
            <v>UNION TEMPORAL AGUAS DE VALLEDUPAR
ORTIZ CONSTRUCCIONES Y PROYECTOS S.A.  - SUCURSAL COLOMBIA
PROYECTOS CIVILES E HIDRAULICOS S.A.S.</v>
          </cell>
          <cell r="S34">
            <v>900599461</v>
          </cell>
          <cell r="T34">
            <v>41332</v>
          </cell>
          <cell r="U34">
            <v>10907307908</v>
          </cell>
          <cell r="V34">
            <v>10907307908</v>
          </cell>
          <cell r="W34">
            <v>0</v>
          </cell>
          <cell r="X34">
            <v>559849640</v>
          </cell>
          <cell r="Y34">
            <v>559849640</v>
          </cell>
          <cell r="Z34">
            <v>0</v>
          </cell>
          <cell r="AA34">
            <v>0</v>
          </cell>
          <cell r="AB34" t="str">
            <v>VALLEDUPAR</v>
          </cell>
          <cell r="AC34" t="str">
            <v>CESAR</v>
          </cell>
          <cell r="AD34">
            <v>41348</v>
          </cell>
          <cell r="AE34">
            <v>10</v>
          </cell>
          <cell r="AF34">
            <v>0</v>
          </cell>
          <cell r="AG34">
            <v>3272192372.4000001</v>
          </cell>
          <cell r="AH34">
            <v>3272192372.4000001</v>
          </cell>
          <cell r="AI34">
            <v>41424</v>
          </cell>
        </row>
        <row r="35">
          <cell r="A35" t="str">
            <v>PAF-ATF-032-2012</v>
          </cell>
          <cell r="B35" t="str">
            <v>CONSTRUCCIÓN PLAN MAESTRO DE ALCANTARILLADO SANITARIO ETAPA 2 VILLA DEL ROSARIO- NORTE DE SANTANDER</v>
          </cell>
          <cell r="C35">
            <v>14792816249</v>
          </cell>
          <cell r="D35">
            <v>14792816249</v>
          </cell>
          <cell r="E35">
            <v>0</v>
          </cell>
          <cell r="F35">
            <v>998337136</v>
          </cell>
          <cell r="G35">
            <v>998337136</v>
          </cell>
          <cell r="H35">
            <v>0</v>
          </cell>
          <cell r="I35">
            <v>0</v>
          </cell>
          <cell r="J35">
            <v>315823067.69999999</v>
          </cell>
          <cell r="K35">
            <v>322268436</v>
          </cell>
          <cell r="L35">
            <v>0</v>
          </cell>
          <cell r="M35">
            <v>41254</v>
          </cell>
          <cell r="N35" t="str">
            <v>Contrato No. 036 de 2012 
CDP 274712
10 Recursos Corrientes</v>
          </cell>
          <cell r="O35" t="str">
            <v>Contrato 036 de 2012
CDP 316212
13 Nación</v>
          </cell>
          <cell r="P35" t="str">
            <v>Contrato No. 036 de 2012 
CDP 274712
10 Recursos Corrientes</v>
          </cell>
          <cell r="Q35" t="str">
            <v>GRUPO 3</v>
          </cell>
          <cell r="R35" t="str">
            <v>UNION TEMPORAL REDES DE SANTANDER 2013
CONSTRUCTORA YACAMAN VIVERO S.A.
CONHYDRA S.A. E.S.P.</v>
          </cell>
          <cell r="S35">
            <v>900596761</v>
          </cell>
          <cell r="T35">
            <v>41326</v>
          </cell>
          <cell r="U35">
            <v>14511795864</v>
          </cell>
          <cell r="V35">
            <v>14511795864</v>
          </cell>
          <cell r="W35">
            <v>0</v>
          </cell>
          <cell r="X35">
            <v>960415040</v>
          </cell>
          <cell r="Y35">
            <v>960415040</v>
          </cell>
          <cell r="Z35">
            <v>0</v>
          </cell>
          <cell r="AA35">
            <v>0</v>
          </cell>
          <cell r="AB35" t="str">
            <v>VILLA DEL ROSARIO</v>
          </cell>
          <cell r="AC35" t="str">
            <v>NORTE DE SANTANDER</v>
          </cell>
          <cell r="AD35">
            <v>41340</v>
          </cell>
          <cell r="AE35">
            <v>12</v>
          </cell>
          <cell r="AF35">
            <v>0</v>
          </cell>
          <cell r="AG35">
            <v>4353538759.1999998</v>
          </cell>
          <cell r="AH35">
            <v>4353538759.1999998</v>
          </cell>
          <cell r="AI35">
            <v>41408</v>
          </cell>
        </row>
        <row r="36">
          <cell r="A36" t="str">
            <v>PAF-ATF-033-2012
PAF-ATF-074-2013</v>
          </cell>
          <cell r="B36" t="str">
            <v>CONSTRUCCIÓN NIVEL B TERRAZA 12 Y PLANTA DE TRATAMIENTO DE LIXIVIADOS RELLENO SANITARIO REGIONAL TERRAZA DEL PORVENIR” DEL MUNICIPIO DE SOGAMOSO, BOYACA</v>
          </cell>
          <cell r="C36">
            <v>2872946494</v>
          </cell>
          <cell r="D36">
            <v>2872946494</v>
          </cell>
          <cell r="E36">
            <v>0</v>
          </cell>
          <cell r="F36">
            <v>229835719</v>
          </cell>
          <cell r="G36">
            <v>229835719</v>
          </cell>
          <cell r="H36">
            <v>0</v>
          </cell>
          <cell r="I36">
            <v>0</v>
          </cell>
          <cell r="J36">
            <v>62055644.259999998</v>
          </cell>
          <cell r="K36">
            <v>62055646</v>
          </cell>
          <cell r="L36">
            <v>0</v>
          </cell>
          <cell r="M36" t="str">
            <v>11-12-2012
06-03-2013</v>
          </cell>
          <cell r="N36" t="str">
            <v>Contrato No. 036 de 2012
CDP 274712
11 Recursos del Tesoro</v>
          </cell>
          <cell r="O36" t="str">
            <v>Contrato No. 036 de 2012
CDP 274712
11 Recursos del Tesoro</v>
          </cell>
          <cell r="P36" t="str">
            <v>Contrato No. 036 de 2012
CDP 274712
11 Recursos del Tesoro</v>
          </cell>
          <cell r="Q36" t="str">
            <v>GRUPO 3
GRUPO 2A</v>
          </cell>
          <cell r="R36" t="str">
            <v xml:space="preserve">CONSORCIO ABC
GUSTAVO H. VELANDIA POVEDA
RB DE COLOMBIA
</v>
          </cell>
          <cell r="S36">
            <v>900609954</v>
          </cell>
          <cell r="T36">
            <v>41376</v>
          </cell>
          <cell r="U36">
            <v>2657018468</v>
          </cell>
          <cell r="V36">
            <v>2657018468</v>
          </cell>
          <cell r="W36">
            <v>0</v>
          </cell>
          <cell r="X36">
            <v>229230500</v>
          </cell>
          <cell r="Y36">
            <v>229230500</v>
          </cell>
          <cell r="Z36">
            <v>0</v>
          </cell>
          <cell r="AA36">
            <v>0</v>
          </cell>
          <cell r="AB36" t="str">
            <v>SOGAMOSO</v>
          </cell>
          <cell r="AC36" t="str">
            <v>BOYACA</v>
          </cell>
          <cell r="AD36">
            <v>41388</v>
          </cell>
          <cell r="AE36">
            <v>12</v>
          </cell>
          <cell r="AF36">
            <v>0</v>
          </cell>
          <cell r="AG36">
            <v>797105540.39999998</v>
          </cell>
          <cell r="AH36">
            <v>797105540.39999998</v>
          </cell>
          <cell r="AI36">
            <v>41515</v>
          </cell>
        </row>
        <row r="37">
          <cell r="A37" t="str">
            <v>PAF-ATF-034-2012</v>
          </cell>
          <cell r="B37" t="str">
            <v>MEJORAMIENTO HIDRÁULICO DE COLECTORES PARA MITIGAR INUNDACIONES EN EL CASCO ANTIGÜO DE LA CIUDAD DE SANTIAGO DE CALI</v>
          </cell>
          <cell r="C37">
            <v>7936480877</v>
          </cell>
          <cell r="D37">
            <v>7936480877</v>
          </cell>
          <cell r="E37">
            <v>3462319910</v>
          </cell>
          <cell r="F37">
            <v>555553661</v>
          </cell>
          <cell r="G37">
            <v>555553661</v>
          </cell>
          <cell r="H37">
            <v>0</v>
          </cell>
          <cell r="I37" t="str">
            <v>CONTRAPARTIDA DE EMCALI POR MAYOR VALOR DE OBRA</v>
          </cell>
          <cell r="J37">
            <v>239087088.96000001</v>
          </cell>
          <cell r="K37">
            <v>173306827</v>
          </cell>
          <cell r="L37">
            <v>0</v>
          </cell>
          <cell r="M37">
            <v>41254</v>
          </cell>
          <cell r="N37" t="str">
            <v>Contrato No. 036 de 2012 
CDP 274712
10 Recursos Corrientes</v>
          </cell>
          <cell r="O37" t="str">
            <v>Contrato 036 de 2012
CDP 316212
13 Nación</v>
          </cell>
          <cell r="P37" t="str">
            <v>Contrato No. 036 de 2012 
CDP 274712
10 Recursos Corrientes</v>
          </cell>
          <cell r="Q37" t="str">
            <v>GRUPO 3</v>
          </cell>
          <cell r="R37" t="str">
            <v>FAGAR SERVICIOS 97 S.L SUCURSAL COLOMBIA
FAGAR SERVICIOS 97 S.L. SUCURSAL COLOMBIA</v>
          </cell>
          <cell r="S37">
            <v>900400391</v>
          </cell>
          <cell r="T37">
            <v>41332</v>
          </cell>
          <cell r="U37">
            <v>7809547237</v>
          </cell>
          <cell r="V37">
            <v>7809547237</v>
          </cell>
          <cell r="W37">
            <v>3462319910</v>
          </cell>
          <cell r="X37">
            <v>540776340</v>
          </cell>
          <cell r="Y37">
            <v>540776340</v>
          </cell>
          <cell r="Z37">
            <v>0</v>
          </cell>
          <cell r="AA37">
            <v>0</v>
          </cell>
          <cell r="AB37" t="str">
            <v>SANTIAGO DE CALI</v>
          </cell>
          <cell r="AC37" t="str">
            <v>VALLE DEL CAUCA</v>
          </cell>
          <cell r="AD37">
            <v>41341</v>
          </cell>
          <cell r="AE37">
            <v>18</v>
          </cell>
          <cell r="AF37">
            <v>0</v>
          </cell>
          <cell r="AG37">
            <v>2342864171.0999999</v>
          </cell>
          <cell r="AH37">
            <v>2342864171.0999999</v>
          </cell>
          <cell r="AI37">
            <v>41445</v>
          </cell>
        </row>
        <row r="38">
          <cell r="A38" t="str">
            <v>PAF-ATF-035-2012***</v>
          </cell>
          <cell r="B38" t="str">
            <v>SISTEMA DE ALCANTARILLADO IV ETAPA BOJACA CUNDINAMARCA</v>
          </cell>
          <cell r="C38">
            <v>1522665444</v>
          </cell>
          <cell r="D38">
            <v>1522665444</v>
          </cell>
          <cell r="E38">
            <v>0</v>
          </cell>
          <cell r="F38">
            <v>106570943</v>
          </cell>
          <cell r="G38">
            <v>106570943</v>
          </cell>
          <cell r="H38">
            <v>0</v>
          </cell>
          <cell r="I38">
            <v>0</v>
          </cell>
          <cell r="J38">
            <v>32584727.740000002</v>
          </cell>
          <cell r="K38">
            <v>33249722</v>
          </cell>
          <cell r="L38">
            <v>0</v>
          </cell>
          <cell r="M38">
            <v>41254</v>
          </cell>
          <cell r="N38" t="str">
            <v>Contrato No. 036 de 2012
CDP 274712
16 Fondos Especiales</v>
          </cell>
          <cell r="O38" t="str">
            <v>Contrato No. 036 de 2012
CDP 274712
16 Fondos Especiales</v>
          </cell>
          <cell r="P38" t="str">
            <v>Contrato No. 136 de 2012
CDP 274712
10 Recursos Corrientes
CDP 290212
11 Recursos del Tesoro</v>
          </cell>
          <cell r="Q38" t="str">
            <v>GRUPO 3</v>
          </cell>
          <cell r="R38" t="str">
            <v>JOSE FERNANDO SUAREZ DUQUE
JOSE FERNANDO SUAREZ DUQUE</v>
          </cell>
          <cell r="S38">
            <v>10116218</v>
          </cell>
          <cell r="T38">
            <v>41332</v>
          </cell>
          <cell r="U38">
            <v>1494060395</v>
          </cell>
          <cell r="V38">
            <v>1494060395</v>
          </cell>
          <cell r="W38">
            <v>0</v>
          </cell>
          <cell r="X38">
            <v>106251360</v>
          </cell>
          <cell r="Y38">
            <v>106251360</v>
          </cell>
          <cell r="Z38">
            <v>0</v>
          </cell>
          <cell r="AA38">
            <v>0</v>
          </cell>
          <cell r="AB38" t="str">
            <v>BOJACA</v>
          </cell>
          <cell r="AC38" t="str">
            <v>CUNDINAMARCA</v>
          </cell>
          <cell r="AD38">
            <v>41348</v>
          </cell>
          <cell r="AE38">
            <v>8</v>
          </cell>
          <cell r="AF38">
            <v>0</v>
          </cell>
          <cell r="AG38">
            <v>448218118.5</v>
          </cell>
          <cell r="AH38">
            <v>448218118.5</v>
          </cell>
          <cell r="AI38">
            <v>41425</v>
          </cell>
        </row>
        <row r="39">
          <cell r="A39" t="str">
            <v>PAF-ATF-036-2012</v>
          </cell>
          <cell r="B39" t="str">
            <v>OPTIMIZACIÓN REDES DEL SISTEMA DE ACUEDUCTO DE LA CABECERA MUNICIPAL DE QUIBDÓ – CHOCÓ”</v>
          </cell>
          <cell r="C39">
            <v>43234509200</v>
          </cell>
          <cell r="D39">
            <v>25941239265</v>
          </cell>
          <cell r="E39">
            <v>17293269935</v>
          </cell>
          <cell r="F39">
            <v>3458760736</v>
          </cell>
          <cell r="G39">
            <v>3458760736</v>
          </cell>
          <cell r="H39">
            <v>0</v>
          </cell>
          <cell r="I39" t="str">
            <v xml:space="preserve">CONVENIO INTERADMINISTRATIVO 
OCAD PACIFICO$17.293.269.935 SISTEMA GENERAL DE REGALIAS MHCP OBRA CIVIL
</v>
          </cell>
          <cell r="J39">
            <v>933865398.72000003</v>
          </cell>
          <cell r="K39">
            <v>600000000</v>
          </cell>
          <cell r="L39">
            <v>0</v>
          </cell>
          <cell r="M39">
            <v>41269</v>
          </cell>
          <cell r="N39" t="str">
            <v>Contrato No. 036 de 2012
CDP 274712
16 Fondos Especiales</v>
          </cell>
          <cell r="O39" t="str">
            <v>Contrato No. 036 de 2012
CDP 274712
16 Fondos Especiales</v>
          </cell>
          <cell r="P39" t="str">
            <v>Contrato No. 036 de 2012
CDP 274712
16 Fondos Especiales</v>
          </cell>
          <cell r="Q39" t="str">
            <v>GRUPO 4</v>
          </cell>
          <cell r="R39" t="str">
            <v>UNION TEMPORAL REDES CHOCÓ 2013
SOLARTE NACIONAL DE CONSTRUCCIONES S.A.S.
SERGIO TORRES REATIGA</v>
          </cell>
          <cell r="S39">
            <v>900602996</v>
          </cell>
          <cell r="T39">
            <v>41333</v>
          </cell>
          <cell r="U39">
            <v>42556467071</v>
          </cell>
          <cell r="V39">
            <v>25263197136</v>
          </cell>
          <cell r="W39">
            <v>17293269935</v>
          </cell>
          <cell r="X39">
            <v>3366904640</v>
          </cell>
          <cell r="Y39">
            <v>3366904640</v>
          </cell>
          <cell r="Z39">
            <v>0</v>
          </cell>
          <cell r="AA39">
            <v>0</v>
          </cell>
          <cell r="AB39" t="str">
            <v>QUIBDO</v>
          </cell>
          <cell r="AC39" t="str">
            <v>CHOCO</v>
          </cell>
          <cell r="AD39">
            <v>41333</v>
          </cell>
          <cell r="AE39">
            <v>24</v>
          </cell>
          <cell r="AF39">
            <v>0</v>
          </cell>
          <cell r="AG39">
            <v>12766940121.299999</v>
          </cell>
          <cell r="AH39">
            <v>12766940121</v>
          </cell>
          <cell r="AI39">
            <v>41409</v>
          </cell>
        </row>
        <row r="40">
          <cell r="A40" t="str">
            <v>PAF-ATF-037-2012</v>
          </cell>
          <cell r="B40" t="str">
            <v>CONSTRUCCIÓN AMPLIACIÓN SISTEMA DE ALCANTARILLADO COMBINADO Y PLUVIAL, SECTOR CARRERA 15 Y 17 ENTRE CALLES 1B Y 1D BARRIO SAN CARLOS E INTERCEPTOR QUEBRADA LA PALMIRA ENTRE LOS BARRIOS VILLAS DE SAN JUAN Y PASEO CATALUÑA DEL MUNICIPIO DE PIEDECUESTA SANTANDER</v>
          </cell>
          <cell r="C40">
            <v>1826252770</v>
          </cell>
          <cell r="D40">
            <v>1826252770</v>
          </cell>
          <cell r="E40">
            <v>0</v>
          </cell>
          <cell r="F40">
            <v>144967887</v>
          </cell>
          <cell r="G40">
            <v>144967887</v>
          </cell>
          <cell r="H40">
            <v>0</v>
          </cell>
          <cell r="I40">
            <v>0</v>
          </cell>
          <cell r="J40">
            <v>39424413.140000001</v>
          </cell>
          <cell r="K40">
            <v>40228993</v>
          </cell>
          <cell r="L40">
            <v>0</v>
          </cell>
          <cell r="M40">
            <v>41269</v>
          </cell>
          <cell r="N40" t="str">
            <v>Contrato No. 036 de 2012
CDP 274712
16 Fondos Especiales</v>
          </cell>
          <cell r="O40" t="str">
            <v>Contrato No. 036 de 2012
CDP 274712
16 Fondos Especiales</v>
          </cell>
          <cell r="P40" t="str">
            <v>Contrato No. 36 de 2012
CDP 304012
11 Recursos del Tesoro</v>
          </cell>
          <cell r="Q40" t="str">
            <v>GRUPO 4</v>
          </cell>
          <cell r="R40" t="str">
            <v xml:space="preserve">CONSORCIO PROYECTOS ING
TECNICAS Y CONSTRUCCIONES CIVILES S.A. TECNICIVILES S.A.
DISEÑO E INGENIERIA ESPECIALIZADA S.A.S.
</v>
          </cell>
          <cell r="S40">
            <v>900599814</v>
          </cell>
          <cell r="T40">
            <v>41333</v>
          </cell>
          <cell r="U40">
            <v>1795167424</v>
          </cell>
          <cell r="V40">
            <v>1795167424</v>
          </cell>
          <cell r="W40">
            <v>0</v>
          </cell>
          <cell r="X40">
            <v>142710160</v>
          </cell>
          <cell r="Y40">
            <v>142710160</v>
          </cell>
          <cell r="Z40">
            <v>0</v>
          </cell>
          <cell r="AA40">
            <v>0</v>
          </cell>
          <cell r="AB40" t="str">
            <v>PIEDECUESTA</v>
          </cell>
          <cell r="AC40" t="str">
            <v>SANTANDER</v>
          </cell>
          <cell r="AD40">
            <v>41337</v>
          </cell>
          <cell r="AE40">
            <v>8</v>
          </cell>
          <cell r="AF40">
            <v>0</v>
          </cell>
          <cell r="AG40">
            <v>538550227.19999993</v>
          </cell>
          <cell r="AH40">
            <v>538550227.19999993</v>
          </cell>
          <cell r="AI40">
            <v>41425</v>
          </cell>
        </row>
        <row r="41">
          <cell r="A41" t="str">
            <v>PAF-ATF-038-2012</v>
          </cell>
          <cell r="B41" t="str">
            <v>OPTIMIZACIÓN Y AMPLIACIÓN DEL SISTEMA DE ACUEDUCTO DE LA CABECERA MUNICIPAL DEL MUNICIPIO DE OVEJAS, DEPARTAMENTO DE SUCRE”</v>
          </cell>
          <cell r="C41">
            <v>6811030992</v>
          </cell>
          <cell r="D41">
            <v>6811030992</v>
          </cell>
          <cell r="E41">
            <v>0</v>
          </cell>
          <cell r="F41">
            <v>510076154</v>
          </cell>
          <cell r="G41">
            <v>510076154</v>
          </cell>
          <cell r="H41">
            <v>0</v>
          </cell>
          <cell r="I41">
            <v>0</v>
          </cell>
          <cell r="J41">
            <v>146422142.92000002</v>
          </cell>
          <cell r="K41">
            <v>149410350</v>
          </cell>
          <cell r="L41">
            <v>0</v>
          </cell>
          <cell r="M41">
            <v>41269</v>
          </cell>
          <cell r="N41" t="str">
            <v>Contrato No. 036 de 2012 
CDP 274712
10 Recursos Corrientes</v>
          </cell>
          <cell r="O41" t="str">
            <v>Contrato No. 036 de 2012 
CDP 274712
10 Recursos Corrientes</v>
          </cell>
          <cell r="P41" t="str">
            <v>Contrato No. 036 de 2012 
CDP 274712
10 Recursos Corrientes</v>
          </cell>
          <cell r="Q41" t="str">
            <v>GRUPO 4</v>
          </cell>
          <cell r="R41" t="str">
            <v xml:space="preserve">CONSORCIO 038 SUCRE
MEJIA VILLEGAS CONSTRUCCIONES S.A
DIEGO JARAMILLO GÓMEZ
</v>
          </cell>
          <cell r="S41">
            <v>900612095</v>
          </cell>
          <cell r="T41">
            <v>41355</v>
          </cell>
          <cell r="U41">
            <v>6620474198</v>
          </cell>
          <cell r="V41">
            <v>6620474198</v>
          </cell>
          <cell r="W41">
            <v>0</v>
          </cell>
          <cell r="X41">
            <v>493707600</v>
          </cell>
          <cell r="Y41">
            <v>493707600</v>
          </cell>
          <cell r="Z41">
            <v>0</v>
          </cell>
          <cell r="AA41">
            <v>0</v>
          </cell>
          <cell r="AB41" t="str">
            <v>OVEJAS</v>
          </cell>
          <cell r="AC41" t="str">
            <v>SUCRE</v>
          </cell>
          <cell r="AD41">
            <v>41383</v>
          </cell>
          <cell r="AE41">
            <v>16</v>
          </cell>
          <cell r="AF41">
            <v>0</v>
          </cell>
          <cell r="AG41">
            <v>1986142259.3999999</v>
          </cell>
          <cell r="AH41">
            <v>0</v>
          </cell>
          <cell r="AI41">
            <v>0</v>
          </cell>
        </row>
        <row r="42">
          <cell r="A42" t="str">
            <v>PAF-ATF-042-2013</v>
          </cell>
          <cell r="B42" t="str">
            <v>CONSTRUCCIÓN DE REDES DE ALCANTARILLADO EN DIFERENTES SITIOS DE LA ZONA URBANA DEL MUNICIPIO DE ENVIGADO-ANTIOQUIA”</v>
          </cell>
          <cell r="C42">
            <v>5143077886</v>
          </cell>
          <cell r="D42">
            <v>5143077886</v>
          </cell>
          <cell r="E42">
            <v>0</v>
          </cell>
          <cell r="F42">
            <v>347341120</v>
          </cell>
          <cell r="G42">
            <v>347341120</v>
          </cell>
          <cell r="H42">
            <v>0</v>
          </cell>
          <cell r="I42">
            <v>0</v>
          </cell>
          <cell r="J42">
            <v>109808380.12</v>
          </cell>
          <cell r="K42">
            <v>112049367</v>
          </cell>
          <cell r="L42">
            <v>0</v>
          </cell>
          <cell r="M42">
            <v>41306</v>
          </cell>
          <cell r="N42" t="str">
            <v>Contrato No. 159 de 2013
CDP 22813
11 Recursos del Tesoro</v>
          </cell>
          <cell r="O42" t="str">
            <v>Contrato No. 159 de 2013
CDP 22813
11 Recursos del Tesoro</v>
          </cell>
          <cell r="P42" t="str">
            <v>Contrato No. 159 de 2013
CDP 22813
11 Recursos del Tesoro</v>
          </cell>
          <cell r="Q42" t="str">
            <v>GRUPO 5</v>
          </cell>
          <cell r="R42" t="str">
            <v>CONSORCIO PROSPERIDAD 2013
LA MACUIRA INVERSIONES Y CONSTRUCCIONES S.A.
VNF S.A.
HORACIO VEGA CARDENAS</v>
          </cell>
          <cell r="S42">
            <v>900606407</v>
          </cell>
          <cell r="T42">
            <v>41355</v>
          </cell>
          <cell r="U42">
            <v>4824119373</v>
          </cell>
          <cell r="V42">
            <v>4824119373</v>
          </cell>
          <cell r="W42">
            <v>0</v>
          </cell>
          <cell r="X42">
            <v>319175160</v>
          </cell>
          <cell r="Y42">
            <v>319175160</v>
          </cell>
          <cell r="Z42">
            <v>0</v>
          </cell>
          <cell r="AA42">
            <v>0</v>
          </cell>
          <cell r="AB42" t="str">
            <v>ENVIGADO</v>
          </cell>
          <cell r="AC42" t="str">
            <v>ANTIOQUIA</v>
          </cell>
          <cell r="AD42">
            <v>41376</v>
          </cell>
          <cell r="AE42">
            <v>6</v>
          </cell>
          <cell r="AF42">
            <v>0</v>
          </cell>
          <cell r="AG42">
            <v>1447235811.8999999</v>
          </cell>
          <cell r="AH42">
            <v>1447235811.8999999</v>
          </cell>
          <cell r="AI42">
            <v>41521</v>
          </cell>
        </row>
        <row r="43">
          <cell r="A43" t="str">
            <v>PAF-ATF-043-2013</v>
          </cell>
          <cell r="B43" t="str">
            <v>CONSTRUCCIÓN DE REDES DE ACUEDUCTO Y ALCANTARILLADO PARA LA VEREDA SANTA CATALINA EN EL MUNICIPIO DE ENVIGADO – ETAPA III”</v>
          </cell>
          <cell r="C43">
            <v>4923378401</v>
          </cell>
          <cell r="D43">
            <v>4923378401</v>
          </cell>
          <cell r="E43">
            <v>0</v>
          </cell>
          <cell r="F43">
            <v>332332076</v>
          </cell>
          <cell r="G43">
            <v>332332076</v>
          </cell>
          <cell r="H43">
            <v>0</v>
          </cell>
          <cell r="I43">
            <v>0</v>
          </cell>
          <cell r="J43">
            <v>105114209.54000001</v>
          </cell>
          <cell r="K43">
            <v>107259397</v>
          </cell>
          <cell r="L43">
            <v>0</v>
          </cell>
          <cell r="M43">
            <v>41306</v>
          </cell>
          <cell r="N43" t="str">
            <v>Contrato No. 159 de 2013
CDP 22813
11 Recursos del Tesoro</v>
          </cell>
          <cell r="O43" t="str">
            <v>Contrato No. 159 de 2013
CDP 22813
11 Recursos del Tesoro</v>
          </cell>
          <cell r="P43" t="str">
            <v>Contrato No. 159 de 2013
CDP 22813
11 Recursos del Tesoro</v>
          </cell>
          <cell r="Q43" t="str">
            <v>GRUPO 5</v>
          </cell>
          <cell r="R43" t="str">
            <v>CONSORCIO REDES NORTE
INGEAGUAS S.A.S
CONSTRUCCIONES PIEDRA S.A.
CONSTRUCCIONES LUJAN S.A.</v>
          </cell>
          <cell r="S43">
            <v>900605747</v>
          </cell>
          <cell r="T43">
            <v>41355</v>
          </cell>
          <cell r="U43">
            <v>4676302180</v>
          </cell>
          <cell r="V43">
            <v>4676302180</v>
          </cell>
          <cell r="W43">
            <v>0</v>
          </cell>
          <cell r="X43">
            <v>309891680</v>
          </cell>
          <cell r="Y43">
            <v>309891680</v>
          </cell>
          <cell r="Z43">
            <v>0</v>
          </cell>
          <cell r="AA43">
            <v>0</v>
          </cell>
          <cell r="AB43" t="str">
            <v>ENVIGADO</v>
          </cell>
          <cell r="AC43" t="str">
            <v>ANTIOQUIA</v>
          </cell>
          <cell r="AD43">
            <v>41376</v>
          </cell>
          <cell r="AE43">
            <v>8</v>
          </cell>
          <cell r="AF43">
            <v>0</v>
          </cell>
          <cell r="AG43">
            <v>1402890654</v>
          </cell>
          <cell r="AH43">
            <v>1402890654</v>
          </cell>
          <cell r="AI43">
            <v>41514</v>
          </cell>
        </row>
        <row r="44">
          <cell r="A44" t="str">
            <v>PAF-ATF-044-2013</v>
          </cell>
          <cell r="B44" t="str">
            <v>CONSTRUCCIÓN PLANTA DE TRATAMIENTO DE AGUAS RESIDUALES DOMESTICAS (PTAR) EN EL MUNICIPIO DE CHIQUINQUIRÁ - BOYACA”</v>
          </cell>
          <cell r="C44">
            <v>22089959824</v>
          </cell>
          <cell r="D44">
            <v>19655556088</v>
          </cell>
          <cell r="E44">
            <v>2434403736</v>
          </cell>
          <cell r="F44">
            <v>1767196786</v>
          </cell>
          <cell r="G44">
            <v>1767196786</v>
          </cell>
          <cell r="H44">
            <v>0</v>
          </cell>
          <cell r="I44" t="str">
            <v>CORPORACIÓN AUTONOMA REGIONAL DE CUNDINAMARCA $2.434.403.736</v>
          </cell>
          <cell r="J44">
            <v>477143132.19999999</v>
          </cell>
          <cell r="K44">
            <v>437199038</v>
          </cell>
          <cell r="L44">
            <v>0</v>
          </cell>
          <cell r="M44">
            <v>41306</v>
          </cell>
          <cell r="N44" t="str">
            <v>Contrato No. 159 de 2013
CDP 22813
11 Recursos del Tesoro</v>
          </cell>
          <cell r="O44" t="str">
            <v>Contrato No. 159 de 2013
CDP 22813
11 Recursos del Tesoro</v>
          </cell>
          <cell r="P44" t="str">
            <v>Contrato No. 159 de 2013
CDP 22813
11 Recursos del Tesoro</v>
          </cell>
          <cell r="Q44" t="str">
            <v>GRUPO 5</v>
          </cell>
          <cell r="R44" t="str">
            <v>CONSORCIO ALIANZA YDN CHIQUINQUIRA
YAMIL SABBAGH SOLANO
NOARCO S.A.</v>
          </cell>
          <cell r="S44">
            <v>900606472</v>
          </cell>
          <cell r="T44">
            <v>41355</v>
          </cell>
          <cell r="U44">
            <v>21142407457</v>
          </cell>
          <cell r="V44">
            <v>18708003721</v>
          </cell>
          <cell r="W44">
            <v>2434403736</v>
          </cell>
          <cell r="X44">
            <v>1633271880</v>
          </cell>
          <cell r="Y44">
            <v>1633271880</v>
          </cell>
          <cell r="Z44">
            <v>0</v>
          </cell>
          <cell r="AA44">
            <v>0</v>
          </cell>
          <cell r="AB44" t="str">
            <v>CHIQUINQUIRA</v>
          </cell>
          <cell r="AC44" t="str">
            <v>BOYACA</v>
          </cell>
          <cell r="AD44">
            <v>41366</v>
          </cell>
          <cell r="AE44">
            <v>24</v>
          </cell>
          <cell r="AF44">
            <v>0</v>
          </cell>
          <cell r="AG44">
            <v>6342722237.0999994</v>
          </cell>
          <cell r="AH44">
            <v>6342722237.0999994</v>
          </cell>
          <cell r="AI44">
            <v>41514</v>
          </cell>
        </row>
        <row r="45">
          <cell r="A45" t="str">
            <v>PAF-ATF-045-2013</v>
          </cell>
          <cell r="B45" t="str">
            <v>OPTIMIZACIÓN PLANTA NIZA Y CONSTRUCCIÓN DE LÍNEAS DE BY PASS EN EL SECTOR DE LA PLANTA DE TRATAMIENTO DE AGUA POTABLE LUÍS PRIETO GÓMEZ, DEL MUNICIPIO DE MANIZALES”</v>
          </cell>
          <cell r="C45">
            <v>11843415012</v>
          </cell>
          <cell r="D45">
            <v>7381072589</v>
          </cell>
          <cell r="E45">
            <v>4462342424</v>
          </cell>
          <cell r="F45">
            <v>736379128</v>
          </cell>
          <cell r="G45">
            <v>458927411</v>
          </cell>
          <cell r="H45">
            <v>277451716</v>
          </cell>
          <cell r="I45" t="str">
            <v xml:space="preserve">MUNICIPIO $4.739.794.140 
OBRA CIVIL $4.462.342.424
INTERVENTORIA $277.451.716
</v>
          </cell>
          <cell r="J45">
            <v>251595882.80000001</v>
          </cell>
          <cell r="K45">
            <v>160000000</v>
          </cell>
          <cell r="L45">
            <v>0</v>
          </cell>
          <cell r="M45">
            <v>41306</v>
          </cell>
          <cell r="N45" t="str">
            <v>Contrato No. 159 de 2013
CDP 22813
11 Recursos del Tesoro</v>
          </cell>
          <cell r="O45" t="str">
            <v>Contrato No. 159 de 2013
CDP 22813
11 Recursos del Tesoro</v>
          </cell>
          <cell r="P45" t="str">
            <v>Contrato No. 159 de 2013
CDP 22813
11 Recursos del Tesoro</v>
          </cell>
          <cell r="Q45" t="str">
            <v>GRUPO 5</v>
          </cell>
          <cell r="R45" t="str">
            <v xml:space="preserve">CONSORCIO CONSTRUCTOR MANIZALES
Z.R. INGENIERIA S.A.
KONIDOL S.A
INGEAGUAS S.A.S.
</v>
          </cell>
          <cell r="S45">
            <v>900605737</v>
          </cell>
          <cell r="T45">
            <v>41355</v>
          </cell>
          <cell r="U45">
            <v>11286774436</v>
          </cell>
          <cell r="V45">
            <v>6824432012</v>
          </cell>
          <cell r="W45">
            <v>4462342424</v>
          </cell>
          <cell r="X45">
            <v>684679560</v>
          </cell>
          <cell r="Y45">
            <v>407227844</v>
          </cell>
          <cell r="Z45">
            <v>277451716</v>
          </cell>
          <cell r="AA45">
            <v>0</v>
          </cell>
          <cell r="AB45" t="str">
            <v>MANIZALES</v>
          </cell>
          <cell r="AC45" t="str">
            <v>CALDAS</v>
          </cell>
          <cell r="AD45">
            <v>41373</v>
          </cell>
          <cell r="AE45">
            <v>12</v>
          </cell>
          <cell r="AF45">
            <v>0</v>
          </cell>
          <cell r="AG45">
            <v>3386032330.7999997</v>
          </cell>
          <cell r="AH45">
            <v>3386032330.7999997</v>
          </cell>
          <cell r="AI45">
            <v>41514</v>
          </cell>
        </row>
        <row r="46">
          <cell r="A46" t="str">
            <v>PAF-ATF-046-2013</v>
          </cell>
          <cell r="B46" t="str">
            <v>CONSTRUCCIÓN DE REDES DE ACUEDUCTO Y ALCANTARILLADO SANITARIO DEL PROYECTO URBANÍSTICO DE INTERÉS SOCIAL ALTOS DE SAN LUÍS, MUNICIPIO DE SANTANDER DE QUILICHAO”</v>
          </cell>
          <cell r="C46">
            <v>1542209588</v>
          </cell>
          <cell r="D46">
            <v>1542209588</v>
          </cell>
          <cell r="E46">
            <v>0</v>
          </cell>
          <cell r="F46">
            <v>103015358</v>
          </cell>
          <cell r="G46">
            <v>103015358</v>
          </cell>
          <cell r="H46">
            <v>0</v>
          </cell>
          <cell r="I46">
            <v>0</v>
          </cell>
          <cell r="J46">
            <v>32904498.920000002</v>
          </cell>
          <cell r="K46">
            <v>33576019</v>
          </cell>
          <cell r="L46">
            <v>0</v>
          </cell>
          <cell r="M46">
            <v>41306</v>
          </cell>
          <cell r="N46" t="str">
            <v>Contrato No. 036 de 2012 
CDP 274712
10 Recursos Corrientes</v>
          </cell>
          <cell r="O46" t="str">
            <v>Contrato No. 036 de 2012 
CDP 274712
10 Recursos Corrientes</v>
          </cell>
          <cell r="P46" t="str">
            <v>Contrato No. 036 de 2012 
CDP 274712
10 Recursos Corrientes</v>
          </cell>
          <cell r="Q46" t="str">
            <v>GRUPO 5</v>
          </cell>
          <cell r="R46" t="str">
            <v>JOSE FERNANDO SUAREZ DUQUE</v>
          </cell>
          <cell r="S46">
            <v>10116218</v>
          </cell>
          <cell r="T46">
            <v>41355</v>
          </cell>
          <cell r="U46">
            <v>1479289443</v>
          </cell>
          <cell r="V46">
            <v>1479289443</v>
          </cell>
          <cell r="W46">
            <v>0</v>
          </cell>
          <cell r="X46">
            <v>95423775</v>
          </cell>
          <cell r="Y46">
            <v>95423775</v>
          </cell>
          <cell r="Z46">
            <v>0</v>
          </cell>
          <cell r="AA46">
            <v>0</v>
          </cell>
          <cell r="AB46" t="str">
            <v>SANTANDER DE QUILICHAO</v>
          </cell>
          <cell r="AC46" t="str">
            <v>CAUCA</v>
          </cell>
          <cell r="AD46">
            <v>41381</v>
          </cell>
          <cell r="AE46">
            <v>5</v>
          </cell>
          <cell r="AF46">
            <v>0</v>
          </cell>
          <cell r="AG46">
            <v>443786832.89999998</v>
          </cell>
          <cell r="AH46">
            <v>0</v>
          </cell>
          <cell r="AI46">
            <v>0</v>
          </cell>
        </row>
        <row r="47">
          <cell r="A47" t="str">
            <v>PAF-ATF-047-2013</v>
          </cell>
          <cell r="B47" t="str">
            <v>CONSTRUCCIÓN PLANTA DE TRATAMIENTO DE AGUA POTABLE LA NUEVA AURORA Y OBRAS COMPLEMENTARIAS MUNICIPIO DE PEREIRA”</v>
          </cell>
          <cell r="C47">
            <v>11416051890</v>
          </cell>
          <cell r="D47">
            <v>6816051890</v>
          </cell>
          <cell r="E47">
            <v>4600000000</v>
          </cell>
          <cell r="F47">
            <v>799123632</v>
          </cell>
          <cell r="G47">
            <v>799123632</v>
          </cell>
          <cell r="H47">
            <v>0</v>
          </cell>
          <cell r="I47" t="str">
            <v>CONVENIO INTERADMINISTRATIVO                                                                                                                                                                                                                                   
 EAAA PEREIRA S.A. E.S.P$4.600.000.000</v>
          </cell>
          <cell r="J47">
            <v>244303510.44</v>
          </cell>
          <cell r="K47">
            <v>155411745</v>
          </cell>
          <cell r="L47">
            <v>0</v>
          </cell>
          <cell r="M47">
            <v>41306</v>
          </cell>
          <cell r="N47" t="str">
            <v>Contrato No. 159 de 2013
CDP 22813
11 Recursos del Tesoro</v>
          </cell>
          <cell r="O47" t="str">
            <v>Contrato No. 159 de 2013
CDP 22813
11 Recursos del Tesoro</v>
          </cell>
          <cell r="P47" t="str">
            <v>Contrato No. 159 de 2013
CDP 22813
11 Recursos del Tesoro</v>
          </cell>
          <cell r="Q47" t="str">
            <v>GRUPO 5</v>
          </cell>
          <cell r="R47" t="str">
            <v>CONSORCIO CONSTRUCTOR NUEVA AURORA
Z.R. INGENIERIA S.A.
MEYAN S.A.</v>
          </cell>
          <cell r="S47">
            <v>900605771</v>
          </cell>
          <cell r="T47">
            <v>41355</v>
          </cell>
          <cell r="U47">
            <v>10976002611</v>
          </cell>
          <cell r="V47">
            <v>6376002611</v>
          </cell>
          <cell r="W47">
            <v>4600000000</v>
          </cell>
          <cell r="X47">
            <v>733455704</v>
          </cell>
          <cell r="Y47">
            <v>733455704</v>
          </cell>
          <cell r="Z47">
            <v>0</v>
          </cell>
          <cell r="AA47">
            <v>0</v>
          </cell>
          <cell r="AB47" t="str">
            <v>PEREIRA</v>
          </cell>
          <cell r="AC47" t="str">
            <v>RISARALDA</v>
          </cell>
          <cell r="AD47">
            <v>41373</v>
          </cell>
          <cell r="AE47">
            <v>8</v>
          </cell>
          <cell r="AF47">
            <v>0</v>
          </cell>
          <cell r="AG47">
            <v>3292800783.2999997</v>
          </cell>
          <cell r="AH47">
            <v>3292800783.2999997</v>
          </cell>
          <cell r="AI47">
            <v>41514</v>
          </cell>
        </row>
        <row r="48">
          <cell r="A48" t="str">
            <v>PAF-ATF-048-2013</v>
          </cell>
          <cell r="B48" t="str">
            <v>“CONSTRUCCIÓN OBRAS PRIORITARIAS DE ACUEDUCTO FASE I DEL MUNICIPIO DE ESPINAL”</v>
          </cell>
          <cell r="C48">
            <v>7698080646</v>
          </cell>
          <cell r="D48">
            <v>7698080646</v>
          </cell>
          <cell r="E48">
            <v>0</v>
          </cell>
          <cell r="F48">
            <v>538865645</v>
          </cell>
          <cell r="G48">
            <v>538865645</v>
          </cell>
          <cell r="H48">
            <v>0</v>
          </cell>
          <cell r="I48">
            <v>0</v>
          </cell>
          <cell r="J48">
            <v>164738925.81999999</v>
          </cell>
          <cell r="K48">
            <v>168100945</v>
          </cell>
          <cell r="L48">
            <v>0</v>
          </cell>
          <cell r="M48">
            <v>41306</v>
          </cell>
          <cell r="N48" t="str">
            <v>Contrato No. 159 de 2013
CDP 22813
11 Recursos del Tesoro</v>
          </cell>
          <cell r="O48" t="str">
            <v>Contrato No. 159 de 2013
CDP 22813
11 Recursos del Tesoro</v>
          </cell>
          <cell r="P48" t="str">
            <v>Contrato No. 159 de 2013
CDP 22813
11 Recursos del Tesoro</v>
          </cell>
          <cell r="Q48" t="str">
            <v>GRUPO 5</v>
          </cell>
          <cell r="R48" t="str">
            <v>CONSORCIO REDES ESPINAL
ESPINA Y DELFIN COLOMBIA
INGEAGUAS S.A.S.</v>
          </cell>
          <cell r="S48">
            <v>900605763</v>
          </cell>
          <cell r="T48">
            <v>41355</v>
          </cell>
          <cell r="U48">
            <v>7395718728</v>
          </cell>
          <cell r="V48">
            <v>7395718728</v>
          </cell>
          <cell r="W48">
            <v>0</v>
          </cell>
          <cell r="X48">
            <v>533223174</v>
          </cell>
          <cell r="Y48">
            <v>533223174</v>
          </cell>
          <cell r="Z48">
            <v>0</v>
          </cell>
          <cell r="AA48">
            <v>0</v>
          </cell>
          <cell r="AB48" t="str">
            <v>EL ESPINAL</v>
          </cell>
          <cell r="AC48" t="str">
            <v>TOLIMA</v>
          </cell>
          <cell r="AD48">
            <v>41375</v>
          </cell>
          <cell r="AE48">
            <v>22</v>
          </cell>
          <cell r="AF48">
            <v>0</v>
          </cell>
          <cell r="AG48">
            <v>2218715618.4000001</v>
          </cell>
          <cell r="AH48">
            <v>2218715618.4000001</v>
          </cell>
          <cell r="AI48">
            <v>41514</v>
          </cell>
        </row>
        <row r="49">
          <cell r="A49" t="str">
            <v>PAF-ATF-049-2013</v>
          </cell>
          <cell r="B49" t="str">
            <v>“CONSTRUCCIÓN DE LA PRIMERA ETAPA DEL SISTEMA DE ALCANTARILLADO PARA LA URBANIZACIÓN MUNDO FELIZ Y EL BARRIO LAS PETRONITAS DE GALAPA- ATLANTICO”</v>
          </cell>
          <cell r="C49">
            <v>6721160647</v>
          </cell>
          <cell r="D49">
            <v>6721160647</v>
          </cell>
          <cell r="E49">
            <v>0</v>
          </cell>
          <cell r="F49">
            <v>468653962</v>
          </cell>
          <cell r="G49">
            <v>468653962</v>
          </cell>
          <cell r="H49">
            <v>0</v>
          </cell>
          <cell r="I49">
            <v>0</v>
          </cell>
          <cell r="J49">
            <v>143796292.18000001</v>
          </cell>
          <cell r="K49">
            <v>146730910</v>
          </cell>
          <cell r="L49">
            <v>0</v>
          </cell>
          <cell r="M49">
            <v>41317</v>
          </cell>
          <cell r="N49" t="str">
            <v>Contrato No. 159 de 2013
CDP 22813
11 Recursos del Tesoro</v>
          </cell>
          <cell r="O49" t="str">
            <v>Contrato No. 159 de 2013
CDP 22813
11 Recursos del Tesoro</v>
          </cell>
          <cell r="P49" t="str">
            <v>Contrato No. 159 de 2013
CDP 22813
11 Recursos del Tesoro</v>
          </cell>
          <cell r="Q49" t="str">
            <v>GRUPO 6</v>
          </cell>
          <cell r="R49" t="str">
            <v>UNION AGUAS DEL CARIBE
LA MACUIRA INVERSIONES Y CONSTRUCCIONES S.A.
CONSTRUCTORA YACAMAN VIVERO S.A.</v>
          </cell>
          <cell r="S49">
            <v>900610016</v>
          </cell>
          <cell r="T49">
            <v>41380</v>
          </cell>
          <cell r="U49">
            <v>6465372449</v>
          </cell>
          <cell r="V49">
            <v>6465372449</v>
          </cell>
          <cell r="W49">
            <v>0</v>
          </cell>
          <cell r="X49">
            <v>468066343</v>
          </cell>
          <cell r="Y49">
            <v>468066343</v>
          </cell>
          <cell r="Z49">
            <v>0</v>
          </cell>
          <cell r="AA49">
            <v>0</v>
          </cell>
          <cell r="AB49" t="str">
            <v>GALAPA</v>
          </cell>
          <cell r="AC49" t="str">
            <v>ATLANTICO</v>
          </cell>
          <cell r="AD49">
            <v>41384</v>
          </cell>
          <cell r="AE49">
            <v>12</v>
          </cell>
          <cell r="AF49">
            <v>0</v>
          </cell>
          <cell r="AG49">
            <v>1939611734.6999998</v>
          </cell>
          <cell r="AH49">
            <v>1939611734.6999998</v>
          </cell>
          <cell r="AI49">
            <v>41514</v>
          </cell>
        </row>
        <row r="50">
          <cell r="A50" t="str">
            <v>PAF-ATF-050-2013</v>
          </cell>
          <cell r="B50" t="str">
            <v>“OPTIMIZACION Y AMPLIACION DEL SISTEMA DE ACUEDUCTO CASCO URBANO MUNICIPIO DE EL CARMEN DE BOLIVAR- BOLIVAR”</v>
          </cell>
          <cell r="C50">
            <v>35529038286</v>
          </cell>
          <cell r="D50">
            <v>20000000000</v>
          </cell>
          <cell r="E50">
            <v>15529038296</v>
          </cell>
          <cell r="F50">
            <v>2487032680</v>
          </cell>
          <cell r="G50">
            <v>2487032680</v>
          </cell>
          <cell r="H50">
            <v>0</v>
          </cell>
          <cell r="I50" t="str">
            <v xml:space="preserve">CONVENIO INTERADMINISTRATIVO                                                                                                                                                                                                                                      
$15.529.038.286 OBRA CIVIL
CONTRAPARTIDA DEPARTAMENTO
</v>
          </cell>
          <cell r="J50">
            <v>760321419.51999998</v>
          </cell>
          <cell r="K50">
            <v>458919034</v>
          </cell>
          <cell r="L50">
            <v>0</v>
          </cell>
          <cell r="M50">
            <v>41317</v>
          </cell>
          <cell r="N50" t="str">
            <v>Contrato No. 036 de 2012
CDP 274712
16 Fondos Especiales</v>
          </cell>
          <cell r="O50" t="str">
            <v>Contrato No. 036 de 2012
CDP 274712
16 Fondos Especiales</v>
          </cell>
          <cell r="P50" t="str">
            <v>Contrato No. 036 de 2012
CDP 274712
16 Fondos Especiales</v>
          </cell>
          <cell r="Q50" t="str">
            <v>GRUPO 6</v>
          </cell>
          <cell r="R50" t="str">
            <v xml:space="preserve">CONSORCIO ALIANZA YDN CARMEN
YAMIL SABAAGH CONSTRUCCIONES S.A.S
D&amp; S S.A.
EDIFICACIONES TRIVAL S.A. C.V.
</v>
          </cell>
          <cell r="S50">
            <v>900620386</v>
          </cell>
          <cell r="T50">
            <v>41412</v>
          </cell>
          <cell r="U50">
            <v>34089877852</v>
          </cell>
          <cell r="V50">
            <v>18560839556</v>
          </cell>
          <cell r="W50">
            <v>15529038296</v>
          </cell>
          <cell r="X50">
            <v>2309830520</v>
          </cell>
          <cell r="Y50">
            <v>2309830520</v>
          </cell>
          <cell r="Z50">
            <v>0</v>
          </cell>
          <cell r="AA50">
            <v>0</v>
          </cell>
          <cell r="AB50" t="str">
            <v>CARMEN DE BOLIVAR</v>
          </cell>
          <cell r="AC50" t="str">
            <v>BOLIVAR</v>
          </cell>
          <cell r="AD50">
            <v>41417</v>
          </cell>
          <cell r="AE50">
            <v>9</v>
          </cell>
          <cell r="AF50">
            <v>0</v>
          </cell>
          <cell r="AG50">
            <v>10226963355.6</v>
          </cell>
          <cell r="AH50">
            <v>10226963355.6</v>
          </cell>
          <cell r="AI50">
            <v>41480</v>
          </cell>
        </row>
        <row r="51">
          <cell r="A51" t="str">
            <v>PAF-ATF-051-2013</v>
          </cell>
          <cell r="B51" t="str">
            <v>“OPTIMIZACIÓN, CONSTRUCCIÓN Y/O AMPLIACIÓN SISTEMA DE ACUEDUCTO MUNICIPIO DE MAGANGUÉ- BOLIVAR”</v>
          </cell>
          <cell r="C51">
            <v>7774573674</v>
          </cell>
          <cell r="D51">
            <v>7774573674</v>
          </cell>
          <cell r="E51">
            <v>0</v>
          </cell>
          <cell r="F51">
            <v>554220157</v>
          </cell>
          <cell r="G51">
            <v>554220157</v>
          </cell>
          <cell r="H51">
            <v>0</v>
          </cell>
          <cell r="I51">
            <v>0</v>
          </cell>
          <cell r="J51">
            <v>166575876.62</v>
          </cell>
          <cell r="K51">
            <v>169771303</v>
          </cell>
          <cell r="L51">
            <v>0</v>
          </cell>
          <cell r="M51">
            <v>41317</v>
          </cell>
          <cell r="N51" t="str">
            <v>Contrato No. 036 de 2012
CDP 274712
16 Fondos Especiales</v>
          </cell>
          <cell r="O51" t="str">
            <v>Contrato No. 036 de 2012
CDP 274712
16 Fondos Especiales</v>
          </cell>
          <cell r="P51" t="str">
            <v>Contrato No. 159 de 2013
CDP 22813
11 Recursos del tesoro</v>
          </cell>
          <cell r="Q51" t="str">
            <v>GRUPO 6</v>
          </cell>
          <cell r="R51" t="str">
            <v>VALORES Y CONTRATOS S.A.</v>
          </cell>
          <cell r="S51">
            <v>800182330</v>
          </cell>
          <cell r="T51">
            <v>41380</v>
          </cell>
          <cell r="U51">
            <v>7596432647</v>
          </cell>
          <cell r="V51">
            <v>7596432647</v>
          </cell>
          <cell r="W51">
            <v>0</v>
          </cell>
          <cell r="X51">
            <v>493174000</v>
          </cell>
          <cell r="Y51">
            <v>493174000</v>
          </cell>
          <cell r="Z51">
            <v>0</v>
          </cell>
          <cell r="AA51">
            <v>0</v>
          </cell>
          <cell r="AB51" t="str">
            <v>MAGANGUE</v>
          </cell>
          <cell r="AC51" t="str">
            <v>BOLIVAR</v>
          </cell>
          <cell r="AD51">
            <v>41417</v>
          </cell>
          <cell r="AE51">
            <v>8</v>
          </cell>
          <cell r="AF51">
            <v>0</v>
          </cell>
          <cell r="AG51">
            <v>2278929794.0999999</v>
          </cell>
          <cell r="AH51">
            <v>2278929794.0999999</v>
          </cell>
          <cell r="AI51">
            <v>41523</v>
          </cell>
        </row>
        <row r="52">
          <cell r="A52" t="str">
            <v>PAF-ATF-052-2013</v>
          </cell>
          <cell r="B52" t="str">
            <v>“MEJORAMIENTO REDES DE ALCANTARILLADO BARRIO LAS FERIAS DEL MUNICIPIO DE LA DORADA - CALDAS FASE II”</v>
          </cell>
          <cell r="C52">
            <v>4455164840</v>
          </cell>
          <cell r="D52">
            <v>4455164840</v>
          </cell>
          <cell r="E52">
            <v>0</v>
          </cell>
          <cell r="F52">
            <v>356413187</v>
          </cell>
          <cell r="G52">
            <v>356413187</v>
          </cell>
          <cell r="H52">
            <v>0</v>
          </cell>
          <cell r="I52">
            <v>0</v>
          </cell>
          <cell r="J52">
            <v>96231560.540000007</v>
          </cell>
          <cell r="K52">
            <v>98195470</v>
          </cell>
          <cell r="L52">
            <v>0</v>
          </cell>
          <cell r="M52">
            <v>41317</v>
          </cell>
          <cell r="N52" t="str">
            <v>Contrato No. 159 de 2013
CDP 22813
11 Recursos del Tesoro</v>
          </cell>
          <cell r="O52" t="str">
            <v>Contrato No. 159 de 2013
CDP 22813
11 Recursos del Tesoro</v>
          </cell>
          <cell r="P52" t="str">
            <v>Contrato No. 159 de 2013
CDP 22813
11 Recursos del Tesoro</v>
          </cell>
          <cell r="Q52" t="str">
            <v>GRUPO 6</v>
          </cell>
          <cell r="R52" t="str">
            <v>CONSORCIO ALCANTARILLADO DORADA 2013
JAIRO EFRÁIN CERON MARTINEZ
ING. CIVILES ASOCIADOS CONSTRUCCIONES S.A.S.</v>
          </cell>
          <cell r="S52">
            <v>900611967</v>
          </cell>
          <cell r="T52">
            <v>41380</v>
          </cell>
          <cell r="U52">
            <v>3908439344</v>
          </cell>
          <cell r="V52">
            <v>3908439344</v>
          </cell>
          <cell r="W52">
            <v>0</v>
          </cell>
          <cell r="X52">
            <v>286011464</v>
          </cell>
          <cell r="Y52">
            <v>286011464</v>
          </cell>
          <cell r="Z52">
            <v>0</v>
          </cell>
          <cell r="AA52">
            <v>0</v>
          </cell>
          <cell r="AB52" t="str">
            <v>LA DORADA</v>
          </cell>
          <cell r="AC52" t="str">
            <v>CALDAS</v>
          </cell>
          <cell r="AD52">
            <v>41387</v>
          </cell>
          <cell r="AE52">
            <v>6</v>
          </cell>
          <cell r="AF52">
            <v>0</v>
          </cell>
          <cell r="AG52">
            <v>1172531803.2</v>
          </cell>
          <cell r="AH52">
            <v>1172531803.2</v>
          </cell>
          <cell r="AI52">
            <v>41514</v>
          </cell>
        </row>
        <row r="53">
          <cell r="A53" t="str">
            <v>PAF-ATF-053-2013
PAF-ATF-102-2013</v>
          </cell>
          <cell r="B53" t="str">
            <v>“ACUEDUCTO REGIONAL INTERDEPARTAMENTAL”</v>
          </cell>
          <cell r="C53">
            <v>32937853075</v>
          </cell>
          <cell r="D53">
            <v>32937853075</v>
          </cell>
          <cell r="E53">
            <v>0</v>
          </cell>
          <cell r="F53">
            <v>1279077857</v>
          </cell>
          <cell r="G53">
            <v>1279077857</v>
          </cell>
          <cell r="H53">
            <v>0</v>
          </cell>
          <cell r="I53">
            <v>0</v>
          </cell>
          <cell r="J53">
            <v>684338618.63999999</v>
          </cell>
          <cell r="K53">
            <v>698304713</v>
          </cell>
          <cell r="L53">
            <v>0</v>
          </cell>
          <cell r="M53">
            <v>41317</v>
          </cell>
          <cell r="N53" t="str">
            <v>Contrato No. 159 de 2013
CDP 22813
11 Recursos del Tesoro</v>
          </cell>
          <cell r="O53" t="str">
            <v>Contrato No. 159 de 2013
CDP 22813
11 Recursos del Tesoro</v>
          </cell>
          <cell r="P53" t="str">
            <v>Contrato No. 159 de 2013
CDP 22813
11 Recursos del Tesoro</v>
          </cell>
          <cell r="Q53" t="str">
            <v>GRUPO 6
GRUPO 14</v>
          </cell>
          <cell r="R53" t="str">
            <v>CONSTRUCTORA CONCRETO S.A.</v>
          </cell>
          <cell r="S53">
            <v>890901110</v>
          </cell>
          <cell r="T53">
            <v>41558</v>
          </cell>
          <cell r="U53">
            <v>26350344906</v>
          </cell>
          <cell r="V53">
            <v>26350344906</v>
          </cell>
          <cell r="W53">
            <v>0</v>
          </cell>
          <cell r="X53">
            <v>1227716160</v>
          </cell>
          <cell r="Y53">
            <v>1227716160</v>
          </cell>
          <cell r="Z53">
            <v>0</v>
          </cell>
          <cell r="AA53">
            <v>0</v>
          </cell>
          <cell r="AB53" t="str">
            <v>GUACHENÈ, PADILLA,PUERTO TEJADA, VILLA RICA</v>
          </cell>
          <cell r="AC53" t="str">
            <v>VALLE DEL CAUCA</v>
          </cell>
          <cell r="AD53">
            <v>41576</v>
          </cell>
          <cell r="AE53">
            <v>12</v>
          </cell>
          <cell r="AF53">
            <v>0</v>
          </cell>
          <cell r="AG53">
            <v>7905103471.7999992</v>
          </cell>
          <cell r="AH53">
            <v>0</v>
          </cell>
          <cell r="AI53">
            <v>0</v>
          </cell>
        </row>
        <row r="54">
          <cell r="A54" t="str">
            <v>PAF-ATF-054-2013</v>
          </cell>
          <cell r="B54" t="str">
            <v>“OPTIMIZACIÓN DEL SISTEMA DE ALCANTARILLADO Y PTAR DEL MUNICIPIO DE JURADÓ - CHOCO”</v>
          </cell>
          <cell r="C54">
            <v>4423249680</v>
          </cell>
          <cell r="D54">
            <v>4423249680</v>
          </cell>
          <cell r="E54">
            <v>0</v>
          </cell>
          <cell r="F54">
            <v>353859974</v>
          </cell>
          <cell r="G54">
            <v>353859974</v>
          </cell>
          <cell r="H54">
            <v>0</v>
          </cell>
          <cell r="I54">
            <v>0</v>
          </cell>
          <cell r="J54">
            <v>95542193.079999998</v>
          </cell>
          <cell r="K54">
            <v>97492034</v>
          </cell>
          <cell r="L54">
            <v>0</v>
          </cell>
          <cell r="M54">
            <v>41317</v>
          </cell>
          <cell r="N54" t="str">
            <v>Contrato No. 159 de 2013
CDP 22813
11 Recursos del Tesoro</v>
          </cell>
          <cell r="O54" t="str">
            <v>Contrato No. 159 de 2013
CDP 22813
11 Recursos del Tesoro</v>
          </cell>
          <cell r="P54" t="str">
            <v>Contrato No. 159 de 2013
CDP 22813
11 Recursos del Tesoro</v>
          </cell>
          <cell r="Q54" t="str">
            <v>GRUPO 6</v>
          </cell>
          <cell r="R54" t="str">
            <v>UNION TEMPORAL JURADO 2013
CONSTRUCTORA SINATEL LTDA
LUIS EDUARDO SALDAÑA RODRIGUEZ
LUIS ARNULFO TELLEZ QUITIAN</v>
          </cell>
          <cell r="S54">
            <v>900613028</v>
          </cell>
          <cell r="T54">
            <v>41380</v>
          </cell>
          <cell r="U54">
            <v>4342419969</v>
          </cell>
          <cell r="V54">
            <v>4342419969</v>
          </cell>
          <cell r="W54">
            <v>0</v>
          </cell>
          <cell r="X54">
            <v>351127781</v>
          </cell>
          <cell r="Y54">
            <v>351127781</v>
          </cell>
          <cell r="Z54">
            <v>0</v>
          </cell>
          <cell r="AA54">
            <v>0</v>
          </cell>
          <cell r="AB54" t="str">
            <v>JURADO</v>
          </cell>
          <cell r="AC54" t="str">
            <v>CHOCO</v>
          </cell>
          <cell r="AD54">
            <v>41393</v>
          </cell>
          <cell r="AE54">
            <v>8</v>
          </cell>
          <cell r="AF54">
            <v>0</v>
          </cell>
          <cell r="AG54">
            <v>1302725990.7</v>
          </cell>
          <cell r="AH54">
            <v>1302725990.7</v>
          </cell>
          <cell r="AI54">
            <v>41514</v>
          </cell>
        </row>
        <row r="55">
          <cell r="A55" t="str">
            <v>PAF-ATF-055-2013</v>
          </cell>
          <cell r="B55" t="str">
            <v>“CONSTRUCCIÓN RED DE ALCANTARILLADO INTERCEPTOR EL YULO MUNCIPIO DE RICAURTE"</v>
          </cell>
          <cell r="C55">
            <v>4130668670</v>
          </cell>
          <cell r="D55">
            <v>4130668670</v>
          </cell>
          <cell r="E55">
            <v>0</v>
          </cell>
          <cell r="F55">
            <v>330453494</v>
          </cell>
          <cell r="G55">
            <v>330453494</v>
          </cell>
          <cell r="H55">
            <v>0</v>
          </cell>
          <cell r="I55">
            <v>0</v>
          </cell>
          <cell r="J55">
            <v>89222443.280000001</v>
          </cell>
          <cell r="K55">
            <v>91043309</v>
          </cell>
          <cell r="L55">
            <v>0</v>
          </cell>
          <cell r="M55">
            <v>41317</v>
          </cell>
          <cell r="N55" t="str">
            <v>Contrato No. 159 de 2013
CDP 22813
11 Recursos del Tesoro</v>
          </cell>
          <cell r="O55" t="str">
            <v>Contrato No. 159 de 2013
CDP 22813
11 Recursos del Tesoro</v>
          </cell>
          <cell r="P55" t="str">
            <v>Contrato No. 159 de 2013
CDP 22813
11 Recursos del Tesoro</v>
          </cell>
          <cell r="Q55" t="str">
            <v>GRUPO 6</v>
          </cell>
          <cell r="R55" t="str">
            <v>CONSORCIO PROSPERIDAD 2013
LA MACUIRA INVERSIONES Y CONSTRUCCIONES
VNF S.A.
HORACIO VEGA CARDENAS</v>
          </cell>
          <cell r="S55">
            <v>900606407</v>
          </cell>
          <cell r="T55">
            <v>41380</v>
          </cell>
          <cell r="U55">
            <v>3788023833</v>
          </cell>
          <cell r="V55">
            <v>3788023833</v>
          </cell>
          <cell r="W55">
            <v>0</v>
          </cell>
          <cell r="X55">
            <v>327767491</v>
          </cell>
          <cell r="Y55">
            <v>327767491</v>
          </cell>
          <cell r="Z55">
            <v>0</v>
          </cell>
          <cell r="AA55">
            <v>0</v>
          </cell>
          <cell r="AB55" t="str">
            <v>RICAURTE</v>
          </cell>
          <cell r="AC55" t="str">
            <v>CUNDINAMARCA</v>
          </cell>
          <cell r="AD55">
            <v>41387</v>
          </cell>
          <cell r="AE55">
            <v>6</v>
          </cell>
          <cell r="AF55">
            <v>0</v>
          </cell>
          <cell r="AG55">
            <v>1136407149.8999999</v>
          </cell>
          <cell r="AH55">
            <v>1136407149.8999999</v>
          </cell>
          <cell r="AI55">
            <v>41514</v>
          </cell>
        </row>
        <row r="56">
          <cell r="A56" t="str">
            <v>PAF-ATF-056-2013</v>
          </cell>
          <cell r="B56" t="str">
            <v>“CONSTRUCCIÓN PRIMERA ETAPA DESCOLE ALCANTARILLADO COMBINADO CORREGIMIENTO DE JOSÉ MARÍA HERNÁNDEZ, MUNICIPIO DE PUPIALES- NARIÑO”</v>
          </cell>
          <cell r="C56">
            <v>998148083</v>
          </cell>
          <cell r="D56">
            <v>998148083</v>
          </cell>
          <cell r="E56">
            <v>0</v>
          </cell>
          <cell r="F56">
            <v>79851847</v>
          </cell>
          <cell r="G56">
            <v>79851847</v>
          </cell>
          <cell r="H56">
            <v>0</v>
          </cell>
          <cell r="I56">
            <v>0</v>
          </cell>
          <cell r="J56">
            <v>21559998.600000001</v>
          </cell>
          <cell r="K56">
            <v>22000000</v>
          </cell>
          <cell r="L56">
            <v>0</v>
          </cell>
          <cell r="M56">
            <v>41317</v>
          </cell>
          <cell r="N56" t="str">
            <v>Contrato No. 036 de 2012 
CDP 274712
10 Recursos Corrientes</v>
          </cell>
          <cell r="O56" t="str">
            <v>Contrato No. 036 de 2012 
CDP 274712
10 Recursos Corrientes</v>
          </cell>
          <cell r="P56" t="str">
            <v>Contrato No. 036 de 2012 
CDP 274712
10 Recursos Corrientes</v>
          </cell>
          <cell r="Q56" t="str">
            <v>GRUPO 6</v>
          </cell>
          <cell r="R56" t="str">
            <v xml:space="preserve">CONSORCIO CONSTRUCCIONES CIVILES 4
CALDERON INGENIEROS S.A.
CARLOS HERNAN ARIAS BETANCOURTH
JUAN CARLOS SANCHEZ GALVEZ
</v>
          </cell>
          <cell r="S56">
            <v>900608515</v>
          </cell>
          <cell r="T56">
            <v>41380</v>
          </cell>
          <cell r="U56">
            <v>979452918</v>
          </cell>
          <cell r="V56">
            <v>979452918</v>
          </cell>
          <cell r="W56">
            <v>0</v>
          </cell>
          <cell r="X56">
            <v>79279354</v>
          </cell>
          <cell r="Y56">
            <v>79279354</v>
          </cell>
          <cell r="Z56">
            <v>0</v>
          </cell>
          <cell r="AA56">
            <v>0</v>
          </cell>
          <cell r="AB56" t="str">
            <v>PUPIALES</v>
          </cell>
          <cell r="AC56" t="str">
            <v>NARIÑO</v>
          </cell>
          <cell r="AD56">
            <v>41390</v>
          </cell>
          <cell r="AE56">
            <v>8</v>
          </cell>
          <cell r="AF56">
            <v>0</v>
          </cell>
          <cell r="AG56">
            <v>293835875.39999998</v>
          </cell>
          <cell r="AH56">
            <v>0</v>
          </cell>
          <cell r="AI56">
            <v>0</v>
          </cell>
        </row>
        <row r="57">
          <cell r="A57" t="str">
            <v>PAF-ATF-057-2013</v>
          </cell>
          <cell r="B57" t="str">
            <v>“CONSTRUCCIÓN DE ALCANTARILLADO SANITARIO, SISTEMA DE TRATAMIENTO DE AGUAS RESIDUALES VEREDA MOHECHIZA MUNICIPIO DE YACUANQUER- NARIÑO”</v>
          </cell>
          <cell r="C57">
            <v>559826471</v>
          </cell>
          <cell r="D57">
            <v>559826471</v>
          </cell>
          <cell r="E57">
            <v>0</v>
          </cell>
          <cell r="F57">
            <v>27991324</v>
          </cell>
          <cell r="G57">
            <v>27991324</v>
          </cell>
          <cell r="H57">
            <v>0</v>
          </cell>
          <cell r="I57">
            <v>0</v>
          </cell>
          <cell r="J57">
            <v>11756355.9</v>
          </cell>
          <cell r="K57">
            <v>11996282</v>
          </cell>
          <cell r="L57">
            <v>0</v>
          </cell>
          <cell r="M57">
            <v>41317</v>
          </cell>
          <cell r="N57" t="str">
            <v>Contrato No. 036 de 2012 
CDP 274712
16 Fondos Especiales</v>
          </cell>
          <cell r="O57" t="str">
            <v>Contrato No. 036 de 2012 
CDP 274712
16 Fondos Especiales</v>
          </cell>
          <cell r="P57">
            <v>0</v>
          </cell>
          <cell r="Q57" t="str">
            <v>GRUPO 6</v>
          </cell>
          <cell r="R57" t="str">
            <v>CONSORCIO NARIÑO 2013
MIGUEL FERNANDO BURBANO MERA
EDILBERTO IBARRA DELGADO
SERGIO ARMANDO PANTOJA ORTIZ
FRANCISCO JAVIER VIVEROS PAZ
JHON JAIRO GALINDEZ SANTANDER</v>
          </cell>
          <cell r="S57">
            <v>900611068</v>
          </cell>
          <cell r="T57">
            <v>41380</v>
          </cell>
          <cell r="U57">
            <v>546465278</v>
          </cell>
          <cell r="V57">
            <v>546465278</v>
          </cell>
          <cell r="W57">
            <v>0</v>
          </cell>
          <cell r="X57">
            <v>27944865</v>
          </cell>
          <cell r="Y57">
            <v>27944865</v>
          </cell>
          <cell r="Z57">
            <v>0</v>
          </cell>
          <cell r="AA57">
            <v>0</v>
          </cell>
          <cell r="AB57" t="str">
            <v>YACUANQUER</v>
          </cell>
          <cell r="AC57" t="str">
            <v>NARIÑO</v>
          </cell>
          <cell r="AD57">
            <v>41381</v>
          </cell>
          <cell r="AE57">
            <v>6</v>
          </cell>
          <cell r="AF57">
            <v>41443</v>
          </cell>
          <cell r="AG57">
            <v>163939583.40000001</v>
          </cell>
          <cell r="AH57">
            <v>163939583.40000001</v>
          </cell>
          <cell r="AI57">
            <v>41515</v>
          </cell>
        </row>
        <row r="58">
          <cell r="A58" t="str">
            <v>PAF-ATF-058-2013</v>
          </cell>
          <cell r="B58" t="str">
            <v>“OPTIMIZACIÓN Y AMPLIACIÓN DEL SISTEMA DE ACUEDUCTO DE LA CABECERA MUNICIPAL DE LOS PALMITOS- SUCRE”</v>
          </cell>
          <cell r="C58">
            <v>3938914151</v>
          </cell>
          <cell r="D58">
            <v>3938914151</v>
          </cell>
          <cell r="E58">
            <v>0</v>
          </cell>
          <cell r="F58">
            <v>300454097</v>
          </cell>
          <cell r="G58">
            <v>300454097</v>
          </cell>
          <cell r="H58">
            <v>0</v>
          </cell>
          <cell r="I58">
            <v>0</v>
          </cell>
          <cell r="J58">
            <v>84787364.960000008</v>
          </cell>
          <cell r="K58">
            <v>86517719</v>
          </cell>
          <cell r="L58">
            <v>0</v>
          </cell>
          <cell r="M58">
            <v>41317</v>
          </cell>
          <cell r="N58" t="str">
            <v>Contrato No. 036 de 2012
CDP 274712
16 Fondos Especiales</v>
          </cell>
          <cell r="O58" t="str">
            <v>Contrato No. 036 de 2012
CDP 274712
16 Fondos Especiales</v>
          </cell>
          <cell r="P58" t="str">
            <v>Contrato No. 036 de 2012
CDP 274712
16 Fondos Especiales</v>
          </cell>
          <cell r="Q58" t="str">
            <v>GRUPO 6</v>
          </cell>
          <cell r="R58" t="str">
            <v>CONSORCIO POZOS DE SUCRE 2013
CONSTRUCTORA INCO S.A.S.
GONZALO GONZALEZ VIANA
DANIEL ENRIQUE NUÑEZ GUERRA</v>
          </cell>
          <cell r="S58">
            <v>900612237</v>
          </cell>
          <cell r="T58">
            <v>41380</v>
          </cell>
          <cell r="U58">
            <v>3820158240</v>
          </cell>
          <cell r="V58">
            <v>3820158240</v>
          </cell>
          <cell r="W58">
            <v>0</v>
          </cell>
          <cell r="X58">
            <v>298015295</v>
          </cell>
          <cell r="Y58">
            <v>298015295</v>
          </cell>
          <cell r="Z58">
            <v>0</v>
          </cell>
          <cell r="AA58">
            <v>0</v>
          </cell>
          <cell r="AB58" t="str">
            <v>PALMITOS</v>
          </cell>
          <cell r="AC58" t="str">
            <v>SUCRE</v>
          </cell>
          <cell r="AD58">
            <v>41383</v>
          </cell>
          <cell r="AE58">
            <v>9</v>
          </cell>
          <cell r="AF58">
            <v>0</v>
          </cell>
          <cell r="AG58">
            <v>1146047472</v>
          </cell>
          <cell r="AH58">
            <v>1146047472</v>
          </cell>
          <cell r="AI58">
            <v>41473</v>
          </cell>
        </row>
        <row r="59">
          <cell r="A59" t="str">
            <v>PAF-ATF-059-2013</v>
          </cell>
          <cell r="B59" t="str">
            <v>OPTIMIZACIÓN Y AMPLIACIÓN DEL SISTEMA DE ALCANTARILLADO DE AGUAS RESIDUALES DEL CORREGIMIENTO EL REPOSO, MUNICIPIO DE APARTADÓ (ANTIOQUIA)”</v>
          </cell>
          <cell r="C59">
            <v>8139603820</v>
          </cell>
          <cell r="D59">
            <v>8139603820</v>
          </cell>
          <cell r="E59">
            <v>0</v>
          </cell>
          <cell r="F59">
            <v>569772267</v>
          </cell>
          <cell r="G59">
            <v>569772267</v>
          </cell>
          <cell r="H59">
            <v>0</v>
          </cell>
          <cell r="I59">
            <v>0</v>
          </cell>
          <cell r="J59">
            <v>174187521.74000001</v>
          </cell>
          <cell r="K59">
            <v>177742369</v>
          </cell>
          <cell r="L59">
            <v>0</v>
          </cell>
          <cell r="M59">
            <v>41339</v>
          </cell>
          <cell r="N59" t="str">
            <v>Contrato No. 159 de 2013
CDP 22813
11 Recursos del Tesoro</v>
          </cell>
          <cell r="O59" t="str">
            <v>Contrato No. 159 de 2013
CDP 22813
11 Recursos del Tesoro</v>
          </cell>
          <cell r="P59" t="str">
            <v>Contrato No. 159 de 2013
CDP 22813
11 Recursos del Tesoro</v>
          </cell>
          <cell r="Q59" t="str">
            <v>GRUPO 7</v>
          </cell>
          <cell r="R59" t="str">
            <v xml:space="preserve">CONSORCIO EL REPOSO
SANEAR S.A.
PAECIA S.A.S
RODRIGO LENIS SUCERQUIA
</v>
          </cell>
          <cell r="S59">
            <v>900629533</v>
          </cell>
          <cell r="T59">
            <v>41425</v>
          </cell>
          <cell r="U59">
            <v>7735362060</v>
          </cell>
          <cell r="V59">
            <v>7735362060</v>
          </cell>
          <cell r="W59">
            <v>0</v>
          </cell>
          <cell r="X59">
            <v>510574000</v>
          </cell>
          <cell r="Y59">
            <v>510574000</v>
          </cell>
          <cell r="Z59">
            <v>0</v>
          </cell>
          <cell r="AA59">
            <v>0</v>
          </cell>
          <cell r="AB59" t="str">
            <v>APARTADO</v>
          </cell>
          <cell r="AC59" t="str">
            <v>ANTIOQUIA</v>
          </cell>
          <cell r="AD59">
            <v>41452</v>
          </cell>
          <cell r="AE59">
            <v>10</v>
          </cell>
          <cell r="AF59">
            <v>0</v>
          </cell>
          <cell r="AG59">
            <v>2320608618</v>
          </cell>
          <cell r="AH59">
            <v>0</v>
          </cell>
          <cell r="AI59">
            <v>0</v>
          </cell>
        </row>
        <row r="60">
          <cell r="A60" t="str">
            <v>PAF-ATF-060-2013</v>
          </cell>
          <cell r="B60" t="str">
            <v>“CONSTRUCCIÓN DE LA ETAPA FINAL DE LA RED MATRIZ DE DISTRIBUCIÓN DEL SISTEMA DE ACUEDUCTO EN EL MUNICIPIO DE ARAUCA”</v>
          </cell>
          <cell r="C60">
            <v>8303396564</v>
          </cell>
          <cell r="D60">
            <v>8303396564</v>
          </cell>
          <cell r="E60">
            <v>0</v>
          </cell>
          <cell r="F60">
            <v>470504566</v>
          </cell>
          <cell r="G60">
            <v>470504566</v>
          </cell>
          <cell r="H60">
            <v>0</v>
          </cell>
          <cell r="I60">
            <v>0</v>
          </cell>
          <cell r="J60">
            <v>175478022.59999999</v>
          </cell>
          <cell r="K60">
            <v>179059207</v>
          </cell>
          <cell r="L60">
            <v>0</v>
          </cell>
          <cell r="M60">
            <v>41339</v>
          </cell>
          <cell r="N60" t="str">
            <v>Contrato No. 159 de 2013
CDP 22813
11 Recursos del Tesoro</v>
          </cell>
          <cell r="O60" t="str">
            <v>Contrato No. 159 de 2013
CDP 22813
11 Recursos del Tesoro</v>
          </cell>
          <cell r="P60" t="str">
            <v>Contrato No. 159 de 2013
CDP 22813
11 Recursos del Tesoro</v>
          </cell>
          <cell r="Q60" t="str">
            <v>GRUPO 7</v>
          </cell>
          <cell r="R60" t="str">
            <v>ANDINA DE CONSTRUCCIONES Y ASOCIADOS S.A.</v>
          </cell>
          <cell r="S60">
            <v>890918866</v>
          </cell>
          <cell r="T60">
            <v>41390</v>
          </cell>
          <cell r="U60">
            <v>8004497648</v>
          </cell>
          <cell r="V60">
            <v>8004497648</v>
          </cell>
          <cell r="W60">
            <v>0</v>
          </cell>
          <cell r="X60">
            <v>436804960</v>
          </cell>
          <cell r="Y60">
            <v>436804960</v>
          </cell>
          <cell r="Z60">
            <v>0</v>
          </cell>
          <cell r="AA60">
            <v>0</v>
          </cell>
          <cell r="AB60" t="str">
            <v>ARAUCA</v>
          </cell>
          <cell r="AC60" t="str">
            <v>ARAUCA</v>
          </cell>
          <cell r="AD60">
            <v>41394</v>
          </cell>
          <cell r="AE60">
            <v>10</v>
          </cell>
          <cell r="AF60">
            <v>0</v>
          </cell>
          <cell r="AG60">
            <v>2401349294.4000001</v>
          </cell>
          <cell r="AH60">
            <v>2401349294</v>
          </cell>
          <cell r="AI60">
            <v>41565</v>
          </cell>
        </row>
        <row r="61">
          <cell r="A61" t="str">
            <v>PAF-ATF-061-2013</v>
          </cell>
          <cell r="B61" t="str">
            <v>“AMPLIACIÓN REDES DE ALCANTARILLADO SANITARIO CABECERA MUNIICPAL DE SABANALARGA CUENCA NORORIENTAL SEGUNDA ETAPA BARRIOS: 7 DE AGOSTO, VILLA BELÉN Y LAS AMÉRICAS, Y AMPLIACIÓN DE REDES DE ACUEDUCTO BARRIO 7 DE AGOSTO, SABANALARGA (ATLÁNTICO)”</v>
          </cell>
          <cell r="C61">
            <v>2556163202</v>
          </cell>
          <cell r="D61">
            <v>2556163202</v>
          </cell>
          <cell r="E61">
            <v>0</v>
          </cell>
          <cell r="F61">
            <v>161337689</v>
          </cell>
          <cell r="G61">
            <v>161337689</v>
          </cell>
          <cell r="H61">
            <v>0</v>
          </cell>
          <cell r="I61">
            <v>0</v>
          </cell>
          <cell r="J61">
            <v>54350017.82</v>
          </cell>
          <cell r="K61">
            <v>55459202</v>
          </cell>
          <cell r="L61">
            <v>0</v>
          </cell>
          <cell r="M61">
            <v>41339</v>
          </cell>
          <cell r="N61" t="str">
            <v>Contrato No. 036 de 2012
CDP 274712
16 Fondos Especiales</v>
          </cell>
          <cell r="O61" t="str">
            <v>Contrato No. 036 de 2012
CDP 274712
16 Fondos Especiales</v>
          </cell>
          <cell r="P61" t="str">
            <v>Contrato No. 036 de 2012
CDP 274712
16 Fondos Especiales</v>
          </cell>
          <cell r="Q61" t="str">
            <v>GRUPO 7</v>
          </cell>
          <cell r="R61" t="str">
            <v>MEJIA VILLEGAS CONSTRUCTORES
CARLOS ALBERTO VILLEGAS LINARES</v>
          </cell>
          <cell r="S61">
            <v>890406491</v>
          </cell>
          <cell r="T61">
            <v>41390</v>
          </cell>
          <cell r="U61">
            <v>2482904239</v>
          </cell>
          <cell r="V61">
            <v>2482904239</v>
          </cell>
          <cell r="W61">
            <v>0</v>
          </cell>
          <cell r="X61">
            <v>159319040</v>
          </cell>
          <cell r="Y61">
            <v>159319040</v>
          </cell>
          <cell r="Z61">
            <v>0</v>
          </cell>
          <cell r="AA61">
            <v>0</v>
          </cell>
          <cell r="AB61" t="str">
            <v>SABANALARGA</v>
          </cell>
          <cell r="AC61" t="str">
            <v>ATLANTICO</v>
          </cell>
          <cell r="AD61">
            <v>41404</v>
          </cell>
          <cell r="AE61">
            <v>6</v>
          </cell>
          <cell r="AF61">
            <v>0</v>
          </cell>
          <cell r="AG61">
            <v>744871271.69999993</v>
          </cell>
          <cell r="AH61">
            <v>744871271.70000005</v>
          </cell>
          <cell r="AI61">
            <v>41544</v>
          </cell>
        </row>
        <row r="62">
          <cell r="A62" t="str">
            <v>PAF-ATF-062-2013</v>
          </cell>
          <cell r="B62" t="str">
            <v>"CONSTRUCCIÓN PLAN MAESTRO ALCANTARILLADO, DEPARTANENTO DE BOYACA, MUNICIPIO DE GARAGOA"</v>
          </cell>
          <cell r="C62">
            <v>11821252114</v>
          </cell>
          <cell r="D62">
            <v>11821252114</v>
          </cell>
          <cell r="E62">
            <v>0</v>
          </cell>
          <cell r="F62">
            <v>711151277</v>
          </cell>
          <cell r="G62">
            <v>711151277</v>
          </cell>
          <cell r="H62">
            <v>0</v>
          </cell>
          <cell r="I62">
            <v>0</v>
          </cell>
          <cell r="J62">
            <v>250648067.81999999</v>
          </cell>
          <cell r="K62">
            <v>255763335</v>
          </cell>
          <cell r="L62">
            <v>0</v>
          </cell>
          <cell r="M62">
            <v>41339</v>
          </cell>
          <cell r="N62" t="str">
            <v>Contrato No. 159 de 2013
CDP 22813
11 Recursos del Tesoro</v>
          </cell>
          <cell r="O62" t="str">
            <v>Contrato No. 159 de 2013
CDP 22813
11 Recursos del Tesoro</v>
          </cell>
          <cell r="P62" t="str">
            <v>Contrato No. 159 de 2013
CDP 22813
11 Recursos del Tesoro</v>
          </cell>
          <cell r="Q62" t="str">
            <v>GRUPO 7</v>
          </cell>
          <cell r="R62" t="str">
            <v>CONSORCIO PLAN MAESTRO GARAGOA
ORLANDO FAJARDO CASTILLO
LUIS GABRIEL NIETO GARCIA
SERAVEZZA LIMITADA</v>
          </cell>
          <cell r="S62">
            <v>900616034</v>
          </cell>
          <cell r="T62">
            <v>41390</v>
          </cell>
          <cell r="U62">
            <v>11285343555</v>
          </cell>
          <cell r="V62">
            <v>11285343555</v>
          </cell>
          <cell r="W62">
            <v>0</v>
          </cell>
          <cell r="X62">
            <v>685513600</v>
          </cell>
          <cell r="Y62">
            <v>685513600</v>
          </cell>
          <cell r="Z62">
            <v>0</v>
          </cell>
          <cell r="AA62">
            <v>0</v>
          </cell>
          <cell r="AB62" t="str">
            <v>GARAGOA</v>
          </cell>
          <cell r="AC62" t="str">
            <v>BOYACA</v>
          </cell>
          <cell r="AD62">
            <v>41396</v>
          </cell>
          <cell r="AE62">
            <v>12</v>
          </cell>
          <cell r="AF62">
            <v>0</v>
          </cell>
          <cell r="AG62">
            <v>3385603066.5</v>
          </cell>
          <cell r="AH62">
            <v>0</v>
          </cell>
          <cell r="AI62">
            <v>0</v>
          </cell>
        </row>
        <row r="63">
          <cell r="A63" t="str">
            <v>PAF-ATF-063-2013</v>
          </cell>
          <cell r="B63" t="str">
            <v>"CONSTRUCCIÓN DEL INTERCEPTOR VILLA JARDIN CASCO URBANO, DEPARTAMENTO DE BOYACA MUNICIPIO DE PAIPA"</v>
          </cell>
          <cell r="C63">
            <v>13116560966</v>
          </cell>
          <cell r="D63">
            <v>13116560966</v>
          </cell>
          <cell r="E63">
            <v>0</v>
          </cell>
          <cell r="F63">
            <v>803399050</v>
          </cell>
          <cell r="G63">
            <v>803399050</v>
          </cell>
          <cell r="H63">
            <v>0</v>
          </cell>
          <cell r="I63">
            <v>0</v>
          </cell>
          <cell r="J63">
            <v>278399200.31999999</v>
          </cell>
          <cell r="K63">
            <v>284080817</v>
          </cell>
          <cell r="L63">
            <v>0</v>
          </cell>
          <cell r="M63">
            <v>41339</v>
          </cell>
          <cell r="N63" t="str">
            <v>Contrato No. 159 de 2013
CDP 22813
11 Recursos del Tesoro</v>
          </cell>
          <cell r="O63" t="str">
            <v>Contrato No. 159 de 2013
CDP 22813
11 Recursos del Tesoro</v>
          </cell>
          <cell r="P63" t="str">
            <v>Contrato No. 159 de 2013
CDP 22813
11 Recursos del Tesoro</v>
          </cell>
          <cell r="Q63" t="str">
            <v>GRUPO 7</v>
          </cell>
          <cell r="R63" t="str">
            <v xml:space="preserve">CONSORCIO INTERCEPTOR BICENTENERIO PAIPA
ORLANDO FAJARDO CASTILLO
CONSTRUCTORA FAJARDO NIETO LIMITADA
LUIS GABRIEL NIETO GARCIA
</v>
          </cell>
          <cell r="S63">
            <v>900616041</v>
          </cell>
          <cell r="T63">
            <v>41390</v>
          </cell>
          <cell r="U63">
            <v>12404840019</v>
          </cell>
          <cell r="V63">
            <v>12404840019</v>
          </cell>
          <cell r="W63">
            <v>0</v>
          </cell>
          <cell r="X63">
            <v>744418400</v>
          </cell>
          <cell r="Y63">
            <v>744418400</v>
          </cell>
          <cell r="Z63">
            <v>0</v>
          </cell>
          <cell r="AA63">
            <v>0</v>
          </cell>
          <cell r="AB63" t="str">
            <v>PAIPA</v>
          </cell>
          <cell r="AC63" t="str">
            <v>BOYACA</v>
          </cell>
          <cell r="AD63">
            <v>41396</v>
          </cell>
          <cell r="AE63">
            <v>12</v>
          </cell>
          <cell r="AF63">
            <v>0</v>
          </cell>
          <cell r="AG63">
            <v>3721452005.6999998</v>
          </cell>
          <cell r="AH63">
            <v>3721452006</v>
          </cell>
          <cell r="AI63" t="str">
            <v>Radicado Fidubogotá 17-09-2013</v>
          </cell>
        </row>
        <row r="64">
          <cell r="A64" t="str">
            <v>PAF-ATF-064-2013</v>
          </cell>
          <cell r="B64" t="str">
            <v>"OPTIMIZACIÓN DEL SISTEMA DE ACUEDUCTO Y ALCANTARILLADO DE LA ZONA CENTRO, SUR Y BARRIO LOS ANDES DEPARTAMENTO DE CALDAS, MUNICIPIO DE LA DORADA"</v>
          </cell>
          <cell r="C64">
            <v>19031313903</v>
          </cell>
          <cell r="D64">
            <v>19031313903</v>
          </cell>
          <cell r="E64">
            <v>0</v>
          </cell>
          <cell r="F64">
            <v>1332191973</v>
          </cell>
          <cell r="G64">
            <v>1332191973</v>
          </cell>
          <cell r="H64">
            <v>0</v>
          </cell>
          <cell r="I64">
            <v>0</v>
          </cell>
          <cell r="J64">
            <v>407270117.51999998</v>
          </cell>
          <cell r="K64">
            <v>415581753</v>
          </cell>
          <cell r="L64">
            <v>0</v>
          </cell>
          <cell r="M64">
            <v>41339</v>
          </cell>
          <cell r="N64" t="str">
            <v>Contrato No. 159 de 2013
CDP 22813
11 Recursos del Tesoro</v>
          </cell>
          <cell r="O64" t="str">
            <v>Contrato No. 159 de 2013
CDP 22813
11 Recursos del Tesoro</v>
          </cell>
          <cell r="P64" t="str">
            <v>Contrato No. 159 de 2013
CDP 22813
11 Recursos del Tesoro</v>
          </cell>
          <cell r="Q64" t="str">
            <v>GRUPO 7</v>
          </cell>
          <cell r="R64" t="str">
            <v>CONSORCIO LA DORADA 64
CONEQUIPOS ING LTDA
INGENIEROS G.F. S.A.S
CONSICAL LTDA</v>
          </cell>
          <cell r="S64">
            <v>900614114</v>
          </cell>
          <cell r="T64">
            <v>41384</v>
          </cell>
          <cell r="U64">
            <v>17416344907</v>
          </cell>
          <cell r="V64">
            <v>17416344907</v>
          </cell>
          <cell r="W64">
            <v>0</v>
          </cell>
          <cell r="X64">
            <v>1229599536</v>
          </cell>
          <cell r="Y64">
            <v>1229599536</v>
          </cell>
          <cell r="Z64">
            <v>0</v>
          </cell>
          <cell r="AA64">
            <v>0</v>
          </cell>
          <cell r="AB64" t="str">
            <v>LA DORADA</v>
          </cell>
          <cell r="AC64" t="str">
            <v>CALDAS</v>
          </cell>
          <cell r="AD64">
            <v>41387</v>
          </cell>
          <cell r="AE64">
            <v>10</v>
          </cell>
          <cell r="AF64">
            <v>0</v>
          </cell>
          <cell r="AG64">
            <v>5224903472.0999994</v>
          </cell>
          <cell r="AH64">
            <v>5224903472</v>
          </cell>
          <cell r="AI64">
            <v>41537</v>
          </cell>
        </row>
        <row r="65">
          <cell r="A65" t="str">
            <v>PAF-ATF-065-2013</v>
          </cell>
          <cell r="B65" t="str">
            <v>"AMPLIACIÓN DEL SITEMA DE ALCANTARILLADO SANITARIO PARA LA CONEXIÓN DE LOS BARRIOS YOVANNI SOTO, EL PRADO Y MARIA CONCEPCIÓN, DEPARTAMENTO DEL CESAR MUNICIPIO DE PUEBLO BELLO"</v>
          </cell>
          <cell r="C65">
            <v>961916124</v>
          </cell>
          <cell r="D65">
            <v>961916124</v>
          </cell>
          <cell r="E65">
            <v>0</v>
          </cell>
          <cell r="F65">
            <v>57714967</v>
          </cell>
          <cell r="G65">
            <v>57714967</v>
          </cell>
          <cell r="H65">
            <v>0</v>
          </cell>
          <cell r="I65">
            <v>0</v>
          </cell>
          <cell r="J65">
            <v>20392621.82</v>
          </cell>
          <cell r="K65">
            <v>20808798</v>
          </cell>
          <cell r="L65">
            <v>0</v>
          </cell>
          <cell r="M65">
            <v>41339</v>
          </cell>
          <cell r="N65" t="str">
            <v>Contrato No. 159 de 2013
CDP 22813
11 Recursos del Tesoro</v>
          </cell>
          <cell r="O65" t="str">
            <v>Contrato No. 159 de 2013
CDP 22813
11 Recursos del Tesoro</v>
          </cell>
          <cell r="P65" t="str">
            <v>Contrato No. 159 de 2013
CDP 22813
11 Recursos del Tesoro</v>
          </cell>
          <cell r="Q65" t="str">
            <v>GRUPO 7</v>
          </cell>
          <cell r="R65" t="str">
            <v>UNION TEMPORAL ALCANTARILLADOS 2013
PAECIA S.A.S.
AGUIDEL S.A.S.</v>
          </cell>
          <cell r="S65">
            <v>900618176</v>
          </cell>
          <cell r="T65">
            <v>41394</v>
          </cell>
          <cell r="U65">
            <v>936682914</v>
          </cell>
          <cell r="V65">
            <v>936682914</v>
          </cell>
          <cell r="W65">
            <v>0</v>
          </cell>
          <cell r="X65">
            <v>53592000</v>
          </cell>
          <cell r="Y65">
            <v>53592000</v>
          </cell>
          <cell r="Z65">
            <v>0</v>
          </cell>
          <cell r="AA65">
            <v>0</v>
          </cell>
          <cell r="AB65" t="str">
            <v>PUEBLO BELLO</v>
          </cell>
          <cell r="AC65" t="str">
            <v>CESAR</v>
          </cell>
          <cell r="AD65">
            <v>41404</v>
          </cell>
          <cell r="AE65">
            <v>5</v>
          </cell>
          <cell r="AF65">
            <v>0</v>
          </cell>
          <cell r="AG65">
            <v>281004874.19999999</v>
          </cell>
          <cell r="AH65">
            <v>281004874.19999999</v>
          </cell>
          <cell r="AI65">
            <v>41592</v>
          </cell>
        </row>
        <row r="66">
          <cell r="A66" t="str">
            <v>PAF-ATF-066-2013</v>
          </cell>
          <cell r="B66" t="str">
            <v>"CONSTRUCCIÓN DE LA PLANTA DE TRATAMIENTO DE AGUAS RESIDUALES Y TERMINACIÓN DE LAS REDES COLECTORAS DEL SISTEMA DE ALCANTARILLADO EN CIUDAD MUTIS CABECERA MUNICIPAL, DEPARTAMENTO DEL CHOCO MUNICIPIO DE BAHIA SOLANO"</v>
          </cell>
          <cell r="C66">
            <v>9400454197</v>
          </cell>
          <cell r="D66">
            <v>9400454197</v>
          </cell>
          <cell r="E66">
            <v>0</v>
          </cell>
          <cell r="F66">
            <v>709792392</v>
          </cell>
          <cell r="G66">
            <v>709792392</v>
          </cell>
          <cell r="H66">
            <v>0</v>
          </cell>
          <cell r="I66">
            <v>0</v>
          </cell>
          <cell r="J66">
            <v>202204931.78</v>
          </cell>
          <cell r="K66">
            <v>206331563</v>
          </cell>
          <cell r="L66">
            <v>0</v>
          </cell>
          <cell r="M66">
            <v>41339</v>
          </cell>
          <cell r="N66" t="str">
            <v>Contrato No. 159 de 2013
CDP 22813
11 Recursos del Tesoro</v>
          </cell>
          <cell r="O66" t="str">
            <v>Contrato No. 159 de 2013
CDP 22813
11 Recursos del Tesoro</v>
          </cell>
          <cell r="P66" t="str">
            <v>Contrato No. 159 de 2013
CDP 22813
11 Recursos del Tesoro</v>
          </cell>
          <cell r="Q66" t="str">
            <v>GRUPO 7</v>
          </cell>
          <cell r="R66" t="str">
            <v>TSK ELECTRONICA Y ELECTRICIDAD S.A</v>
          </cell>
          <cell r="S66">
            <v>480359017</v>
          </cell>
          <cell r="T66">
            <v>41390</v>
          </cell>
          <cell r="U66">
            <v>8897698625</v>
          </cell>
          <cell r="V66">
            <v>8897698625</v>
          </cell>
          <cell r="W66">
            <v>0</v>
          </cell>
          <cell r="X66">
            <v>662093200</v>
          </cell>
          <cell r="Y66">
            <v>662093200</v>
          </cell>
          <cell r="Z66">
            <v>0</v>
          </cell>
          <cell r="AA66">
            <v>0</v>
          </cell>
          <cell r="AB66" t="str">
            <v>BAHIA SOLANO</v>
          </cell>
          <cell r="AC66" t="str">
            <v>CHOCO</v>
          </cell>
          <cell r="AD66">
            <v>41411</v>
          </cell>
          <cell r="AE66">
            <v>12</v>
          </cell>
          <cell r="AF66">
            <v>0</v>
          </cell>
          <cell r="AG66">
            <v>2669309587.5</v>
          </cell>
          <cell r="AH66">
            <v>0</v>
          </cell>
          <cell r="AI66">
            <v>0</v>
          </cell>
        </row>
        <row r="67">
          <cell r="A67" t="str">
            <v>PAF-ATF-067-2013</v>
          </cell>
          <cell r="B67" t="str">
            <v>"CONSTRUCCIÓN DEL EMBALSE SANTA MARTA DEL SISTEMA DE ACUEDUCTO, DEPARTAMENTO DE CUNDIBNAMARCA, MUNICIPIO DE FACATATIVA"</v>
          </cell>
          <cell r="C67">
            <v>8396396047</v>
          </cell>
          <cell r="D67">
            <v>8396396047</v>
          </cell>
          <cell r="E67">
            <v>0</v>
          </cell>
          <cell r="F67">
            <v>581928439</v>
          </cell>
          <cell r="G67">
            <v>581928439</v>
          </cell>
          <cell r="H67">
            <v>0</v>
          </cell>
          <cell r="I67">
            <v>0</v>
          </cell>
          <cell r="J67">
            <v>179566489.72</v>
          </cell>
          <cell r="K67">
            <v>183231112</v>
          </cell>
          <cell r="L67">
            <v>0</v>
          </cell>
          <cell r="M67">
            <v>41339</v>
          </cell>
          <cell r="N67" t="str">
            <v>Contrato No. 159 de 2013
CDP 22813
11 Recursos del Tesoro</v>
          </cell>
          <cell r="O67" t="str">
            <v>Contrato No. 159 de 2013
CDP 22813
11 Recursos del Tesoro</v>
          </cell>
          <cell r="P67" t="str">
            <v>Contrato No. 159 de 2013
CDP 22813
11 Recursos del Tesoro</v>
          </cell>
          <cell r="Q67" t="str">
            <v>GRUPO 7</v>
          </cell>
          <cell r="R67" t="str">
            <v xml:space="preserve">CONSORCIO EMBALSE FACATATIVA
ALDO GUTIERREZ FRANCO
EDUARDO GIRONZA
</v>
          </cell>
          <cell r="S67">
            <v>900617780</v>
          </cell>
          <cell r="T67">
            <v>41390</v>
          </cell>
          <cell r="U67">
            <v>7959981888</v>
          </cell>
          <cell r="V67">
            <v>7959981888</v>
          </cell>
          <cell r="W67">
            <v>0</v>
          </cell>
          <cell r="X67">
            <v>552960400</v>
          </cell>
          <cell r="Y67">
            <v>552960400</v>
          </cell>
          <cell r="Z67">
            <v>0</v>
          </cell>
          <cell r="AA67">
            <v>0</v>
          </cell>
          <cell r="AB67" t="str">
            <v>FACATATIVA</v>
          </cell>
          <cell r="AC67" t="str">
            <v>CUNDINAMARCA</v>
          </cell>
          <cell r="AD67">
            <v>41403</v>
          </cell>
          <cell r="AE67">
            <v>12</v>
          </cell>
          <cell r="AF67">
            <v>0</v>
          </cell>
          <cell r="AG67">
            <v>2387994566.4000001</v>
          </cell>
          <cell r="AH67">
            <v>0</v>
          </cell>
          <cell r="AI67">
            <v>0</v>
          </cell>
        </row>
        <row r="68">
          <cell r="A68" t="str">
            <v>PAF-ATF-068-2013                                                                                                                                                                                                                                                                                                   
PAF-ATF-088-2013</v>
          </cell>
          <cell r="B68" t="str">
            <v>"AMPLIACIÓN Y OPTIMIZACIÓN DEL ACUEDUCTO DE LOS CORREGIMIENTOS DE ISLAS DEL ROSARIO, PALMIRA Y TASAJERA, DEPARTAMENTO DEL MAGDALENA, MUNICIPIO DE PUEBLO VIEJO"</v>
          </cell>
          <cell r="C68">
            <v>5297308498</v>
          </cell>
          <cell r="D68">
            <v>5297308498</v>
          </cell>
          <cell r="E68">
            <v>0</v>
          </cell>
          <cell r="F68">
            <v>0</v>
          </cell>
          <cell r="G68">
            <v>0</v>
          </cell>
          <cell r="H68">
            <v>0</v>
          </cell>
          <cell r="I68">
            <v>0</v>
          </cell>
          <cell r="J68">
            <v>105946169.96000001</v>
          </cell>
          <cell r="K68">
            <v>114731521</v>
          </cell>
          <cell r="L68">
            <v>0</v>
          </cell>
          <cell r="M68">
            <v>41339</v>
          </cell>
          <cell r="N68">
            <v>0</v>
          </cell>
          <cell r="O68">
            <v>0</v>
          </cell>
          <cell r="P68">
            <v>0</v>
          </cell>
          <cell r="Q68" t="str">
            <v>GRUPO 7                                                                                                                                                                                                                                                                                                                  GRUPO 3A</v>
          </cell>
          <cell r="R68">
            <v>0</v>
          </cell>
          <cell r="S68">
            <v>0</v>
          </cell>
          <cell r="T68" t="str">
            <v>SUSPENSIÓN</v>
          </cell>
          <cell r="U68">
            <v>0</v>
          </cell>
          <cell r="V68">
            <v>0</v>
          </cell>
          <cell r="W68">
            <v>0</v>
          </cell>
          <cell r="X68">
            <v>0</v>
          </cell>
          <cell r="Y68">
            <v>0</v>
          </cell>
          <cell r="Z68">
            <v>0</v>
          </cell>
          <cell r="AA68">
            <v>0</v>
          </cell>
          <cell r="AB68" t="str">
            <v>PUEBLO VIEJO</v>
          </cell>
          <cell r="AC68" t="str">
            <v>MAGDALENA</v>
          </cell>
          <cell r="AD68">
            <v>0</v>
          </cell>
          <cell r="AE68">
            <v>9</v>
          </cell>
          <cell r="AF68">
            <v>0</v>
          </cell>
          <cell r="AG68">
            <v>0</v>
          </cell>
          <cell r="AH68">
            <v>0</v>
          </cell>
          <cell r="AI68">
            <v>0</v>
          </cell>
        </row>
        <row r="69">
          <cell r="A69" t="str">
            <v>PAF-ATF-069-2013</v>
          </cell>
          <cell r="B69" t="str">
            <v>"CONSTRUCCIÓN DEL ALCANTARILLADO SANITARIO URBANIZACIÓN 20 DE JULIO VEREDA DE LA AGUADA Y CONSTRUCCIÓN DEL ALCANTARILLADO SANITARIO Y SISTEMA DE TRATAMIENTO DE AGUAS RESIDUALES VEREDA TASNAQUE, DEPARTAMENTO DE NARIÑO, MUNICIPIO DE YACUANQUER".</v>
          </cell>
          <cell r="C69">
            <v>582617660</v>
          </cell>
          <cell r="D69">
            <v>582617660</v>
          </cell>
          <cell r="E69">
            <v>0</v>
          </cell>
          <cell r="F69">
            <v>29130883</v>
          </cell>
          <cell r="G69">
            <v>29130883</v>
          </cell>
          <cell r="H69">
            <v>0</v>
          </cell>
          <cell r="I69">
            <v>0</v>
          </cell>
          <cell r="J69">
            <v>12234970.859999999</v>
          </cell>
          <cell r="K69">
            <v>12484664</v>
          </cell>
          <cell r="L69">
            <v>0</v>
          </cell>
          <cell r="M69">
            <v>41339</v>
          </cell>
          <cell r="N69" t="str">
            <v>Contrato No. 036 de 2012 
CDP 274712
10 Recursos Corrientes</v>
          </cell>
          <cell r="O69" t="str">
            <v>Contrato 036 de 2012
CDP 316212
13 Nación</v>
          </cell>
          <cell r="P69" t="str">
            <v>Contrato No. 036 de 2012 
CDP 274712
10 Recursos Corrientes</v>
          </cell>
          <cell r="Q69" t="str">
            <v>GRUPO 7</v>
          </cell>
          <cell r="R69" t="str">
            <v>CONSORCIO ALCANTARILLADO 20 DE JULIO
HECTOR JULIO CASAS ORDOÑEZ
PROMOTORA NACIONAL DE CONSTRUCCIONES PRONACON S.A.S.</v>
          </cell>
          <cell r="S69">
            <v>900620547</v>
          </cell>
          <cell r="T69">
            <v>41394</v>
          </cell>
          <cell r="U69">
            <v>536256101</v>
          </cell>
          <cell r="V69">
            <v>536256101</v>
          </cell>
          <cell r="W69">
            <v>0</v>
          </cell>
          <cell r="X69">
            <v>29064960</v>
          </cell>
          <cell r="Y69">
            <v>29064960</v>
          </cell>
          <cell r="Z69">
            <v>0</v>
          </cell>
          <cell r="AA69">
            <v>0</v>
          </cell>
          <cell r="AB69" t="str">
            <v>YACUANQUER</v>
          </cell>
          <cell r="AC69" t="str">
            <v>NARIÑO</v>
          </cell>
          <cell r="AD69">
            <v>41414</v>
          </cell>
          <cell r="AE69">
            <v>6</v>
          </cell>
          <cell r="AF69">
            <v>0</v>
          </cell>
          <cell r="AG69">
            <v>160876830.29999998</v>
          </cell>
          <cell r="AH69">
            <v>160876830</v>
          </cell>
          <cell r="AI69">
            <v>41535</v>
          </cell>
        </row>
        <row r="70">
          <cell r="A70" t="str">
            <v>PAF-ATF-070-2013</v>
          </cell>
          <cell r="B70" t="str">
            <v>“CONSTRUCCIÓN SISTEMA DE ALCANTARILLADO PLUVIAL SECTORES CALLE 9 Y 8 ENTRE CARRERAS 12D Y 2 Y CALLE 7 ENTRE CARRERA 7 Y 2 DEL MUNICIPIO DE CIMITARRA (SANTANDER)”</v>
          </cell>
          <cell r="C70">
            <v>4439473895</v>
          </cell>
          <cell r="D70">
            <v>4439473895</v>
          </cell>
          <cell r="E70">
            <v>0</v>
          </cell>
          <cell r="F70">
            <v>318298585</v>
          </cell>
          <cell r="G70">
            <v>318298585</v>
          </cell>
          <cell r="H70">
            <v>0</v>
          </cell>
          <cell r="I70">
            <v>0</v>
          </cell>
          <cell r="J70">
            <v>95155449.600000009</v>
          </cell>
          <cell r="K70">
            <v>97097398</v>
          </cell>
          <cell r="L70">
            <v>0</v>
          </cell>
          <cell r="M70">
            <v>41339</v>
          </cell>
          <cell r="N70" t="str">
            <v>Contrato No. 159 de 2013
CDP 22813
16 Fondos Especiales</v>
          </cell>
          <cell r="O70" t="str">
            <v>Contrato No. 159 de 2013
CDP 22813
16 Fondos Especiales</v>
          </cell>
          <cell r="P70" t="str">
            <v>Contrato No. 159 de 2013
CDP 22813
16 Fondos Especiales</v>
          </cell>
          <cell r="Q70" t="str">
            <v>GRUPO 7</v>
          </cell>
          <cell r="R70" t="str">
            <v>UNION TEMPORAL ALCANTARILLADOS
DAVID VEGA LUNA
GAMA INGENIEROS Y ARQUITECTOS S.A.S.</v>
          </cell>
          <cell r="S70">
            <v>900614538</v>
          </cell>
          <cell r="T70">
            <v>41394</v>
          </cell>
          <cell r="U70">
            <v>4161410913</v>
          </cell>
          <cell r="V70">
            <v>4161410913</v>
          </cell>
          <cell r="W70">
            <v>0</v>
          </cell>
          <cell r="X70">
            <v>317115000</v>
          </cell>
          <cell r="Y70">
            <v>317115000</v>
          </cell>
          <cell r="Z70">
            <v>0</v>
          </cell>
          <cell r="AA70">
            <v>0</v>
          </cell>
          <cell r="AB70" t="str">
            <v>CIMITARRA</v>
          </cell>
          <cell r="AC70" t="str">
            <v>SANTANDER</v>
          </cell>
          <cell r="AD70">
            <v>41401</v>
          </cell>
          <cell r="AE70">
            <v>8</v>
          </cell>
          <cell r="AF70">
            <v>0</v>
          </cell>
          <cell r="AG70">
            <v>1248423273.8999999</v>
          </cell>
          <cell r="AH70">
            <v>1248423273.8999999</v>
          </cell>
          <cell r="AI70">
            <v>41521</v>
          </cell>
        </row>
        <row r="71">
          <cell r="A71" t="str">
            <v>PAF-ATF-071-2013</v>
          </cell>
          <cell r="B71" t="str">
            <v>“OPTIMIZACIÓN DEL SISTEMA DE ALCANTARILLADO CASCO URBANO FASE I MUNICIPIO DE FALAN (TOLIMA)”</v>
          </cell>
          <cell r="C71">
            <v>1812681048</v>
          </cell>
          <cell r="D71">
            <v>1812681048</v>
          </cell>
          <cell r="E71">
            <v>0</v>
          </cell>
          <cell r="F71">
            <v>116070952</v>
          </cell>
          <cell r="G71">
            <v>116070952</v>
          </cell>
          <cell r="H71">
            <v>0</v>
          </cell>
          <cell r="I71">
            <v>0</v>
          </cell>
          <cell r="J71">
            <v>38575040</v>
          </cell>
          <cell r="K71">
            <v>39362286</v>
          </cell>
          <cell r="L71">
            <v>0</v>
          </cell>
          <cell r="M71">
            <v>41339</v>
          </cell>
          <cell r="N71" t="str">
            <v>Contrato No. 159 de 2013
CDP 22813
16 Fondos Especiales</v>
          </cell>
          <cell r="O71" t="str">
            <v>Contrato No. 159 de 2013
CDP 22813
16 Fondos Especiales</v>
          </cell>
          <cell r="P71" t="str">
            <v>Contrato No. 159 de 2013
CDP 22813
16 Fondos Especiales</v>
          </cell>
          <cell r="Q71" t="str">
            <v>GRUPO 7</v>
          </cell>
          <cell r="R71" t="str">
            <v xml:space="preserve">CONSORCIO MEGA REDES CARIBE
UCO S.A.
VIRGILIO ENRIQUE OSORIO TORRES
LUIS VALDIMIR PEÑALOZA FUENTES
</v>
          </cell>
          <cell r="S71">
            <v>900616495</v>
          </cell>
          <cell r="T71">
            <v>41394</v>
          </cell>
          <cell r="U71">
            <v>1745528248</v>
          </cell>
          <cell r="V71">
            <v>1745528248</v>
          </cell>
          <cell r="W71">
            <v>0</v>
          </cell>
          <cell r="X71">
            <v>114666000</v>
          </cell>
          <cell r="Y71">
            <v>114666000</v>
          </cell>
          <cell r="Z71">
            <v>0</v>
          </cell>
          <cell r="AA71">
            <v>0</v>
          </cell>
          <cell r="AB71" t="str">
            <v>FALAN</v>
          </cell>
          <cell r="AC71" t="str">
            <v>TOLIMA</v>
          </cell>
          <cell r="AD71">
            <v>41403</v>
          </cell>
          <cell r="AE71">
            <v>4</v>
          </cell>
          <cell r="AF71">
            <v>0</v>
          </cell>
          <cell r="AG71">
            <v>523658474.39999998</v>
          </cell>
          <cell r="AH71">
            <v>523658474.39999998</v>
          </cell>
          <cell r="AI71">
            <v>41537</v>
          </cell>
        </row>
        <row r="72">
          <cell r="A72" t="str">
            <v>PAF-ATF-072-2013</v>
          </cell>
          <cell r="B72" t="str">
            <v>“CONSTRUCCIÓN ALCANTARILLADO CASCO URBANO MUNICIPIO DE PRADERA (VALLE DEL CAUCA)”</v>
          </cell>
          <cell r="C72">
            <v>9851829083</v>
          </cell>
          <cell r="D72">
            <v>9851829083</v>
          </cell>
          <cell r="E72">
            <v>0</v>
          </cell>
          <cell r="F72">
            <v>603131105</v>
          </cell>
          <cell r="G72">
            <v>603131105</v>
          </cell>
          <cell r="H72">
            <v>0</v>
          </cell>
          <cell r="I72">
            <v>0</v>
          </cell>
          <cell r="J72">
            <v>209099203.75999999</v>
          </cell>
          <cell r="K72">
            <v>213366534</v>
          </cell>
          <cell r="L72">
            <v>0</v>
          </cell>
          <cell r="M72">
            <v>41339</v>
          </cell>
          <cell r="N72" t="str">
            <v>Contrato No. 159 de 2013
CDP 22813
16 Fondos Especiales</v>
          </cell>
          <cell r="O72" t="str">
            <v>Contrato No. 159 de 2013
CDP 22813
16 Fondos Especiales</v>
          </cell>
          <cell r="P72" t="str">
            <v>Contrato No. 159 de 2013
CDP 22813
16 Fondos Especiales</v>
          </cell>
          <cell r="Q72" t="str">
            <v>GRUPO 7</v>
          </cell>
          <cell r="R72" t="str">
            <v>INGENIERIA Y CONTRATOS S.A.S.</v>
          </cell>
          <cell r="S72">
            <v>800011651</v>
          </cell>
          <cell r="T72">
            <v>41394</v>
          </cell>
          <cell r="U72">
            <v>9240156121</v>
          </cell>
          <cell r="V72">
            <v>9240156121</v>
          </cell>
          <cell r="W72">
            <v>0</v>
          </cell>
          <cell r="X72">
            <v>561042816</v>
          </cell>
          <cell r="Y72">
            <v>561042816</v>
          </cell>
          <cell r="Z72">
            <v>0</v>
          </cell>
          <cell r="AA72">
            <v>0</v>
          </cell>
          <cell r="AB72" t="str">
            <v>PRADERA</v>
          </cell>
          <cell r="AC72" t="str">
            <v>VALLE DEL CAUCA</v>
          </cell>
          <cell r="AD72">
            <v>41402</v>
          </cell>
          <cell r="AE72">
            <v>10</v>
          </cell>
          <cell r="AF72">
            <v>0</v>
          </cell>
          <cell r="AG72">
            <v>2772046836.2999997</v>
          </cell>
          <cell r="AH72">
            <v>0</v>
          </cell>
          <cell r="AI72">
            <v>0</v>
          </cell>
        </row>
        <row r="73">
          <cell r="A73" t="str">
            <v>PAF-ATF-073-2013</v>
          </cell>
          <cell r="B73" t="str">
            <v>“CONSTRUCCIÓN CLAUSURA DEL SITIO DE DISPOSICIÓN FINAL DE NAVARRO EN EL MUNICIPIO DE SANTIAGO DE CALI (VALLE DEL CAUCA)”</v>
          </cell>
          <cell r="C73">
            <v>5444444445</v>
          </cell>
          <cell r="D73">
            <v>5444444445</v>
          </cell>
          <cell r="E73">
            <v>0</v>
          </cell>
          <cell r="F73">
            <v>435555555</v>
          </cell>
          <cell r="G73">
            <v>435555555</v>
          </cell>
          <cell r="H73">
            <v>0</v>
          </cell>
          <cell r="I73">
            <v>0</v>
          </cell>
          <cell r="J73">
            <v>117600000</v>
          </cell>
          <cell r="K73">
            <v>120000000</v>
          </cell>
          <cell r="L73">
            <v>0</v>
          </cell>
          <cell r="M73">
            <v>41339</v>
          </cell>
          <cell r="N73" t="str">
            <v xml:space="preserve">CDP 152012  
SEGUN MAIL REMITIDO DEL MVCT                                                                                                                                                                                                                                                 </v>
          </cell>
          <cell r="O73" t="str">
            <v>Contrato No. 036 de 2012
CDP 274712
16 Fondos Especiales</v>
          </cell>
          <cell r="P73" t="str">
            <v>Contrato No. 036 de 2012
CDP 274712
16 Fondos Especiales</v>
          </cell>
          <cell r="Q73" t="str">
            <v>GRUPO 7</v>
          </cell>
          <cell r="R73" t="str">
            <v>OMAR VELEZ HOYOS</v>
          </cell>
          <cell r="S73">
            <v>19130521</v>
          </cell>
          <cell r="T73">
            <v>41394</v>
          </cell>
          <cell r="U73">
            <v>4895672808</v>
          </cell>
          <cell r="V73">
            <v>4895672808</v>
          </cell>
          <cell r="W73">
            <v>0</v>
          </cell>
          <cell r="X73">
            <v>428272000</v>
          </cell>
          <cell r="Y73">
            <v>428272000</v>
          </cell>
          <cell r="Z73">
            <v>0</v>
          </cell>
          <cell r="AA73">
            <v>0</v>
          </cell>
          <cell r="AB73" t="str">
            <v>SANTIAGO DE CALI</v>
          </cell>
          <cell r="AC73" t="str">
            <v>VALLE DEL CAUCA</v>
          </cell>
          <cell r="AD73">
            <v>41402</v>
          </cell>
          <cell r="AE73">
            <v>12</v>
          </cell>
          <cell r="AF73">
            <v>0</v>
          </cell>
          <cell r="AG73">
            <v>1468701842.3999999</v>
          </cell>
          <cell r="AH73">
            <v>1468701843</v>
          </cell>
          <cell r="AI73">
            <v>41550</v>
          </cell>
        </row>
        <row r="74">
          <cell r="A74" t="str">
            <v>PAF-ATF-077-2013</v>
          </cell>
          <cell r="B74" t="str">
            <v>“OPTIMIZACIÓN DE LOS COMPONENTES DEL SISTEMA DE ACUEDUCTO DEL CASCO URBANO DEL MUNICIPIO DE PARATEBUENO - DEPARTAMENTO DE CUNDINAMARCA”</v>
          </cell>
          <cell r="C74">
            <v>3533642021</v>
          </cell>
          <cell r="D74">
            <v>3533642021</v>
          </cell>
          <cell r="E74">
            <v>0</v>
          </cell>
          <cell r="F74">
            <v>247354941</v>
          </cell>
          <cell r="G74">
            <v>247354941</v>
          </cell>
          <cell r="H74">
            <v>0</v>
          </cell>
          <cell r="I74">
            <v>0</v>
          </cell>
          <cell r="J74">
            <v>75619939.239999995</v>
          </cell>
          <cell r="K74">
            <v>77163203</v>
          </cell>
          <cell r="L74">
            <v>0</v>
          </cell>
          <cell r="M74">
            <v>41355</v>
          </cell>
          <cell r="N74" t="str">
            <v>Contrato No. 036 de 2012
CDP 274712
16 Fondos Especiales</v>
          </cell>
          <cell r="O74" t="str">
            <v>Contrato No. 036 de 2012
CDP 274712
16 Fondos Especiales</v>
          </cell>
          <cell r="P74" t="str">
            <v>-</v>
          </cell>
          <cell r="Q74" t="str">
            <v xml:space="preserve">GRUPO 8 </v>
          </cell>
          <cell r="R74" t="str">
            <v>CONSORCIO MEDELLIN
SANEAR S.A.
PAECIA S.A.</v>
          </cell>
          <cell r="S74">
            <v>900629172</v>
          </cell>
          <cell r="T74">
            <v>41425</v>
          </cell>
          <cell r="U74">
            <v>3334942716</v>
          </cell>
          <cell r="V74">
            <v>3334942716</v>
          </cell>
          <cell r="W74">
            <v>0</v>
          </cell>
          <cell r="X74">
            <v>246553360</v>
          </cell>
          <cell r="Y74">
            <v>246553360</v>
          </cell>
          <cell r="Z74">
            <v>0</v>
          </cell>
          <cell r="AA74">
            <v>0</v>
          </cell>
          <cell r="AB74" t="str">
            <v>PARATABUENO</v>
          </cell>
          <cell r="AC74" t="str">
            <v>CUNDINAMARCA</v>
          </cell>
          <cell r="AD74">
            <v>41449</v>
          </cell>
          <cell r="AE74">
            <v>10</v>
          </cell>
          <cell r="AF74">
            <v>0</v>
          </cell>
          <cell r="AG74">
            <v>1000482814.8</v>
          </cell>
          <cell r="AH74">
            <v>1000482814.8</v>
          </cell>
          <cell r="AI74">
            <v>41614</v>
          </cell>
        </row>
        <row r="75">
          <cell r="A75" t="str">
            <v>PAF-ATF-078-2013</v>
          </cell>
          <cell r="B75" t="str">
            <v>"CONSTRUCCIÓN DE ESTACIÓN DE BOMBEO DE AGUA POTABLE EN LA PLANTA DE TRATAMIENTO – MUNICIPIO DE TUMACO- DEPARTAMENTO DE NARIÑO”</v>
          </cell>
          <cell r="C75">
            <v>1763388542</v>
          </cell>
          <cell r="D75">
            <v>1763388542</v>
          </cell>
          <cell r="E75">
            <v>0</v>
          </cell>
          <cell r="F75">
            <v>123437198</v>
          </cell>
          <cell r="G75">
            <v>123437198</v>
          </cell>
          <cell r="H75">
            <v>0</v>
          </cell>
          <cell r="I75" t="str">
            <v>ESTUDIOS Y DISEÑOS POR VALOR DE $58.632.669</v>
          </cell>
          <cell r="J75">
            <v>37736514.800000004</v>
          </cell>
          <cell r="K75">
            <v>38506648</v>
          </cell>
          <cell r="L75">
            <v>0</v>
          </cell>
          <cell r="M75">
            <v>41355</v>
          </cell>
          <cell r="N75" t="str">
            <v>Contrato No. 159 de 2013
CDP 22813
16 Fondos Especiales</v>
          </cell>
          <cell r="O75" t="str">
            <v>Contrato No. 159 de 2013
CDP 22813
16 Fondos Especiales</v>
          </cell>
          <cell r="P75">
            <v>0</v>
          </cell>
          <cell r="Q75" t="str">
            <v xml:space="preserve">GRUPO 8 </v>
          </cell>
          <cell r="R75" t="str">
            <v>ELECTRO HIDRAULICA S.A.</v>
          </cell>
          <cell r="S75">
            <v>860513276</v>
          </cell>
          <cell r="T75">
            <v>41425</v>
          </cell>
          <cell r="U75">
            <v>1669319108</v>
          </cell>
          <cell r="V75">
            <v>1669319108</v>
          </cell>
          <cell r="W75">
            <v>0</v>
          </cell>
          <cell r="X75">
            <v>119016000</v>
          </cell>
          <cell r="Y75">
            <v>119016000</v>
          </cell>
          <cell r="Z75">
            <v>0</v>
          </cell>
          <cell r="AA75">
            <v>0</v>
          </cell>
          <cell r="AB75" t="str">
            <v>TUMACO</v>
          </cell>
          <cell r="AC75" t="str">
            <v>NARIÑO</v>
          </cell>
          <cell r="AD75">
            <v>41444</v>
          </cell>
          <cell r="AE75">
            <v>8</v>
          </cell>
          <cell r="AF75">
            <v>0</v>
          </cell>
          <cell r="AG75">
            <v>500795732.39999998</v>
          </cell>
          <cell r="AH75">
            <v>500795732</v>
          </cell>
          <cell r="AI75">
            <v>41568</v>
          </cell>
        </row>
        <row r="76">
          <cell r="A76" t="str">
            <v>PAF-ATF-079-2013</v>
          </cell>
          <cell r="B76" t="str">
            <v>“CONSTRUCCIÓN PLANTA DE TRATAMIENTO DE AGUAS RESIDUALES LA MARINA, MUNICIPIO DE ARMENIA, DEPARTAMENTO DEL QUINDÍO”</v>
          </cell>
          <cell r="C76">
            <v>16344974341</v>
          </cell>
          <cell r="D76">
            <v>16344974341</v>
          </cell>
          <cell r="E76">
            <v>0</v>
          </cell>
          <cell r="F76">
            <v>1307597947</v>
          </cell>
          <cell r="G76">
            <v>1307597947</v>
          </cell>
          <cell r="H76">
            <v>0</v>
          </cell>
          <cell r="I76">
            <v>0</v>
          </cell>
          <cell r="J76">
            <v>353051445.75999999</v>
          </cell>
          <cell r="K76">
            <v>360256578</v>
          </cell>
          <cell r="L76">
            <v>0</v>
          </cell>
          <cell r="M76">
            <v>41355</v>
          </cell>
          <cell r="N76" t="str">
            <v>Contrato No. 159 de 2013
CDP 22813
16 Fondos Especiales</v>
          </cell>
          <cell r="O76" t="str">
            <v>Contrato No. 159 de 2013
CDP 22813
16 Fondos Especiales</v>
          </cell>
          <cell r="P76">
            <v>0</v>
          </cell>
          <cell r="Q76" t="str">
            <v xml:space="preserve">GRUPO 8 </v>
          </cell>
          <cell r="R76" t="str">
            <v>CONSORCIO PTAR S.A.
RB DE COLOMBIA S.A.
HIDROPROYECTOS S.A. SUCURSAL COLOMBIA</v>
          </cell>
          <cell r="S76">
            <v>900627520</v>
          </cell>
          <cell r="T76">
            <v>41425</v>
          </cell>
          <cell r="U76">
            <v>15690167695</v>
          </cell>
          <cell r="V76">
            <v>15690167695</v>
          </cell>
          <cell r="W76">
            <v>0</v>
          </cell>
          <cell r="X76">
            <v>1285103680</v>
          </cell>
          <cell r="Y76">
            <v>1285103680</v>
          </cell>
          <cell r="Z76">
            <v>0</v>
          </cell>
          <cell r="AA76">
            <v>0</v>
          </cell>
          <cell r="AB76" t="str">
            <v>ARMENIA</v>
          </cell>
          <cell r="AC76" t="str">
            <v>QUINDIO</v>
          </cell>
          <cell r="AD76">
            <v>41444</v>
          </cell>
          <cell r="AE76">
            <v>12</v>
          </cell>
          <cell r="AF76">
            <v>0</v>
          </cell>
          <cell r="AG76">
            <v>4707050308.5</v>
          </cell>
          <cell r="AH76">
            <v>4707050309</v>
          </cell>
          <cell r="AI76">
            <v>41537</v>
          </cell>
        </row>
        <row r="77">
          <cell r="A77" t="str">
            <v>PAF-ATF-080-2013</v>
          </cell>
          <cell r="B77" t="str">
            <v>“OPTIMIZACIÓN SISTEMA DE TRATAMIENTO DE AGUA POTABLE Y CONSTRUCCION DEL TANQUE DE ALMACENAMIENTO DEL MUNICIPIO DE SALENTO Y CONSTRUCCIÓN DEL TANQUE DE ALMACENAMIENTO DEL MUNICIPIO DE PIJAO- SALENTO DEPARTAMENTO DEL QUINDIO”</v>
          </cell>
          <cell r="C77">
            <v>995082415</v>
          </cell>
          <cell r="D77">
            <v>995082415</v>
          </cell>
          <cell r="E77">
            <v>0</v>
          </cell>
          <cell r="F77">
            <v>69257737</v>
          </cell>
          <cell r="G77">
            <v>69257737</v>
          </cell>
          <cell r="H77">
            <v>0</v>
          </cell>
          <cell r="I77">
            <v>0</v>
          </cell>
          <cell r="J77">
            <v>21286803.039999999</v>
          </cell>
          <cell r="K77">
            <v>21721227</v>
          </cell>
          <cell r="L77">
            <v>0</v>
          </cell>
          <cell r="M77">
            <v>41383</v>
          </cell>
          <cell r="N77" t="str">
            <v>Contrato No. 159 de 2013
CDP 22813
16 Fondos Especiales</v>
          </cell>
          <cell r="O77" t="str">
            <v>Contrato No. 159 de 2013
CDP 22813
16 Fondos Especiales</v>
          </cell>
          <cell r="P77">
            <v>0</v>
          </cell>
          <cell r="Q77" t="str">
            <v xml:space="preserve">GRUPO 8 </v>
          </cell>
          <cell r="R77" t="str">
            <v>SANEAR S.A.
PRONACON S.A.S.
HECTOR JULIO CASALLAS ORDOÑEZ
JHON WILLIAM CASALLAS JURADO</v>
          </cell>
          <cell r="S77">
            <v>890928186</v>
          </cell>
          <cell r="T77">
            <v>41467</v>
          </cell>
          <cell r="U77">
            <v>946658831</v>
          </cell>
          <cell r="V77">
            <v>946658831</v>
          </cell>
          <cell r="W77">
            <v>0</v>
          </cell>
          <cell r="X77">
            <v>65772000</v>
          </cell>
          <cell r="Y77">
            <v>65772000</v>
          </cell>
          <cell r="Z77">
            <v>0</v>
          </cell>
          <cell r="AA77">
            <v>0</v>
          </cell>
          <cell r="AB77" t="str">
            <v>PIJAO
SALENTO</v>
          </cell>
          <cell r="AC77" t="str">
            <v>QUINDIO</v>
          </cell>
          <cell r="AD77">
            <v>41473</v>
          </cell>
          <cell r="AE77">
            <v>8</v>
          </cell>
          <cell r="AF77">
            <v>0</v>
          </cell>
          <cell r="AG77">
            <v>283997649.30000001</v>
          </cell>
          <cell r="AH77">
            <v>0</v>
          </cell>
          <cell r="AI77">
            <v>0</v>
          </cell>
        </row>
        <row r="78">
          <cell r="A78" t="str">
            <v>PAF-ATF-081-2013</v>
          </cell>
          <cell r="B78" t="str">
            <v>“OPTIMIZACIÓN DE SUMINISTRO DE AGUA PARA EL ACUEDUCTO DEL MUNICIPIO DE EL GUAMO DEPARTAMENTO DEL TOLIMA”</v>
          </cell>
          <cell r="C78">
            <v>9702013130</v>
          </cell>
          <cell r="D78">
            <v>9702013130</v>
          </cell>
          <cell r="E78">
            <v>0</v>
          </cell>
          <cell r="F78">
            <v>679140919</v>
          </cell>
          <cell r="G78">
            <v>679140919</v>
          </cell>
          <cell r="H78">
            <v>0</v>
          </cell>
          <cell r="I78">
            <v>0</v>
          </cell>
          <cell r="J78">
            <v>207623080.98000002</v>
          </cell>
          <cell r="K78">
            <v>211860287</v>
          </cell>
          <cell r="L78">
            <v>0</v>
          </cell>
          <cell r="M78">
            <v>41355</v>
          </cell>
          <cell r="N78" t="str">
            <v>Contrato No. 159 de 2013
CDP 22813
16 Fondos Especiales</v>
          </cell>
          <cell r="O78" t="str">
            <v>Contrato No. 159 de 2013
CDP 22813
16 Fondos Especiales</v>
          </cell>
          <cell r="P78">
            <v>0</v>
          </cell>
          <cell r="Q78" t="str">
            <v xml:space="preserve">GRUPO 8 </v>
          </cell>
          <cell r="R78" t="str">
            <v>CONSORCIO ACUEDUCTO PARA EL GUAMO
VILLA HERNANDEZ Y CIA S.A.S
VIC S.A.S.
PABLO MAURICIO CASTRO AVILA</v>
          </cell>
          <cell r="S78">
            <v>900627487</v>
          </cell>
          <cell r="T78">
            <v>41425</v>
          </cell>
          <cell r="U78">
            <v>9323971866</v>
          </cell>
          <cell r="V78">
            <v>9323971866</v>
          </cell>
          <cell r="W78">
            <v>0</v>
          </cell>
          <cell r="X78">
            <v>643340060</v>
          </cell>
          <cell r="Y78">
            <v>643340060</v>
          </cell>
          <cell r="Z78">
            <v>0</v>
          </cell>
          <cell r="AA78">
            <v>0</v>
          </cell>
          <cell r="AB78" t="str">
            <v>EL GUAMO</v>
          </cell>
          <cell r="AC78" t="str">
            <v>TOLIMA</v>
          </cell>
          <cell r="AD78">
            <v>41444</v>
          </cell>
          <cell r="AE78">
            <v>9</v>
          </cell>
          <cell r="AF78">
            <v>0</v>
          </cell>
          <cell r="AG78">
            <v>2797191559.7999997</v>
          </cell>
          <cell r="AH78">
            <v>2797191559.8000002</v>
          </cell>
          <cell r="AI78">
            <v>41568</v>
          </cell>
        </row>
        <row r="79">
          <cell r="A79" t="str">
            <v>PAF-ATF-082-2013</v>
          </cell>
          <cell r="B79" t="str">
            <v>“CONSTRUCCIÓN OPTIMIZACIÓN SISTEMAS DE ACUEDUCTO Y ALCANTARILLADO DEL MUNICIPIO DE CAROLINA DEL PRINCIPE ETAPA 1”</v>
          </cell>
          <cell r="C79">
            <v>582971568</v>
          </cell>
          <cell r="D79">
            <v>582971568</v>
          </cell>
          <cell r="E79">
            <v>0</v>
          </cell>
          <cell r="F79">
            <v>46637725</v>
          </cell>
          <cell r="G79">
            <v>46637725</v>
          </cell>
          <cell r="H79">
            <v>0</v>
          </cell>
          <cell r="I79">
            <v>0</v>
          </cell>
          <cell r="J79">
            <v>12592185.859999999</v>
          </cell>
          <cell r="K79">
            <v>12849169</v>
          </cell>
          <cell r="L79">
            <v>0</v>
          </cell>
          <cell r="M79">
            <v>41383</v>
          </cell>
          <cell r="N79" t="str">
            <v>Contrato No. 159 de 2013
CDP 22813
16 Fondos Especiales</v>
          </cell>
          <cell r="O79" t="str">
            <v>Contrato No. 159 de 2013
CDP 22813
16 Fondos Especiales</v>
          </cell>
          <cell r="P79">
            <v>0</v>
          </cell>
          <cell r="Q79" t="str">
            <v>GRUPO 9</v>
          </cell>
          <cell r="R79" t="str">
            <v xml:space="preserve">CONSORCIO INGMAR
INGENIEROS ELECTRICISTAS Y CIVILES ASOCIADOS S.A.S
MIGUEL ANGEL DAVILA REYES
</v>
          </cell>
          <cell r="S79">
            <v>900637062</v>
          </cell>
          <cell r="T79">
            <v>41467</v>
          </cell>
          <cell r="U79">
            <v>555217311</v>
          </cell>
          <cell r="V79">
            <v>555217311</v>
          </cell>
          <cell r="W79">
            <v>0</v>
          </cell>
          <cell r="X79">
            <v>45863500</v>
          </cell>
          <cell r="Y79">
            <v>45863500</v>
          </cell>
          <cell r="Z79">
            <v>0</v>
          </cell>
          <cell r="AA79">
            <v>0</v>
          </cell>
          <cell r="AB79" t="str">
            <v>CAROLINA DEL PRINCIPE</v>
          </cell>
          <cell r="AC79" t="str">
            <v>ANTIOQUIA</v>
          </cell>
          <cell r="AD79">
            <v>41473</v>
          </cell>
          <cell r="AE79">
            <v>2</v>
          </cell>
          <cell r="AF79">
            <v>0</v>
          </cell>
          <cell r="AG79">
            <v>166565193.29999998</v>
          </cell>
          <cell r="AH79">
            <v>166565193.30000001</v>
          </cell>
          <cell r="AI79">
            <v>41618</v>
          </cell>
        </row>
        <row r="80">
          <cell r="A80" t="str">
            <v>PAF-ATF-083-2013</v>
          </cell>
          <cell r="B80" t="str">
            <v>“CONSTRUCCIÓN SISTEMA DE ALCANTARILLADO SANITARIO Y DE TRATAMIENTO DE AGUAS RESIDUALES DEL MUNICIPIO DE USIACURÍ PRIMERA ETAPA”</v>
          </cell>
          <cell r="C80">
            <v>16569173738</v>
          </cell>
          <cell r="D80">
            <v>16569173738</v>
          </cell>
          <cell r="E80">
            <v>0</v>
          </cell>
          <cell r="F80">
            <v>1253669004</v>
          </cell>
          <cell r="G80">
            <v>1253669004</v>
          </cell>
          <cell r="H80">
            <v>0</v>
          </cell>
          <cell r="I80">
            <v>0</v>
          </cell>
          <cell r="J80">
            <v>356456854.84000003</v>
          </cell>
          <cell r="K80">
            <v>363731485</v>
          </cell>
          <cell r="L80">
            <v>0</v>
          </cell>
          <cell r="M80">
            <v>41383</v>
          </cell>
          <cell r="N80" t="str">
            <v>Contrato No. 159 de 2013
CDP 22813
16 Fondos Especiales</v>
          </cell>
          <cell r="O80" t="str">
            <v>Contrato No. 159 de 2013
CDP 22813
16 Fondos Especiales</v>
          </cell>
          <cell r="P80">
            <v>0</v>
          </cell>
          <cell r="Q80" t="str">
            <v>GRUPO 9</v>
          </cell>
          <cell r="R80" t="str">
            <v xml:space="preserve">CONSORCIO AGUAS ATLANTICO
CORPORACIÓN AMBIENTE COLOMBIA - CORAMCOL
R &amp; M INGENIERIA S.A.S.
LINA JISELA MURCIA CUELLAR
DIEGO JARAMILLO GÓMEZ
</v>
          </cell>
          <cell r="S80">
            <v>900641566</v>
          </cell>
          <cell r="T80">
            <v>41481</v>
          </cell>
          <cell r="U80">
            <v>15654555401</v>
          </cell>
          <cell r="V80">
            <v>15654555401</v>
          </cell>
          <cell r="W80">
            <v>0</v>
          </cell>
          <cell r="X80">
            <v>1214087900</v>
          </cell>
          <cell r="Y80">
            <v>1214087900</v>
          </cell>
          <cell r="Z80">
            <v>0</v>
          </cell>
          <cell r="AA80">
            <v>0</v>
          </cell>
          <cell r="AB80" t="str">
            <v>USIACURÍ</v>
          </cell>
          <cell r="AC80" t="str">
            <v>ATLANTICO</v>
          </cell>
          <cell r="AD80">
            <v>41486</v>
          </cell>
          <cell r="AE80">
            <v>18</v>
          </cell>
          <cell r="AF80">
            <v>0</v>
          </cell>
          <cell r="AG80">
            <v>4696366620.3000002</v>
          </cell>
          <cell r="AH80">
            <v>4696366620</v>
          </cell>
          <cell r="AI80">
            <v>41635</v>
          </cell>
        </row>
        <row r="81">
          <cell r="A81" t="str">
            <v>PAF-ATF-084-2013</v>
          </cell>
          <cell r="B81" t="str">
            <v>“CONSTRUCCIÓN DE ALCANTARILLADO SANITARIO EN LA CABECERA MUNICIPAL DE MARÍA LA BAJA (BOLÍVAR)”</v>
          </cell>
          <cell r="C81">
            <v>17310102555</v>
          </cell>
          <cell r="D81">
            <v>17310102555</v>
          </cell>
          <cell r="E81">
            <v>0</v>
          </cell>
          <cell r="F81">
            <v>1137797114</v>
          </cell>
          <cell r="G81">
            <v>1137797114</v>
          </cell>
          <cell r="H81">
            <v>0</v>
          </cell>
          <cell r="I81">
            <v>0</v>
          </cell>
          <cell r="J81">
            <v>368957993.38</v>
          </cell>
          <cell r="K81">
            <v>376487748</v>
          </cell>
          <cell r="L81">
            <v>0</v>
          </cell>
          <cell r="M81">
            <v>41383</v>
          </cell>
          <cell r="N81" t="str">
            <v>Contrato No. 036 de 2012
CDP 274712
16 Fondos Especiales</v>
          </cell>
          <cell r="O81" t="str">
            <v>Contrato No. 036 de 2012
CDP 274712
16 Fondos Especiales</v>
          </cell>
          <cell r="P81" t="str">
            <v>-</v>
          </cell>
          <cell r="Q81" t="str">
            <v>GRUPO 9</v>
          </cell>
          <cell r="R81" t="str">
            <v xml:space="preserve">CONSORCIO ALIANZA YDN- MARIA LA BAJA
YAMIL SABBAGH SOLANO
CONSTRUCCIONES NAMUS S.A.
ASOCIADOS MARIN VALENCIA A.M.V. - S.A.
</v>
          </cell>
          <cell r="S81">
            <v>900620376</v>
          </cell>
          <cell r="T81">
            <v>41416</v>
          </cell>
          <cell r="U81">
            <v>16804192647</v>
          </cell>
          <cell r="V81">
            <v>16804192647</v>
          </cell>
          <cell r="W81">
            <v>0</v>
          </cell>
          <cell r="X81">
            <v>1081169300</v>
          </cell>
          <cell r="Y81">
            <v>1081169300</v>
          </cell>
          <cell r="Z81">
            <v>0</v>
          </cell>
          <cell r="AA81">
            <v>0</v>
          </cell>
          <cell r="AB81" t="str">
            <v>MARIA LA BAJA</v>
          </cell>
          <cell r="AC81" t="str">
            <v>BOLIVAR</v>
          </cell>
          <cell r="AD81">
            <v>41417</v>
          </cell>
          <cell r="AE81">
            <v>18</v>
          </cell>
          <cell r="AF81">
            <v>0</v>
          </cell>
          <cell r="AG81">
            <v>5041257794.0999994</v>
          </cell>
          <cell r="AH81">
            <v>5041257794.0999994</v>
          </cell>
          <cell r="AI81">
            <v>41607</v>
          </cell>
        </row>
        <row r="82">
          <cell r="A82" t="str">
            <v>PAF-ATF-085-2013</v>
          </cell>
          <cell r="B82" t="str">
            <v>“CONSTRUCCIÓN OPTIMIZACIÓN RED DE CONDUCCIÓN PARA EL SISTEMA DE ACUEDUCTO URBANO DEL MUNICIPIO DE GUATEQUE (BOYACÁ)”</v>
          </cell>
          <cell r="C82">
            <v>4460908475</v>
          </cell>
          <cell r="D82">
            <v>4460908475</v>
          </cell>
          <cell r="E82">
            <v>0</v>
          </cell>
          <cell r="F82">
            <v>289231603</v>
          </cell>
          <cell r="G82">
            <v>289231603</v>
          </cell>
          <cell r="H82">
            <v>0</v>
          </cell>
          <cell r="I82">
            <v>0</v>
          </cell>
          <cell r="J82">
            <v>95002801.560000002</v>
          </cell>
          <cell r="K82">
            <v>96941634</v>
          </cell>
          <cell r="L82">
            <v>0</v>
          </cell>
          <cell r="M82">
            <v>41383</v>
          </cell>
          <cell r="N82" t="str">
            <v>Contrato No. 159 de 2013
CDP 22813
16 Fondos Especiales</v>
          </cell>
          <cell r="O82" t="str">
            <v>Contrato No. 159 de 2013
CDP 22813
16 Fondos Especiales</v>
          </cell>
          <cell r="P82">
            <v>0</v>
          </cell>
          <cell r="Q82" t="str">
            <v>GRUPO 9</v>
          </cell>
          <cell r="R82" t="str">
            <v>UNION TEMPORAL PAIN 085
INGECOL S.A.
PAVIMENTOS ANDINOS S.A.</v>
          </cell>
          <cell r="S82">
            <v>900638230</v>
          </cell>
          <cell r="T82">
            <v>41463</v>
          </cell>
          <cell r="U82">
            <v>4251534413</v>
          </cell>
          <cell r="V82">
            <v>4251534413</v>
          </cell>
          <cell r="W82">
            <v>0</v>
          </cell>
          <cell r="X82">
            <v>277118200</v>
          </cell>
          <cell r="Y82">
            <v>277118200</v>
          </cell>
          <cell r="Z82">
            <v>0</v>
          </cell>
          <cell r="AA82">
            <v>0</v>
          </cell>
          <cell r="AB82" t="str">
            <v>GUATEQUE</v>
          </cell>
          <cell r="AC82" t="str">
            <v>BOYACA</v>
          </cell>
          <cell r="AD82">
            <v>41474</v>
          </cell>
          <cell r="AE82">
            <v>5</v>
          </cell>
          <cell r="AF82">
            <v>0</v>
          </cell>
          <cell r="AG82">
            <v>1275460323.8999999</v>
          </cell>
          <cell r="AH82">
            <v>1275460323.8999999</v>
          </cell>
          <cell r="AI82">
            <v>41607</v>
          </cell>
        </row>
        <row r="83">
          <cell r="A83" t="str">
            <v>PAF-ATF-086-2013</v>
          </cell>
          <cell r="B83" t="str">
            <v>“CONSTRUCCIÓN CANAL DE AGUAS LLUVIAS CARRERA 24 - DIAGONAL 44 Y CARRERA 23 ENTRE CALLE 51 Y RÍO LA CEIBAS COMUNA 2 DEL MUNICIPIO DE NEIVA (HUILA)”</v>
          </cell>
          <cell r="C83">
            <v>2252282916</v>
          </cell>
          <cell r="D83">
            <v>2252282916</v>
          </cell>
          <cell r="E83">
            <v>0</v>
          </cell>
          <cell r="F83">
            <v>180182633</v>
          </cell>
          <cell r="G83">
            <v>180182633</v>
          </cell>
          <cell r="H83">
            <v>0</v>
          </cell>
          <cell r="I83">
            <v>0</v>
          </cell>
          <cell r="J83">
            <v>48649310.980000004</v>
          </cell>
          <cell r="K83">
            <v>49642154</v>
          </cell>
          <cell r="L83">
            <v>0</v>
          </cell>
          <cell r="M83">
            <v>41383</v>
          </cell>
          <cell r="N83" t="str">
            <v>Contrato No. 036 de 2012
CDP 274712
16 Fondos Especiales</v>
          </cell>
          <cell r="O83" t="str">
            <v>Contrato No. 036 de 2012
CDP 274712
16 Fondos Especiales</v>
          </cell>
          <cell r="P83" t="str">
            <v>-</v>
          </cell>
          <cell r="Q83" t="str">
            <v>GRUPO 9</v>
          </cell>
          <cell r="R83" t="str">
            <v>UNION TEMPORAL NEIVA 086
LYDCO INGENIERIA S.A.S.
CONSTRUSOCIAL S.A.S.
GERMAN VILLANUEVA CALDERON</v>
          </cell>
          <cell r="S83">
            <v>900636934</v>
          </cell>
          <cell r="T83">
            <v>41463</v>
          </cell>
          <cell r="U83">
            <v>2142514400</v>
          </cell>
          <cell r="V83">
            <v>2142514400</v>
          </cell>
          <cell r="W83">
            <v>0</v>
          </cell>
          <cell r="X83">
            <v>176566500</v>
          </cell>
          <cell r="Y83">
            <v>176566500</v>
          </cell>
          <cell r="Z83">
            <v>0</v>
          </cell>
          <cell r="AA83">
            <v>0</v>
          </cell>
          <cell r="AB83" t="str">
            <v>NEIVA</v>
          </cell>
          <cell r="AC83" t="str">
            <v>HUILA</v>
          </cell>
          <cell r="AD83">
            <v>41473</v>
          </cell>
          <cell r="AE83">
            <v>10</v>
          </cell>
          <cell r="AF83">
            <v>0</v>
          </cell>
          <cell r="AG83">
            <v>642754320</v>
          </cell>
          <cell r="AH83">
            <v>642754320</v>
          </cell>
          <cell r="AI83">
            <v>41607</v>
          </cell>
        </row>
        <row r="84">
          <cell r="A84" t="str">
            <v>PAF-ATF-089-2013</v>
          </cell>
          <cell r="B84" t="str">
            <v>“OPTIMIZACIÓN DE LAGUNAS DE OXIDACIÓN MÓDULOS 4 Y 5 DE LA PLANTA DE TRATAMIENTO DE AGUAS RESIDUALES EL PUEBLO TERCERA ETAPA, BARRANQUILLA”.</v>
          </cell>
          <cell r="C84">
            <v>34819859512</v>
          </cell>
          <cell r="D84">
            <v>34819859512</v>
          </cell>
          <cell r="E84">
            <v>0</v>
          </cell>
          <cell r="F84">
            <v>2785588760.96</v>
          </cell>
          <cell r="G84">
            <v>2785588760.96</v>
          </cell>
          <cell r="H84">
            <v>0</v>
          </cell>
          <cell r="I84">
            <v>0</v>
          </cell>
          <cell r="J84">
            <v>752108965.45920002</v>
          </cell>
          <cell r="K84">
            <v>752108965.46000004</v>
          </cell>
          <cell r="L84">
            <v>0</v>
          </cell>
          <cell r="M84">
            <v>41409</v>
          </cell>
          <cell r="N84">
            <v>0</v>
          </cell>
          <cell r="O84">
            <v>0</v>
          </cell>
          <cell r="P84">
            <v>0</v>
          </cell>
          <cell r="Q84" t="str">
            <v>GRUPO 10</v>
          </cell>
          <cell r="R84">
            <v>0</v>
          </cell>
          <cell r="S84">
            <v>0</v>
          </cell>
          <cell r="T84" t="str">
            <v>SUSPENSIÓN</v>
          </cell>
          <cell r="U84">
            <v>0</v>
          </cell>
          <cell r="V84">
            <v>0</v>
          </cell>
          <cell r="W84">
            <v>0</v>
          </cell>
          <cell r="X84">
            <v>0</v>
          </cell>
          <cell r="Y84">
            <v>0</v>
          </cell>
          <cell r="Z84">
            <v>0</v>
          </cell>
          <cell r="AA84">
            <v>0</v>
          </cell>
          <cell r="AB84" t="str">
            <v>BARRANQUILLA</v>
          </cell>
          <cell r="AC84" t="str">
            <v>ATLANTICO</v>
          </cell>
          <cell r="AD84">
            <v>0</v>
          </cell>
          <cell r="AE84">
            <v>10</v>
          </cell>
          <cell r="AF84">
            <v>0</v>
          </cell>
          <cell r="AG84">
            <v>0</v>
          </cell>
          <cell r="AH84">
            <v>0</v>
          </cell>
          <cell r="AI84">
            <v>0</v>
          </cell>
        </row>
        <row r="85">
          <cell r="A85" t="str">
            <v>PAF-ATF-090-2013</v>
          </cell>
          <cell r="B85" t="str">
            <v>“CONSTRUCCIÓN DEL POZO 3, SEGUNDO TANQUE EN EL CERRO EL GOLERO, SISTEMA DE CLORACIÓN EN LA EBAP 2 Y LA OPTIMIZACIÓN DE LAS EBAPS 2 Y 3 DEL SISTEMA DE ACUEDUCTO DEL MUNICIPIO DE ARIGUANÍ”.</v>
          </cell>
          <cell r="C85">
            <v>3393896869</v>
          </cell>
          <cell r="D85">
            <v>3393896869</v>
          </cell>
          <cell r="E85">
            <v>0</v>
          </cell>
          <cell r="F85">
            <v>0</v>
          </cell>
          <cell r="G85">
            <v>0</v>
          </cell>
          <cell r="H85">
            <v>0</v>
          </cell>
          <cell r="I85" t="str">
            <v>AGUAS DEL MAGDALENA S.A. E.S.P. GESTOR DEL PDA</v>
          </cell>
          <cell r="J85">
            <v>67877937.379999995</v>
          </cell>
          <cell r="K85">
            <v>69263202</v>
          </cell>
          <cell r="L85">
            <v>0</v>
          </cell>
          <cell r="M85">
            <v>41409</v>
          </cell>
          <cell r="N85" t="str">
            <v>Contrato No. 159 de 2013
CDP 22813
16 Fondos Especiales</v>
          </cell>
          <cell r="O85" t="str">
            <v>Contrato No. 159 de 2013
CDP 22813
16 Fondos Especiales</v>
          </cell>
          <cell r="P85">
            <v>0</v>
          </cell>
          <cell r="Q85" t="str">
            <v>GRUPO 10</v>
          </cell>
          <cell r="R85" t="str">
            <v>CONSORCIO POZOS DEL MAGDALENA
CONSTRUCTORA INCO S.A.S.
GONZALO GONZALES VIANA
DANIEL ENRIQUE NUÑEZ GUERRA</v>
          </cell>
          <cell r="S85">
            <v>900641621</v>
          </cell>
          <cell r="T85">
            <v>41474</v>
          </cell>
          <cell r="U85">
            <v>3280567270</v>
          </cell>
          <cell r="V85">
            <v>3280567270</v>
          </cell>
          <cell r="W85">
            <v>0</v>
          </cell>
          <cell r="X85">
            <v>0</v>
          </cell>
          <cell r="Y85">
            <v>0</v>
          </cell>
          <cell r="Z85">
            <v>0</v>
          </cell>
          <cell r="AA85">
            <v>0</v>
          </cell>
          <cell r="AB85" t="str">
            <v>ARIGUANI</v>
          </cell>
          <cell r="AC85" t="str">
            <v>MAGDALENA</v>
          </cell>
          <cell r="AD85" t="str">
            <v>31-07-2013</v>
          </cell>
          <cell r="AE85">
            <v>10</v>
          </cell>
          <cell r="AF85">
            <v>0</v>
          </cell>
          <cell r="AG85">
            <v>984170181</v>
          </cell>
          <cell r="AH85">
            <v>984170181</v>
          </cell>
          <cell r="AI85">
            <v>41669</v>
          </cell>
        </row>
        <row r="86">
          <cell r="A86" t="str">
            <v>PAF-ATF-091-2013</v>
          </cell>
          <cell r="B86" t="str">
            <v>“OPTIMIZACIÓN SISTEMA DE ALCANTARILLADO BARRIO VALLES DEL MIRADOR MUNICIPIO DE LOS PATIOS”.</v>
          </cell>
          <cell r="C86">
            <v>1049356214</v>
          </cell>
          <cell r="D86">
            <v>1049356214</v>
          </cell>
          <cell r="E86">
            <v>0</v>
          </cell>
          <cell r="F86">
            <v>83948497</v>
          </cell>
          <cell r="G86">
            <v>83948497</v>
          </cell>
          <cell r="H86">
            <v>0</v>
          </cell>
          <cell r="I86">
            <v>0</v>
          </cell>
          <cell r="J86">
            <v>22666094.219999999</v>
          </cell>
          <cell r="K86">
            <v>23128668</v>
          </cell>
          <cell r="L86">
            <v>0</v>
          </cell>
          <cell r="M86">
            <v>41409</v>
          </cell>
          <cell r="N86" t="str">
            <v>Contrato No. 159 de 2013
CDP 22813
16 Fondos Especiales</v>
          </cell>
          <cell r="O86" t="str">
            <v>Contrato No. 159 de 2013
CDP 22813
16 Fondos Especiales</v>
          </cell>
          <cell r="P86">
            <v>0</v>
          </cell>
          <cell r="Q86" t="str">
            <v>GRUPO 10</v>
          </cell>
          <cell r="R86" t="str">
            <v>JOSE MARIO GIRALDO ENCISO</v>
          </cell>
          <cell r="S86">
            <v>10243741</v>
          </cell>
          <cell r="T86">
            <v>41480</v>
          </cell>
          <cell r="U86">
            <v>977368357</v>
          </cell>
          <cell r="V86">
            <v>977368357</v>
          </cell>
          <cell r="W86">
            <v>0</v>
          </cell>
          <cell r="X86">
            <v>83070500</v>
          </cell>
          <cell r="Y86">
            <v>83070500</v>
          </cell>
          <cell r="Z86">
            <v>0</v>
          </cell>
          <cell r="AA86">
            <v>0</v>
          </cell>
          <cell r="AB86" t="str">
            <v>LOS PATIOS</v>
          </cell>
          <cell r="AC86" t="str">
            <v>NORTE DE SANTANDER</v>
          </cell>
          <cell r="AD86" t="str">
            <v>26-07-2013</v>
          </cell>
          <cell r="AE86">
            <v>10</v>
          </cell>
          <cell r="AF86">
            <v>0</v>
          </cell>
          <cell r="AG86">
            <v>293210507.09999996</v>
          </cell>
          <cell r="AH86">
            <v>0</v>
          </cell>
          <cell r="AI86">
            <v>0</v>
          </cell>
        </row>
        <row r="87">
          <cell r="A87" t="str">
            <v>PAF-ATF-092-2013</v>
          </cell>
          <cell r="B87" t="str">
            <v>“CONSTRUCCIÓN DE REDES DE CONDUCCIÓN Y OPTIMIZACIÓN DEL ACUEDUCTO MUNICIPIO DE BARBOSA- SANTANDER ”.</v>
          </cell>
          <cell r="C87">
            <v>7665826501</v>
          </cell>
          <cell r="D87">
            <v>7665826501</v>
          </cell>
          <cell r="E87">
            <v>0</v>
          </cell>
          <cell r="F87">
            <v>613266120.08000004</v>
          </cell>
          <cell r="G87">
            <v>613266120.08000004</v>
          </cell>
          <cell r="H87">
            <v>0</v>
          </cell>
          <cell r="I87">
            <v>0</v>
          </cell>
          <cell r="J87">
            <v>165581852.42160001</v>
          </cell>
          <cell r="K87">
            <v>165581852.42000002</v>
          </cell>
          <cell r="L87">
            <v>0</v>
          </cell>
          <cell r="M87">
            <v>0</v>
          </cell>
          <cell r="N87">
            <v>0</v>
          </cell>
          <cell r="O87">
            <v>0</v>
          </cell>
          <cell r="P87">
            <v>0</v>
          </cell>
          <cell r="Q87" t="str">
            <v>GRUPO 10</v>
          </cell>
          <cell r="R87">
            <v>0</v>
          </cell>
          <cell r="S87">
            <v>0</v>
          </cell>
          <cell r="T87" t="str">
            <v>APLAZADO</v>
          </cell>
          <cell r="U87">
            <v>0</v>
          </cell>
          <cell r="V87">
            <v>0</v>
          </cell>
          <cell r="W87">
            <v>0</v>
          </cell>
          <cell r="X87">
            <v>0</v>
          </cell>
          <cell r="Y87">
            <v>0</v>
          </cell>
          <cell r="Z87">
            <v>0</v>
          </cell>
          <cell r="AA87">
            <v>0</v>
          </cell>
          <cell r="AB87" t="str">
            <v>BARBOSA</v>
          </cell>
          <cell r="AC87" t="str">
            <v>SANTANDER</v>
          </cell>
          <cell r="AD87">
            <v>0</v>
          </cell>
          <cell r="AE87">
            <v>0</v>
          </cell>
          <cell r="AF87">
            <v>0</v>
          </cell>
          <cell r="AG87">
            <v>0</v>
          </cell>
          <cell r="AH87">
            <v>0</v>
          </cell>
          <cell r="AI87">
            <v>0</v>
          </cell>
        </row>
        <row r="88">
          <cell r="A88" t="str">
            <v>PAF-ATF-093-2013</v>
          </cell>
          <cell r="B88" t="str">
            <v>“CONSTRUCCIÓN TERCERA ETAPA PLAN MAESTRO DE ACUEDUCTO Y ALCANTARILLADO ZONA URBANA MUNICIPIO DE SANTO DOMINGO”</v>
          </cell>
          <cell r="C88">
            <v>7387717783</v>
          </cell>
          <cell r="D88">
            <v>7387717783</v>
          </cell>
          <cell r="E88">
            <v>0</v>
          </cell>
          <cell r="F88">
            <v>538509899</v>
          </cell>
          <cell r="G88">
            <v>538509899</v>
          </cell>
          <cell r="H88">
            <v>0</v>
          </cell>
          <cell r="I88">
            <v>0</v>
          </cell>
          <cell r="J88">
            <v>158524553.64000002</v>
          </cell>
          <cell r="K88">
            <v>161759746</v>
          </cell>
          <cell r="L88">
            <v>0</v>
          </cell>
          <cell r="M88">
            <v>41460</v>
          </cell>
          <cell r="N88" t="str">
            <v>Contrato No. 036 de 2012
CDP 274712
16 Fondos Especiales</v>
          </cell>
          <cell r="O88" t="str">
            <v>Contrato No. 036 de 2012
CDP 274712
16 Fondos Especiales</v>
          </cell>
          <cell r="P88">
            <v>0</v>
          </cell>
          <cell r="Q88" t="str">
            <v>GRUPO 11</v>
          </cell>
          <cell r="R88" t="str">
            <v>UNION TEMPORAL REDES 2013
HAPIL INGENIERIA S.A.S
R.M Y CIA S.A.S.</v>
          </cell>
          <cell r="S88">
            <v>900646804</v>
          </cell>
          <cell r="T88">
            <v>41501</v>
          </cell>
          <cell r="U88">
            <v>6987778860</v>
          </cell>
          <cell r="V88">
            <v>6987778860</v>
          </cell>
          <cell r="W88">
            <v>0</v>
          </cell>
          <cell r="X88">
            <v>518083840</v>
          </cell>
          <cell r="Y88">
            <v>518083840</v>
          </cell>
          <cell r="Z88">
            <v>0</v>
          </cell>
          <cell r="AA88">
            <v>0</v>
          </cell>
          <cell r="AB88" t="str">
            <v>SANTO DOMINGO</v>
          </cell>
          <cell r="AC88" t="str">
            <v>ANTIOQUIA</v>
          </cell>
          <cell r="AD88" t="str">
            <v>22-08-2013</v>
          </cell>
          <cell r="AE88">
            <v>6</v>
          </cell>
          <cell r="AF88">
            <v>0</v>
          </cell>
          <cell r="AG88">
            <v>2096333658</v>
          </cell>
          <cell r="AH88">
            <v>0</v>
          </cell>
          <cell r="AI88">
            <v>0</v>
          </cell>
        </row>
        <row r="89">
          <cell r="A89" t="str">
            <v>PAF-ATF-094-2013</v>
          </cell>
          <cell r="B89" t="str">
            <v>“CONSTRUCCIÓN DEL PLAN MAESTRO DE ACUEDUCTO Y ALCANTARILLADO DEL MUNICIPIO DE SAN VICENTE DE FERRER”</v>
          </cell>
          <cell r="C89">
            <v>8163598710</v>
          </cell>
          <cell r="D89">
            <v>8163598710</v>
          </cell>
          <cell r="E89">
            <v>0</v>
          </cell>
          <cell r="F89">
            <v>581017604</v>
          </cell>
          <cell r="G89">
            <v>581017604</v>
          </cell>
          <cell r="H89">
            <v>0</v>
          </cell>
          <cell r="I89">
            <v>0</v>
          </cell>
          <cell r="J89">
            <v>174892326.28</v>
          </cell>
          <cell r="K89">
            <v>179674406</v>
          </cell>
          <cell r="L89">
            <v>0</v>
          </cell>
          <cell r="M89">
            <v>41460</v>
          </cell>
          <cell r="N89" t="str">
            <v>SALDOS CONTRATO 036 DE 2012
TODOS LOS CDP VER RELACIÓN ANEXA</v>
          </cell>
          <cell r="O89" t="str">
            <v>Contrato No. 036 de 2012
CDP 290212
11 Recursos del Tesoro
Contrato 036 de 2012
CDP 1413 
Vigencias Futuras 2013</v>
          </cell>
          <cell r="P89">
            <v>0</v>
          </cell>
          <cell r="Q89" t="str">
            <v>GRUPO 11</v>
          </cell>
          <cell r="R89" t="str">
            <v>CONSORCIO AGUAS SAN VICENTE
PROINARK S.A.
EXCAVACIONES JOBEPA SUCURSAL COLOMBIA
EPROCON S.A.</v>
          </cell>
          <cell r="S89">
            <v>900646147</v>
          </cell>
          <cell r="T89">
            <v>41501</v>
          </cell>
          <cell r="U89">
            <v>7733328619</v>
          </cell>
          <cell r="V89">
            <v>7733328619</v>
          </cell>
          <cell r="W89">
            <v>0</v>
          </cell>
          <cell r="X89">
            <v>552276000</v>
          </cell>
          <cell r="Y89">
            <v>552276000</v>
          </cell>
          <cell r="Z89">
            <v>0</v>
          </cell>
          <cell r="AA89">
            <v>0</v>
          </cell>
          <cell r="AB89" t="str">
            <v>SAN VICENTE DE FERRER</v>
          </cell>
          <cell r="AC89" t="str">
            <v>ANTIOQUIA</v>
          </cell>
          <cell r="AD89">
            <v>41509</v>
          </cell>
          <cell r="AE89">
            <v>10</v>
          </cell>
          <cell r="AF89">
            <v>0</v>
          </cell>
          <cell r="AG89">
            <v>2319998585.6999998</v>
          </cell>
          <cell r="AH89">
            <v>0</v>
          </cell>
          <cell r="AI89">
            <v>0</v>
          </cell>
        </row>
        <row r="90">
          <cell r="A90" t="str">
            <v>PAF-ATF-095-2013</v>
          </cell>
          <cell r="B90" t="str">
            <v>PLAN DE MANEJO AMBIENTAL PARA EL CIERRE DEL ANTIGUO BOTADERO A CIELO ABIERTO EL MIRADOR DEL MUNICIPIO DE MANZANARES</v>
          </cell>
          <cell r="C90">
            <v>216330796</v>
          </cell>
          <cell r="D90">
            <v>216330796</v>
          </cell>
          <cell r="E90">
            <v>0</v>
          </cell>
          <cell r="F90">
            <v>15143156</v>
          </cell>
          <cell r="G90">
            <v>15143156</v>
          </cell>
          <cell r="H90">
            <v>0</v>
          </cell>
          <cell r="I90">
            <v>0</v>
          </cell>
          <cell r="J90">
            <v>4629479.04</v>
          </cell>
          <cell r="K90">
            <v>4414914</v>
          </cell>
          <cell r="L90">
            <v>0</v>
          </cell>
          <cell r="M90">
            <v>41464</v>
          </cell>
          <cell r="N90" t="str">
            <v>Contrato No. 159 de 2013
CDP 137513
11 Nación</v>
          </cell>
          <cell r="O90" t="str">
            <v>Contrato No. 159 de 2013
CDP 137513
11 Nación</v>
          </cell>
          <cell r="P90">
            <v>0</v>
          </cell>
          <cell r="Q90" t="str">
            <v>GRUPO 11</v>
          </cell>
          <cell r="R90">
            <v>0</v>
          </cell>
          <cell r="S90">
            <v>0</v>
          </cell>
          <cell r="T90" t="str">
            <v>DESIERTO</v>
          </cell>
          <cell r="U90">
            <v>0</v>
          </cell>
          <cell r="V90">
            <v>0</v>
          </cell>
          <cell r="W90">
            <v>0</v>
          </cell>
          <cell r="X90">
            <v>14261248.800000001</v>
          </cell>
          <cell r="Y90">
            <v>14261248.800000001</v>
          </cell>
          <cell r="Z90">
            <v>0</v>
          </cell>
          <cell r="AA90">
            <v>0</v>
          </cell>
          <cell r="AB90" t="str">
            <v>MANZANARES</v>
          </cell>
          <cell r="AC90" t="str">
            <v>CALDAS</v>
          </cell>
          <cell r="AD90">
            <v>0</v>
          </cell>
          <cell r="AE90">
            <v>7</v>
          </cell>
          <cell r="AF90">
            <v>0</v>
          </cell>
          <cell r="AG90">
            <v>0</v>
          </cell>
          <cell r="AH90">
            <v>0</v>
          </cell>
          <cell r="AI90">
            <v>0</v>
          </cell>
        </row>
        <row r="91">
          <cell r="A91" t="str">
            <v>PAF-ATF-096-2013</v>
          </cell>
          <cell r="B91" t="str">
            <v>OPTIMIZACIÓN RELLENO SANITARIO LA VEGA DEL ALTO ORIENTE DE CALDAS MUNICIPIO DE MARQUETALIA</v>
          </cell>
          <cell r="C91">
            <v>1047507561</v>
          </cell>
          <cell r="D91">
            <v>1047507561</v>
          </cell>
          <cell r="E91">
            <v>0</v>
          </cell>
          <cell r="F91">
            <v>73325529</v>
          </cell>
          <cell r="G91">
            <v>73325529</v>
          </cell>
          <cell r="H91">
            <v>0</v>
          </cell>
          <cell r="I91">
            <v>0</v>
          </cell>
          <cell r="J91">
            <v>22416661.800000001</v>
          </cell>
          <cell r="K91">
            <v>22874145</v>
          </cell>
          <cell r="L91">
            <v>0</v>
          </cell>
          <cell r="M91">
            <v>41464</v>
          </cell>
          <cell r="N91" t="str">
            <v>Contrato No. 159 de 2013
CDP 137513
11 Nación</v>
          </cell>
          <cell r="O91" t="str">
            <v>Contrato No. 159 de 2013
CDP 137513
11 Nación</v>
          </cell>
          <cell r="P91">
            <v>0</v>
          </cell>
          <cell r="Q91" t="str">
            <v>GRUPO 11</v>
          </cell>
          <cell r="R91" t="str">
            <v xml:space="preserve">CONSORCIO CAAN
INGENIEROS CIVILES Y ASOCIADOS LIMITADA CASI LTDA
JHONN JAIRO ANDRADE SERRANO
</v>
          </cell>
          <cell r="S91">
            <v>900649725</v>
          </cell>
          <cell r="T91">
            <v>41509</v>
          </cell>
          <cell r="U91">
            <v>962247823</v>
          </cell>
          <cell r="V91">
            <v>962247823</v>
          </cell>
          <cell r="W91">
            <v>0</v>
          </cell>
          <cell r="X91">
            <v>72201416</v>
          </cell>
          <cell r="Y91">
            <v>72201416</v>
          </cell>
          <cell r="Z91">
            <v>0</v>
          </cell>
          <cell r="AA91">
            <v>0</v>
          </cell>
          <cell r="AB91" t="str">
            <v>MARQUETALIA</v>
          </cell>
          <cell r="AC91" t="str">
            <v>CALDAS</v>
          </cell>
          <cell r="AD91">
            <v>41519</v>
          </cell>
          <cell r="AE91">
            <v>12</v>
          </cell>
          <cell r="AF91">
            <v>0</v>
          </cell>
          <cell r="AG91">
            <v>288674346.89999998</v>
          </cell>
          <cell r="AH91">
            <v>288674346.89999998</v>
          </cell>
          <cell r="AI91">
            <v>41669</v>
          </cell>
        </row>
        <row r="92">
          <cell r="A92" t="str">
            <v>PAF-ATF-097-2013</v>
          </cell>
          <cell r="B92" t="str">
            <v>OPTIMIZACIÓN RELLENO SANITARIO EL EDÉN DEL MUNICIPIO DE SAMANÁ</v>
          </cell>
          <cell r="C92">
            <v>708307979</v>
          </cell>
          <cell r="D92">
            <v>708307979</v>
          </cell>
          <cell r="E92">
            <v>0</v>
          </cell>
          <cell r="F92">
            <v>49581559</v>
          </cell>
          <cell r="G92">
            <v>49581559</v>
          </cell>
          <cell r="H92">
            <v>0</v>
          </cell>
          <cell r="I92">
            <v>0</v>
          </cell>
          <cell r="J92">
            <v>15157790.76</v>
          </cell>
          <cell r="K92">
            <v>15467133</v>
          </cell>
          <cell r="L92">
            <v>0</v>
          </cell>
          <cell r="M92">
            <v>41464</v>
          </cell>
          <cell r="N92" t="str">
            <v>Contrato No. 159 de 2013
CDP 137513
11 Nación</v>
          </cell>
          <cell r="O92" t="str">
            <v>Contrato No. 159 de 2013
CDP 137513
11 Nación</v>
          </cell>
          <cell r="P92">
            <v>0</v>
          </cell>
          <cell r="Q92" t="str">
            <v>GRUPO 11</v>
          </cell>
          <cell r="R92" t="str">
            <v xml:space="preserve">CONSORCIO CAAN
INGENIEROS CIVILES Y ASOCIADOS LIMITADA CASI LTDA
JHONN JAIRO ANDRADE SERRANO
</v>
          </cell>
          <cell r="S92">
            <v>900649725</v>
          </cell>
          <cell r="T92">
            <v>41509</v>
          </cell>
          <cell r="U92">
            <v>657164410</v>
          </cell>
          <cell r="V92">
            <v>657164410</v>
          </cell>
          <cell r="W92">
            <v>0</v>
          </cell>
          <cell r="X92">
            <v>49325752</v>
          </cell>
          <cell r="Y92">
            <v>49325752</v>
          </cell>
          <cell r="Z92">
            <v>0</v>
          </cell>
          <cell r="AA92">
            <v>0</v>
          </cell>
          <cell r="AB92" t="str">
            <v>SAMANA</v>
          </cell>
          <cell r="AC92" t="str">
            <v>CALDAS</v>
          </cell>
          <cell r="AD92">
            <v>41519</v>
          </cell>
          <cell r="AE92">
            <v>12</v>
          </cell>
          <cell r="AF92">
            <v>0</v>
          </cell>
          <cell r="AG92">
            <v>197149323</v>
          </cell>
          <cell r="AH92">
            <v>197149323</v>
          </cell>
          <cell r="AI92">
            <v>41669</v>
          </cell>
        </row>
        <row r="93">
          <cell r="A93" t="str">
            <v>PAF-ATF-098-2013</v>
          </cell>
          <cell r="B93" t="str">
            <v>“CONSTRUCCIÓN, AMPLIACIÓN Y OPTIMIZACIÓN DEL SISTEMA DE ACUEDUCTO URBANO, MUNICIPIO DE CISNEROS”</v>
          </cell>
          <cell r="C93">
            <v>2530989988</v>
          </cell>
          <cell r="D93">
            <v>2530989988</v>
          </cell>
          <cell r="E93">
            <v>0</v>
          </cell>
          <cell r="F93">
            <v>202479199</v>
          </cell>
          <cell r="G93">
            <v>202479199</v>
          </cell>
          <cell r="H93">
            <v>0</v>
          </cell>
          <cell r="I93">
            <v>0</v>
          </cell>
          <cell r="J93">
            <v>54669383.740000002</v>
          </cell>
          <cell r="K93">
            <v>57548351</v>
          </cell>
          <cell r="L93">
            <v>0</v>
          </cell>
          <cell r="M93">
            <v>41467</v>
          </cell>
          <cell r="N93" t="str">
            <v>Contrato No. 159 de 2013
CDP 155913
11 Nación</v>
          </cell>
          <cell r="O93" t="str">
            <v>Contrato No. 159 de 2013
CDP 155913
11 Nación</v>
          </cell>
          <cell r="P93">
            <v>0</v>
          </cell>
          <cell r="Q93" t="str">
            <v>GRUPO 12</v>
          </cell>
          <cell r="R93" t="str">
            <v>CONSORCIO ACUEDUCTO MUNICIPIO DE CISNEROS</v>
          </cell>
          <cell r="S93">
            <v>900654141</v>
          </cell>
          <cell r="T93">
            <v>41522</v>
          </cell>
          <cell r="U93">
            <v>2376790278</v>
          </cell>
          <cell r="V93">
            <v>2376790278</v>
          </cell>
          <cell r="W93">
            <v>0</v>
          </cell>
          <cell r="X93">
            <v>192756852</v>
          </cell>
          <cell r="Y93">
            <v>192756852</v>
          </cell>
          <cell r="Z93">
            <v>0</v>
          </cell>
          <cell r="AA93">
            <v>0</v>
          </cell>
          <cell r="AB93" t="str">
            <v>CISNEROS</v>
          </cell>
          <cell r="AC93" t="str">
            <v>ANTIOQUIA</v>
          </cell>
          <cell r="AD93">
            <v>41530</v>
          </cell>
          <cell r="AE93">
            <v>7</v>
          </cell>
          <cell r="AF93">
            <v>0</v>
          </cell>
          <cell r="AG93">
            <v>713037083.39999998</v>
          </cell>
          <cell r="AH93">
            <v>0</v>
          </cell>
          <cell r="AI93">
            <v>0</v>
          </cell>
        </row>
        <row r="94">
          <cell r="A94" t="str">
            <v>PAF-ATF-100-2013</v>
          </cell>
          <cell r="B94" t="str">
            <v>“REHABILITACIÓN DEL SISTEMA DE BOMBEO DE LOS POZOS NUMERO UNO Y DOS DEL SISTEMA DE ACUEDUCTO DEL MUNICIPIO DE ARIGUANÍ”</v>
          </cell>
          <cell r="C94">
            <v>204463749</v>
          </cell>
          <cell r="D94">
            <v>204463749</v>
          </cell>
          <cell r="E94">
            <v>0</v>
          </cell>
          <cell r="F94">
            <v>14312463</v>
          </cell>
          <cell r="G94">
            <v>14312463</v>
          </cell>
          <cell r="H94">
            <v>0</v>
          </cell>
          <cell r="I94">
            <v>0</v>
          </cell>
          <cell r="J94">
            <v>4375524.24</v>
          </cell>
          <cell r="K94">
            <v>4464821</v>
          </cell>
          <cell r="L94">
            <v>0</v>
          </cell>
          <cell r="M94">
            <v>41487</v>
          </cell>
          <cell r="N94" t="str">
            <v>Contrato No. 159 de 2013
CDP 155913
11 Nación</v>
          </cell>
          <cell r="O94" t="str">
            <v>Contrato No. 159 de 2013
CDP 155913
11 Nación</v>
          </cell>
          <cell r="P94">
            <v>0</v>
          </cell>
          <cell r="Q94" t="str">
            <v>GRUPO 13</v>
          </cell>
          <cell r="R94" t="str">
            <v>CONSTRUCCIONES INCO S.A.S.</v>
          </cell>
          <cell r="S94">
            <v>806008712</v>
          </cell>
          <cell r="T94">
            <v>41200</v>
          </cell>
          <cell r="U94">
            <v>199302163</v>
          </cell>
          <cell r="V94">
            <v>199302163</v>
          </cell>
          <cell r="W94">
            <v>0</v>
          </cell>
          <cell r="X94">
            <v>14050500</v>
          </cell>
          <cell r="Y94">
            <v>14050500</v>
          </cell>
          <cell r="Z94">
            <v>0</v>
          </cell>
          <cell r="AA94">
            <v>0</v>
          </cell>
          <cell r="AB94" t="str">
            <v>ARIGUANI</v>
          </cell>
          <cell r="AC94" t="str">
            <v>MAGDALENA</v>
          </cell>
          <cell r="AD94">
            <v>41590</v>
          </cell>
          <cell r="AE94">
            <v>1</v>
          </cell>
          <cell r="AF94">
            <v>0</v>
          </cell>
          <cell r="AG94">
            <v>0</v>
          </cell>
          <cell r="AH94">
            <v>0</v>
          </cell>
          <cell r="AI94">
            <v>0</v>
          </cell>
        </row>
        <row r="95">
          <cell r="A95" t="str">
            <v>PAF-ATF-101-2013</v>
          </cell>
          <cell r="B95" t="str">
            <v>AMPLIACIÓN DEL RELLENO SANITARIO DEL MUNICIPIO DE MÁLAGA”</v>
          </cell>
          <cell r="C95">
            <v>1310069787</v>
          </cell>
          <cell r="D95">
            <v>1310069787</v>
          </cell>
          <cell r="E95">
            <v>0</v>
          </cell>
          <cell r="F95">
            <v>131006979</v>
          </cell>
          <cell r="G95">
            <v>131006979</v>
          </cell>
          <cell r="H95">
            <v>0</v>
          </cell>
          <cell r="I95">
            <v>0</v>
          </cell>
          <cell r="J95">
            <v>28821535.32</v>
          </cell>
          <cell r="K95">
            <v>33641535</v>
          </cell>
          <cell r="L95">
            <v>0</v>
          </cell>
          <cell r="M95">
            <v>41487</v>
          </cell>
          <cell r="N95" t="str">
            <v>Contrato No. 159 de 2013
CDP 137513
11 Nación</v>
          </cell>
          <cell r="O95" t="str">
            <v>Contrato No. 159 de 2013
CDP 137513
11 Nación</v>
          </cell>
          <cell r="P95">
            <v>0</v>
          </cell>
          <cell r="Q95" t="str">
            <v>GRUPO 13</v>
          </cell>
          <cell r="R95" t="str">
            <v>INGENIERO CARLOS MANRIQUE SAAVEDRA</v>
          </cell>
          <cell r="S95">
            <v>12130133</v>
          </cell>
          <cell r="T95">
            <v>41522</v>
          </cell>
          <cell r="U95">
            <v>1260787500</v>
          </cell>
          <cell r="V95">
            <v>1260787500</v>
          </cell>
          <cell r="W95">
            <v>0</v>
          </cell>
          <cell r="X95">
            <v>124691532</v>
          </cell>
          <cell r="Y95">
            <v>124691532</v>
          </cell>
          <cell r="Z95">
            <v>0</v>
          </cell>
          <cell r="AA95">
            <v>0</v>
          </cell>
          <cell r="AB95" t="str">
            <v>MALAGA</v>
          </cell>
          <cell r="AC95" t="str">
            <v>SANTANDER</v>
          </cell>
          <cell r="AD95">
            <v>41530</v>
          </cell>
          <cell r="AE95">
            <v>5</v>
          </cell>
          <cell r="AF95">
            <v>0</v>
          </cell>
          <cell r="AG95">
            <v>378236250</v>
          </cell>
          <cell r="AH95">
            <v>378236250</v>
          </cell>
          <cell r="AI95">
            <v>41669</v>
          </cell>
        </row>
        <row r="96">
          <cell r="A96" t="str">
            <v>PAF-ATF-103-2013</v>
          </cell>
          <cell r="B96" t="str">
            <v>“CONSTRUCCION DEL SISTEMA DE ALCANTARILLADO SANITARIO DEL DISTRITO No. 4 (INCLUYE ESTACION DE BOMBEO Y REDES SECUNDARIAS)”</v>
          </cell>
          <cell r="C96">
            <v>25933073506</v>
          </cell>
          <cell r="D96">
            <v>11585422897</v>
          </cell>
          <cell r="E96">
            <v>14347650609</v>
          </cell>
          <cell r="F96">
            <v>1897839332</v>
          </cell>
          <cell r="G96">
            <v>1897839332</v>
          </cell>
          <cell r="H96">
            <v>0</v>
          </cell>
          <cell r="I96" t="str">
            <v>FONDO NACIONAL DE GESTIÓN DE RIESGOS DE DESASTRES SUBCUENTA  ARCHIPIELAGO DE SAN ANDRES Y PROVIDENCIA $10.000.000.000
AUDICIENCIAS PÚBLICAS PDA $4.347.650.609</v>
          </cell>
          <cell r="J96">
            <v>556618256.75999999</v>
          </cell>
          <cell r="K96">
            <v>556618257</v>
          </cell>
          <cell r="L96">
            <v>0</v>
          </cell>
          <cell r="M96">
            <v>41487</v>
          </cell>
          <cell r="N96" t="str">
            <v>Contrato No. 159 de 2013
CDP 155913
11 Nación</v>
          </cell>
          <cell r="O96" t="str">
            <v>Contrato No. 159 de 2013
CDP 155913
11 Nación</v>
          </cell>
          <cell r="P96">
            <v>0</v>
          </cell>
          <cell r="Q96" t="str">
            <v>GRUPO 15</v>
          </cell>
          <cell r="R96" t="str">
            <v>INGEMAS S.A.</v>
          </cell>
          <cell r="S96" t="str">
            <v>A33613308</v>
          </cell>
          <cell r="T96">
            <v>41600</v>
          </cell>
          <cell r="U96">
            <v>24637944872</v>
          </cell>
          <cell r="V96">
            <v>10290294263</v>
          </cell>
          <cell r="W96">
            <v>14347650609</v>
          </cell>
          <cell r="X96">
            <v>0</v>
          </cell>
          <cell r="Y96">
            <v>0</v>
          </cell>
          <cell r="Z96">
            <v>0</v>
          </cell>
          <cell r="AA96">
            <v>0</v>
          </cell>
          <cell r="AB96" t="str">
            <v>SAN ANDRES</v>
          </cell>
          <cell r="AC96" t="str">
            <v>SAN ANDRES</v>
          </cell>
          <cell r="AD96">
            <v>0</v>
          </cell>
          <cell r="AE96">
            <v>0</v>
          </cell>
          <cell r="AF96">
            <v>0</v>
          </cell>
          <cell r="AG96">
            <v>0</v>
          </cell>
          <cell r="AH96">
            <v>0</v>
          </cell>
          <cell r="AI96">
            <v>0</v>
          </cell>
        </row>
        <row r="97">
          <cell r="A97" t="str">
            <v>PAF-ATF-PJ-006
SIN NUMERO</v>
          </cell>
          <cell r="B97" t="str">
            <v>AJUSTE Y COMPLEMENTACIÒN DE LOS DISEÑOS PARA LA CONSTRUCCIÒN DE LA LINEA DE ABASTECIMIENTO ENTRE LA ESTRUCTURA DE CAPTACIÒN Y LA PLANTA DE TRATAMIENTO EN EL MUNICIPIO DE SOCORRO - SANTANDER</v>
          </cell>
          <cell r="C97">
            <v>649602691</v>
          </cell>
          <cell r="D97">
            <v>0</v>
          </cell>
          <cell r="E97">
            <v>0</v>
          </cell>
          <cell r="F97">
            <v>71500000</v>
          </cell>
          <cell r="G97">
            <v>71500000</v>
          </cell>
          <cell r="H97">
            <v>0</v>
          </cell>
          <cell r="I97">
            <v>0</v>
          </cell>
          <cell r="J97">
            <v>0</v>
          </cell>
          <cell r="K97">
            <v>0</v>
          </cell>
          <cell r="L97">
            <v>0</v>
          </cell>
          <cell r="M97">
            <v>0</v>
          </cell>
          <cell r="N97" t="str">
            <v>Contrato No. 036 de 2012
CDP 274712
16 Fondos Especiales
Partida Seguimiento MVCT</v>
          </cell>
          <cell r="O97" t="str">
            <v>Contrato No. 036 de 2012
CDP 274712
16 Fondos Especiales
Partida Seguimiento MVCT</v>
          </cell>
          <cell r="P97">
            <v>0</v>
          </cell>
          <cell r="Q97">
            <v>0</v>
          </cell>
          <cell r="R97" t="str">
            <v>MANOV INGENIERIA LTDA
HIDROSAN LTDA</v>
          </cell>
          <cell r="S97">
            <v>0</v>
          </cell>
          <cell r="T97">
            <v>41663</v>
          </cell>
          <cell r="U97">
            <v>649602691</v>
          </cell>
          <cell r="V97">
            <v>649602691</v>
          </cell>
          <cell r="W97">
            <v>0</v>
          </cell>
          <cell r="X97">
            <v>71500000</v>
          </cell>
          <cell r="Y97">
            <v>71500000</v>
          </cell>
          <cell r="Z97">
            <v>0</v>
          </cell>
          <cell r="AA97">
            <v>0</v>
          </cell>
          <cell r="AB97" t="str">
            <v>SOCORRO</v>
          </cell>
          <cell r="AC97" t="str">
            <v>SANTANDER</v>
          </cell>
          <cell r="AD97" t="str">
            <v>1/22/2014
2/12/2013</v>
          </cell>
          <cell r="AE97" t="str">
            <v>4 Interventoria
105 dìas Obra</v>
          </cell>
          <cell r="AF97">
            <v>0</v>
          </cell>
          <cell r="AG97">
            <v>14300000</v>
          </cell>
          <cell r="AH97">
            <v>0</v>
          </cell>
          <cell r="AI97">
            <v>0</v>
          </cell>
        </row>
        <row r="98">
          <cell r="A98" t="str">
            <v>SIN CONTRATAR</v>
          </cell>
          <cell r="B98" t="str">
            <v>CONSTRUCCIÓN DE OBRAS DE OPTIMIZACIÓN DEL SISTEMA DE ALCANTARILLADO URBANO DEL MUNICIPIO DE AMAGA- ANTIOQUIA</v>
          </cell>
          <cell r="C98">
            <v>6885621098</v>
          </cell>
          <cell r="D98">
            <v>6885621098</v>
          </cell>
          <cell r="E98">
            <v>0</v>
          </cell>
          <cell r="F98">
            <v>382647373</v>
          </cell>
          <cell r="G98">
            <v>382647373</v>
          </cell>
          <cell r="H98">
            <v>0</v>
          </cell>
          <cell r="I98">
            <v>0</v>
          </cell>
          <cell r="J98">
            <v>145365369.42000002</v>
          </cell>
          <cell r="K98">
            <v>148332010</v>
          </cell>
          <cell r="L98">
            <v>0</v>
          </cell>
          <cell r="M98">
            <v>0</v>
          </cell>
          <cell r="N98" t="str">
            <v>Contrato No. 036 de 2012
CDP 274712
16 Fondos Especiales 
CDP 369913 
11 Naciòn
16 Naciòn</v>
          </cell>
          <cell r="O98" t="str">
            <v>Contrato 036 de 2012
CDP 274712
16 Fondos Especiales
Contrato 036
CDP 290212
11 Recursos del Tesoro
Contrato 036
CDP 1413
Vigencia Futura 2013</v>
          </cell>
          <cell r="P98">
            <v>0</v>
          </cell>
          <cell r="Q98">
            <v>0</v>
          </cell>
          <cell r="R98">
            <v>0</v>
          </cell>
          <cell r="S98">
            <v>0</v>
          </cell>
          <cell r="T98">
            <v>0</v>
          </cell>
          <cell r="U98">
            <v>0</v>
          </cell>
          <cell r="V98">
            <v>0</v>
          </cell>
          <cell r="W98">
            <v>0</v>
          </cell>
          <cell r="X98">
            <v>0</v>
          </cell>
          <cell r="Y98">
            <v>0</v>
          </cell>
          <cell r="Z98">
            <v>0</v>
          </cell>
          <cell r="AA98">
            <v>0</v>
          </cell>
          <cell r="AB98" t="str">
            <v>AMAGA</v>
          </cell>
          <cell r="AC98" t="str">
            <v>ANTIOQUIA</v>
          </cell>
          <cell r="AD98">
            <v>0</v>
          </cell>
          <cell r="AE98">
            <v>0</v>
          </cell>
          <cell r="AF98">
            <v>0</v>
          </cell>
          <cell r="AG98">
            <v>0</v>
          </cell>
          <cell r="AH98">
            <v>0</v>
          </cell>
          <cell r="AI98">
            <v>0</v>
          </cell>
        </row>
        <row r="99">
          <cell r="A99" t="str">
            <v>SIN CONTRATAR</v>
          </cell>
          <cell r="B99" t="str">
            <v>CONSTRUCCIÓN DE LA PLANTA DE TRATAMIENTO DE AGUAS RESIDUALES ZONA URBANA DEL MUNICIPIO DE SANTANDER DE QUILICHAO- CAUCA</v>
          </cell>
          <cell r="C99">
            <v>8052668470</v>
          </cell>
          <cell r="D99">
            <v>8052668470</v>
          </cell>
          <cell r="E99">
            <v>0</v>
          </cell>
          <cell r="F99">
            <v>570696290</v>
          </cell>
          <cell r="G99">
            <v>570696290</v>
          </cell>
          <cell r="H99">
            <v>0</v>
          </cell>
          <cell r="I99">
            <v>0</v>
          </cell>
          <cell r="J99">
            <v>172467295.20000002</v>
          </cell>
          <cell r="K99">
            <v>175987036</v>
          </cell>
          <cell r="L99">
            <v>0</v>
          </cell>
          <cell r="M99">
            <v>0</v>
          </cell>
          <cell r="N99" t="str">
            <v>Contrato No. 159 de 2013
CDP 141213
11 Nación</v>
          </cell>
          <cell r="O99" t="str">
            <v>Contrato No. 159 de 2013
CDP 141213
11 Nación</v>
          </cell>
          <cell r="P99">
            <v>0</v>
          </cell>
          <cell r="Q99">
            <v>0</v>
          </cell>
          <cell r="R99">
            <v>0</v>
          </cell>
          <cell r="S99">
            <v>0</v>
          </cell>
          <cell r="T99">
            <v>0</v>
          </cell>
          <cell r="U99">
            <v>0</v>
          </cell>
          <cell r="V99">
            <v>0</v>
          </cell>
          <cell r="W99">
            <v>0</v>
          </cell>
          <cell r="X99">
            <v>0</v>
          </cell>
          <cell r="Y99">
            <v>0</v>
          </cell>
          <cell r="Z99">
            <v>0</v>
          </cell>
          <cell r="AA99">
            <v>0</v>
          </cell>
          <cell r="AB99" t="str">
            <v>SANTANDER DE QUILICHAO</v>
          </cell>
          <cell r="AC99" t="str">
            <v>CAUCA</v>
          </cell>
          <cell r="AD99">
            <v>0</v>
          </cell>
          <cell r="AE99">
            <v>0</v>
          </cell>
          <cell r="AF99">
            <v>0</v>
          </cell>
          <cell r="AG99">
            <v>0</v>
          </cell>
          <cell r="AH99">
            <v>0</v>
          </cell>
          <cell r="AI99">
            <v>0</v>
          </cell>
        </row>
        <row r="100">
          <cell r="A100" t="str">
            <v>SIN CONTRATAR</v>
          </cell>
          <cell r="B100" t="str">
            <v>CONSTRUCCIÓN Y OPTIMIZACIÓN DEL SITEMA DE ACUEDUCTO URBANO DEL MUNICIPIO DE ZIPAQUIRA - CUNDINAMARCA</v>
          </cell>
          <cell r="C100">
            <v>12527050074</v>
          </cell>
          <cell r="D100">
            <v>12527050074</v>
          </cell>
          <cell r="E100">
            <v>0</v>
          </cell>
          <cell r="F100">
            <v>751623004</v>
          </cell>
          <cell r="G100">
            <v>751623004</v>
          </cell>
          <cell r="H100">
            <v>0</v>
          </cell>
          <cell r="I100">
            <v>0</v>
          </cell>
          <cell r="J100">
            <v>265573461.56</v>
          </cell>
          <cell r="K100">
            <v>270993328</v>
          </cell>
          <cell r="L100">
            <v>0</v>
          </cell>
          <cell r="M100">
            <v>0</v>
          </cell>
          <cell r="N100" t="str">
            <v>Contrato No. 159 de 2013
CDP 155913
11 Nación</v>
          </cell>
          <cell r="O100" t="str">
            <v>Contrato No. 159 de 2013
CDP 155913
11 Nación</v>
          </cell>
          <cell r="P100">
            <v>0</v>
          </cell>
          <cell r="Q100">
            <v>0</v>
          </cell>
          <cell r="R100">
            <v>0</v>
          </cell>
          <cell r="S100">
            <v>0</v>
          </cell>
          <cell r="T100">
            <v>0</v>
          </cell>
          <cell r="U100">
            <v>0</v>
          </cell>
          <cell r="V100">
            <v>0</v>
          </cell>
          <cell r="W100">
            <v>0</v>
          </cell>
          <cell r="X100">
            <v>0</v>
          </cell>
          <cell r="Y100">
            <v>0</v>
          </cell>
          <cell r="Z100">
            <v>0</v>
          </cell>
          <cell r="AA100">
            <v>0</v>
          </cell>
          <cell r="AB100" t="str">
            <v>ZIPAQUIRA</v>
          </cell>
          <cell r="AC100" t="str">
            <v>CUNDINAMARCA</v>
          </cell>
          <cell r="AD100">
            <v>0</v>
          </cell>
          <cell r="AE100">
            <v>0</v>
          </cell>
          <cell r="AF100">
            <v>0</v>
          </cell>
          <cell r="AG100">
            <v>0</v>
          </cell>
          <cell r="AH100">
            <v>0</v>
          </cell>
          <cell r="AI100">
            <v>0</v>
          </cell>
        </row>
        <row r="101">
          <cell r="A101" t="str">
            <v>SIN CONTRATAR</v>
          </cell>
          <cell r="B101" t="str">
            <v>SISTEMA DE ALCANTARILLADO BARRIO LOS ANGELES III, DISTRITO BARRANQUILLA</v>
          </cell>
          <cell r="C101">
            <v>1770623619</v>
          </cell>
          <cell r="D101">
            <v>1770623619</v>
          </cell>
          <cell r="E101">
            <v>0</v>
          </cell>
          <cell r="F101">
            <v>122597689</v>
          </cell>
          <cell r="G101">
            <v>122597689</v>
          </cell>
          <cell r="H101">
            <v>0</v>
          </cell>
          <cell r="I101">
            <v>0</v>
          </cell>
          <cell r="J101">
            <v>37864426.160000004</v>
          </cell>
          <cell r="K101">
            <v>38637170</v>
          </cell>
          <cell r="L101">
            <v>0</v>
          </cell>
          <cell r="M101">
            <v>0</v>
          </cell>
          <cell r="N101" t="str">
            <v>Contrato No. 159 de 2013
CDP 22813
11 Recursos del Tesoro</v>
          </cell>
          <cell r="O101" t="str">
            <v>Contrato No. 159 de 2013
CDP 22813
11 Recursos del Tesoro</v>
          </cell>
          <cell r="P101">
            <v>0</v>
          </cell>
          <cell r="Q101">
            <v>0</v>
          </cell>
          <cell r="R101">
            <v>0</v>
          </cell>
          <cell r="S101">
            <v>0</v>
          </cell>
          <cell r="T101">
            <v>0</v>
          </cell>
          <cell r="U101">
            <v>0</v>
          </cell>
          <cell r="V101">
            <v>0</v>
          </cell>
          <cell r="W101">
            <v>0</v>
          </cell>
          <cell r="X101">
            <v>0</v>
          </cell>
          <cell r="Y101">
            <v>0</v>
          </cell>
          <cell r="Z101">
            <v>0</v>
          </cell>
          <cell r="AA101">
            <v>0</v>
          </cell>
          <cell r="AB101" t="str">
            <v>BARRANQUILLA</v>
          </cell>
          <cell r="AC101" t="str">
            <v>ATLANTICO</v>
          </cell>
          <cell r="AD101">
            <v>0</v>
          </cell>
          <cell r="AE101">
            <v>0</v>
          </cell>
          <cell r="AF101">
            <v>0</v>
          </cell>
          <cell r="AG101">
            <v>0</v>
          </cell>
          <cell r="AH101">
            <v>0</v>
          </cell>
          <cell r="AI101">
            <v>0</v>
          </cell>
        </row>
        <row r="102">
          <cell r="A102" t="str">
            <v>SIN CONTRATAR</v>
          </cell>
          <cell r="B102" t="str">
            <v>CONSTRUCCIÓN PLANTA DE TRATAMIENTO DE AGUAS RESIDUALES  PRIMERA ETAPA DEL MUNICIPIO DE POPAYAN</v>
          </cell>
          <cell r="C102">
            <v>7795022691</v>
          </cell>
          <cell r="D102">
            <v>5179765339</v>
          </cell>
          <cell r="E102">
            <v>2615257352</v>
          </cell>
          <cell r="F102">
            <v>545651588</v>
          </cell>
          <cell r="G102">
            <v>545651588</v>
          </cell>
          <cell r="H102">
            <v>0</v>
          </cell>
          <cell r="I102" t="str">
            <v>PDA CAUCA- SGP MUNICIPIO</v>
          </cell>
          <cell r="J102">
            <v>114508338.54000001</v>
          </cell>
          <cell r="K102">
            <v>116845243</v>
          </cell>
          <cell r="L102">
            <v>0</v>
          </cell>
          <cell r="M102">
            <v>0</v>
          </cell>
          <cell r="N102" t="str">
            <v>Contrato No. 159 de 2013
CDP 141213
11 Nación</v>
          </cell>
          <cell r="O102" t="str">
            <v>Contrato No. 159 de 2013
CDP 141213
11 Nación</v>
          </cell>
          <cell r="P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row>
        <row r="103">
          <cell r="A103" t="str">
            <v>ASEGURAMIENTO PROYECTOS EMBLEMATICOS</v>
          </cell>
          <cell r="B103" t="str">
            <v>“OPTIMIZACIÓN DEL SISTEMA DE ALCANTARILLADO CASCO URBANO FASE I MUNICIPIO DE FALAN (TOLIMA)”</v>
          </cell>
          <cell r="C103">
            <v>36282555</v>
          </cell>
          <cell r="D103">
            <v>36282555</v>
          </cell>
          <cell r="E103">
            <v>0</v>
          </cell>
          <cell r="F103">
            <v>2902604</v>
          </cell>
          <cell r="G103">
            <v>2902604</v>
          </cell>
          <cell r="H103">
            <v>0</v>
          </cell>
          <cell r="I103">
            <v>0</v>
          </cell>
          <cell r="J103">
            <v>783703.18</v>
          </cell>
          <cell r="K103">
            <v>799697</v>
          </cell>
          <cell r="L103">
            <v>0</v>
          </cell>
          <cell r="M103">
            <v>0</v>
          </cell>
          <cell r="N103" t="str">
            <v>Contrato No. 159 de 2013
CDP 141113
11 Nación</v>
          </cell>
          <cell r="O103" t="str">
            <v>Contrato 159
CDP 141113
11 Naciòn</v>
          </cell>
          <cell r="P103" t="str">
            <v>Contrato 159
CDP 141113
11 Naciòn</v>
          </cell>
          <cell r="Q103" t="str">
            <v>GRUPO1</v>
          </cell>
          <cell r="R103">
            <v>0</v>
          </cell>
          <cell r="S103">
            <v>0</v>
          </cell>
          <cell r="T103">
            <v>0</v>
          </cell>
          <cell r="U103">
            <v>0</v>
          </cell>
          <cell r="V103">
            <v>0</v>
          </cell>
          <cell r="W103">
            <v>0</v>
          </cell>
          <cell r="X103">
            <v>0</v>
          </cell>
          <cell r="Y103">
            <v>0</v>
          </cell>
          <cell r="Z103">
            <v>0</v>
          </cell>
          <cell r="AA103">
            <v>0</v>
          </cell>
          <cell r="AB103" t="str">
            <v>FALAN</v>
          </cell>
          <cell r="AC103" t="str">
            <v>TOLIMA</v>
          </cell>
          <cell r="AD103">
            <v>0</v>
          </cell>
          <cell r="AE103">
            <v>0</v>
          </cell>
          <cell r="AF103">
            <v>0</v>
          </cell>
          <cell r="AG103">
            <v>0</v>
          </cell>
          <cell r="AH103">
            <v>0</v>
          </cell>
          <cell r="AI103">
            <v>0</v>
          </cell>
        </row>
        <row r="104">
          <cell r="A104" t="str">
            <v>ASEGURAMIENTO PROYECTOS EMBLEMATICOS</v>
          </cell>
          <cell r="B104" t="str">
            <v>CONSTRUCCIÓN Y OPTIMIZACIÓN DEL SISTEMA DE ALCANTARILLADO SANITARIO” FIRAVITOBA - BOYACA</v>
          </cell>
          <cell r="C104">
            <v>46489756</v>
          </cell>
          <cell r="D104">
            <v>46489756</v>
          </cell>
          <cell r="E104">
            <v>0</v>
          </cell>
          <cell r="F104">
            <v>3719180</v>
          </cell>
          <cell r="G104">
            <v>3719180</v>
          </cell>
          <cell r="H104">
            <v>0</v>
          </cell>
          <cell r="I104">
            <v>0</v>
          </cell>
          <cell r="J104">
            <v>1004178.72</v>
          </cell>
          <cell r="K104">
            <v>1024672</v>
          </cell>
          <cell r="L104">
            <v>0</v>
          </cell>
          <cell r="M104">
            <v>0</v>
          </cell>
          <cell r="N104" t="str">
            <v>Contrato No. 036 de 2012
CDP 274712
16 Fondos Especiales</v>
          </cell>
          <cell r="O104" t="str">
            <v>Contrato No. 036 de 2012
CDP 274712
16 Fondos Especiales</v>
          </cell>
          <cell r="P104" t="str">
            <v>Contrato No. 036 de 2012
CDP 274712
16 Fondos Especiales</v>
          </cell>
          <cell r="Q104" t="str">
            <v>GRUPO1</v>
          </cell>
          <cell r="R104">
            <v>0</v>
          </cell>
          <cell r="S104">
            <v>0</v>
          </cell>
          <cell r="T104">
            <v>0</v>
          </cell>
          <cell r="U104">
            <v>0</v>
          </cell>
          <cell r="V104">
            <v>0</v>
          </cell>
          <cell r="W104">
            <v>0</v>
          </cell>
          <cell r="X104">
            <v>0</v>
          </cell>
          <cell r="Y104">
            <v>0</v>
          </cell>
          <cell r="Z104">
            <v>0</v>
          </cell>
          <cell r="AA104">
            <v>0</v>
          </cell>
          <cell r="AB104" t="str">
            <v>FIRAVITOBA</v>
          </cell>
          <cell r="AC104" t="str">
            <v>BOYACA</v>
          </cell>
          <cell r="AD104">
            <v>0</v>
          </cell>
          <cell r="AE104">
            <v>0</v>
          </cell>
          <cell r="AF104">
            <v>0</v>
          </cell>
          <cell r="AG104">
            <v>0</v>
          </cell>
          <cell r="AH104">
            <v>0</v>
          </cell>
          <cell r="AI104">
            <v>0</v>
          </cell>
        </row>
        <row r="105">
          <cell r="A105" t="str">
            <v>ASEGURAMIENTO PROYECTOS EMBLEMATICOS</v>
          </cell>
          <cell r="B105" t="str">
            <v>“CONSTRUCCIÓN PRIMERA ETAPA DESCOLE ALCANTARILLADO COMBINADO CORREGIMIENTO DE JOSÉ MARÍA HERNÁNDEZ, MUNICIPIO DE PUPIALES- NARIÑO”</v>
          </cell>
          <cell r="C105">
            <v>127469796</v>
          </cell>
          <cell r="D105">
            <v>127469796</v>
          </cell>
          <cell r="E105">
            <v>0</v>
          </cell>
          <cell r="F105">
            <v>10197584</v>
          </cell>
          <cell r="G105">
            <v>10197584</v>
          </cell>
          <cell r="H105">
            <v>0</v>
          </cell>
          <cell r="I105">
            <v>0</v>
          </cell>
          <cell r="J105">
            <v>2753347.6</v>
          </cell>
          <cell r="K105">
            <v>2809538</v>
          </cell>
          <cell r="L105">
            <v>0</v>
          </cell>
          <cell r="M105">
            <v>0</v>
          </cell>
          <cell r="N105" t="str">
            <v>Contrato No. 036 de 2012 
CDP 274712
16 Fondos Especiales</v>
          </cell>
          <cell r="O105" t="str">
            <v>Contrato No. 036 de 2012 
CDP 274712
16 Fondos Especiales</v>
          </cell>
          <cell r="P105" t="str">
            <v>Contrato No. 036 de 2012
CDP 274712
16 Fondos Especiales</v>
          </cell>
          <cell r="Q105" t="str">
            <v>GRUPO1</v>
          </cell>
          <cell r="R105">
            <v>0</v>
          </cell>
          <cell r="S105">
            <v>0</v>
          </cell>
          <cell r="T105">
            <v>0</v>
          </cell>
          <cell r="U105">
            <v>0</v>
          </cell>
          <cell r="V105">
            <v>0</v>
          </cell>
          <cell r="W105">
            <v>0</v>
          </cell>
          <cell r="X105">
            <v>0</v>
          </cell>
          <cell r="Y105">
            <v>0</v>
          </cell>
          <cell r="Z105">
            <v>0</v>
          </cell>
          <cell r="AA105">
            <v>0</v>
          </cell>
          <cell r="AB105" t="str">
            <v>PUPIALES</v>
          </cell>
          <cell r="AC105" t="str">
            <v>NARIÑO</v>
          </cell>
          <cell r="AD105">
            <v>0</v>
          </cell>
          <cell r="AE105">
            <v>0</v>
          </cell>
          <cell r="AF105">
            <v>0</v>
          </cell>
          <cell r="AG105">
            <v>0</v>
          </cell>
          <cell r="AH105">
            <v>0</v>
          </cell>
          <cell r="AI105">
            <v>0</v>
          </cell>
        </row>
        <row r="106">
          <cell r="A106" t="str">
            <v>ASEGURAMIENTO PROYECTOS EMBLEMATICOS</v>
          </cell>
          <cell r="B106" t="str">
            <v>“CONSTRUCCIÓN DE ALCANTARILLADO SANITARIO, SISTEMA DE TRATAMIENTO DE AGUAS RESIDUALES VEREDA MOHECHIZA MUNICIPIO DE YACUANQUER- NARIÑO”</v>
          </cell>
          <cell r="C106">
            <v>59888073</v>
          </cell>
          <cell r="D106">
            <v>59888073</v>
          </cell>
          <cell r="E106">
            <v>0</v>
          </cell>
          <cell r="F106">
            <v>4791046</v>
          </cell>
          <cell r="G106">
            <v>4791046</v>
          </cell>
          <cell r="H106">
            <v>0</v>
          </cell>
          <cell r="I106">
            <v>0</v>
          </cell>
          <cell r="J106">
            <v>1293582.3800000001</v>
          </cell>
          <cell r="K106">
            <v>1319982</v>
          </cell>
          <cell r="L106">
            <v>0</v>
          </cell>
          <cell r="M106">
            <v>0</v>
          </cell>
          <cell r="N106" t="str">
            <v>Contrato No. 036 de 2012 
CDP 274712
16 Fondos Especiales</v>
          </cell>
          <cell r="O106" t="str">
            <v>Contrato No. 036 de 2012 
CDP 274712
16 Fondos Especiales</v>
          </cell>
          <cell r="P106" t="str">
            <v>Contrato No. 036 de 2012
CDP 274712
16 Fondos Especiales</v>
          </cell>
          <cell r="Q106" t="str">
            <v>GRUPO1</v>
          </cell>
          <cell r="R106">
            <v>0</v>
          </cell>
          <cell r="S106">
            <v>0</v>
          </cell>
          <cell r="T106">
            <v>0</v>
          </cell>
          <cell r="U106">
            <v>0</v>
          </cell>
          <cell r="V106">
            <v>0</v>
          </cell>
          <cell r="W106">
            <v>0</v>
          </cell>
          <cell r="X106">
            <v>0</v>
          </cell>
          <cell r="Y106">
            <v>0</v>
          </cell>
          <cell r="Z106">
            <v>0</v>
          </cell>
          <cell r="AA106">
            <v>0</v>
          </cell>
          <cell r="AB106" t="str">
            <v>YACUANQUER</v>
          </cell>
          <cell r="AC106" t="str">
            <v>NARIÑO</v>
          </cell>
          <cell r="AD106">
            <v>0</v>
          </cell>
          <cell r="AE106">
            <v>0</v>
          </cell>
          <cell r="AF106">
            <v>0</v>
          </cell>
          <cell r="AG106">
            <v>0</v>
          </cell>
          <cell r="AH106">
            <v>0</v>
          </cell>
          <cell r="AI106">
            <v>0</v>
          </cell>
        </row>
        <row r="107">
          <cell r="A107" t="str">
            <v>ASEGURAMIENTO PROYECTOS EMBLEMATICOS</v>
          </cell>
          <cell r="B107" t="str">
            <v>“OPTIMIZACIÓN Y AMPLIACIÓN DEL SISTEMA DE ACUEDUCTO DE LA CABECERA MUNICIPAL DE LOS PALMITOS- SUCRE”</v>
          </cell>
          <cell r="C107">
            <v>196297366</v>
          </cell>
          <cell r="D107">
            <v>196297366</v>
          </cell>
          <cell r="E107">
            <v>0</v>
          </cell>
          <cell r="F107">
            <v>15703789</v>
          </cell>
          <cell r="G107">
            <v>15703789</v>
          </cell>
          <cell r="H107">
            <v>0</v>
          </cell>
          <cell r="I107">
            <v>0</v>
          </cell>
          <cell r="J107">
            <v>4240023.0999999996</v>
          </cell>
          <cell r="K107">
            <v>4326554</v>
          </cell>
          <cell r="L107">
            <v>0</v>
          </cell>
          <cell r="M107">
            <v>0</v>
          </cell>
          <cell r="N107" t="str">
            <v>Contrato No. 036 de 2012
CDP 274712
16 Fondos Especiales</v>
          </cell>
          <cell r="O107" t="str">
            <v>Contrato No. 036 de 2012
CDP 274712
16 Fondos Especiales</v>
          </cell>
          <cell r="P107" t="str">
            <v>Contrato No. 036 de 2012
CDP 274712
16 Fondos Especiales</v>
          </cell>
          <cell r="Q107" t="str">
            <v>GRUPO1</v>
          </cell>
          <cell r="R107">
            <v>0</v>
          </cell>
          <cell r="S107">
            <v>0</v>
          </cell>
          <cell r="T107">
            <v>0</v>
          </cell>
          <cell r="U107">
            <v>0</v>
          </cell>
          <cell r="V107">
            <v>0</v>
          </cell>
          <cell r="W107">
            <v>0</v>
          </cell>
          <cell r="X107">
            <v>0</v>
          </cell>
          <cell r="Y107">
            <v>0</v>
          </cell>
          <cell r="Z107">
            <v>0</v>
          </cell>
          <cell r="AA107">
            <v>0</v>
          </cell>
          <cell r="AB107" t="str">
            <v>PALMITOS</v>
          </cell>
          <cell r="AC107" t="str">
            <v>SUCRE</v>
          </cell>
          <cell r="AD107">
            <v>0</v>
          </cell>
          <cell r="AE107">
            <v>0</v>
          </cell>
          <cell r="AF107">
            <v>0</v>
          </cell>
          <cell r="AG107">
            <v>0</v>
          </cell>
          <cell r="AH107">
            <v>0</v>
          </cell>
          <cell r="AI107">
            <v>0</v>
          </cell>
        </row>
        <row r="108">
          <cell r="A108" t="str">
            <v>ASEGURAMIENTO PROYECTOS EMBLEMATICOS</v>
          </cell>
          <cell r="B108" t="str">
            <v>OPTIMIZACIÓN Y AMPLIACIÓN DEL SISTEMA DE ACUEDUCTO DE LA CABECERA MUNICIPAL DEL MUNICIPIO DE OVEJAS, DEPARTAMENTO DE SUCRE”</v>
          </cell>
          <cell r="C108">
            <v>259048701</v>
          </cell>
          <cell r="D108">
            <v>259048701</v>
          </cell>
          <cell r="E108">
            <v>0</v>
          </cell>
          <cell r="F108">
            <v>20723896</v>
          </cell>
          <cell r="G108">
            <v>20723896</v>
          </cell>
          <cell r="H108">
            <v>0</v>
          </cell>
          <cell r="I108">
            <v>0</v>
          </cell>
          <cell r="J108">
            <v>5595451.9400000004</v>
          </cell>
          <cell r="K108">
            <v>5709645</v>
          </cell>
          <cell r="L108">
            <v>0</v>
          </cell>
          <cell r="M108">
            <v>0</v>
          </cell>
          <cell r="N108" t="str">
            <v>Contrato No. 036 de 2012
CDP 274712
16 Fondos Especiales</v>
          </cell>
          <cell r="O108" t="str">
            <v>Contrato No. 036 de 2012
CDP 274712
16 Fondos Especiales</v>
          </cell>
          <cell r="P108" t="str">
            <v>Contrato No. 036 de 2012
CDP 274712
16 Fondos Especiales</v>
          </cell>
          <cell r="Q108">
            <v>0</v>
          </cell>
          <cell r="R108">
            <v>0</v>
          </cell>
          <cell r="S108">
            <v>0</v>
          </cell>
          <cell r="T108">
            <v>0</v>
          </cell>
          <cell r="U108">
            <v>0</v>
          </cell>
          <cell r="V108">
            <v>0</v>
          </cell>
          <cell r="W108">
            <v>0</v>
          </cell>
          <cell r="X108">
            <v>0</v>
          </cell>
          <cell r="Y108">
            <v>0</v>
          </cell>
          <cell r="Z108">
            <v>0</v>
          </cell>
          <cell r="AA108">
            <v>0</v>
          </cell>
          <cell r="AB108" t="str">
            <v>OVEJAS</v>
          </cell>
          <cell r="AC108" t="str">
            <v>SUCRE</v>
          </cell>
          <cell r="AD108">
            <v>0</v>
          </cell>
          <cell r="AE108">
            <v>0</v>
          </cell>
          <cell r="AF108">
            <v>0</v>
          </cell>
          <cell r="AG108">
            <v>0</v>
          </cell>
          <cell r="AH108">
            <v>0</v>
          </cell>
          <cell r="AI108">
            <v>0</v>
          </cell>
        </row>
        <row r="109">
          <cell r="A109" t="str">
            <v>ASEGURAMIENTO PROYECTOS EMBLEMATICOS</v>
          </cell>
          <cell r="B109" t="str">
            <v>CONSTRUCCIÓN DEL SISTEMA DE ACUEDUCTO PARA EL MUNICIPIO DE PROVIDENCIA Y SANTA CATALINA FASE I</v>
          </cell>
          <cell r="C109">
            <v>48653595</v>
          </cell>
          <cell r="D109">
            <v>48653595</v>
          </cell>
          <cell r="E109">
            <v>0</v>
          </cell>
          <cell r="F109">
            <v>3892288</v>
          </cell>
          <cell r="G109">
            <v>3892288</v>
          </cell>
          <cell r="H109">
            <v>0</v>
          </cell>
          <cell r="I109">
            <v>0</v>
          </cell>
          <cell r="J109">
            <v>1050917.6599999999</v>
          </cell>
          <cell r="K109">
            <v>1072365</v>
          </cell>
          <cell r="L109">
            <v>0</v>
          </cell>
          <cell r="M109">
            <v>0</v>
          </cell>
          <cell r="N109" t="str">
            <v>Contrato No. 036 de 2012
CDP 274712
16 Fondos Especiales</v>
          </cell>
          <cell r="O109" t="str">
            <v>Contrato No. 036 de 2012
CDP 274712
16 Fondos Especiales</v>
          </cell>
          <cell r="P109" t="str">
            <v>Contrato No. 036 de 2012
CDP 274712
16 Fondos Especiales</v>
          </cell>
          <cell r="Q109" t="str">
            <v>GRUPO1</v>
          </cell>
          <cell r="R109">
            <v>0</v>
          </cell>
          <cell r="S109">
            <v>0</v>
          </cell>
          <cell r="T109">
            <v>0</v>
          </cell>
          <cell r="U109">
            <v>0</v>
          </cell>
          <cell r="V109">
            <v>0</v>
          </cell>
          <cell r="W109">
            <v>0</v>
          </cell>
          <cell r="X109">
            <v>0</v>
          </cell>
          <cell r="Y109">
            <v>0</v>
          </cell>
          <cell r="Z109">
            <v>0</v>
          </cell>
          <cell r="AA109">
            <v>0</v>
          </cell>
          <cell r="AB109" t="str">
            <v>PROVIDENCIA Y SANTA CATALINA</v>
          </cell>
          <cell r="AC109" t="str">
            <v>SAN ANDRES</v>
          </cell>
          <cell r="AD109">
            <v>0</v>
          </cell>
          <cell r="AE109">
            <v>0</v>
          </cell>
          <cell r="AF109">
            <v>0</v>
          </cell>
          <cell r="AG109">
            <v>0</v>
          </cell>
          <cell r="AH109">
            <v>0</v>
          </cell>
          <cell r="AI109">
            <v>0</v>
          </cell>
        </row>
        <row r="110">
          <cell r="A110" t="str">
            <v>ASEGURAMIENTO PROYECTOS EMBLEMATICOS</v>
          </cell>
          <cell r="B110" t="str">
            <v>CONSTRUCCIÓN ALCANTARILLADO SANITARIO EN EL MUNICIPIO DE LOS SANTOS SANTANDER</v>
          </cell>
          <cell r="C110">
            <v>40173094</v>
          </cell>
          <cell r="D110">
            <v>40173094</v>
          </cell>
          <cell r="E110">
            <v>0</v>
          </cell>
          <cell r="F110">
            <v>3213848</v>
          </cell>
          <cell r="G110">
            <v>3213848</v>
          </cell>
          <cell r="H110">
            <v>0</v>
          </cell>
          <cell r="I110">
            <v>0</v>
          </cell>
          <cell r="J110">
            <v>867738.84</v>
          </cell>
          <cell r="K110">
            <v>885448</v>
          </cell>
          <cell r="L110">
            <v>0</v>
          </cell>
          <cell r="M110">
            <v>0</v>
          </cell>
          <cell r="N110" t="str">
            <v>Contrato No. 036 de 2012
CDP 274712
16 Fondos Especiales</v>
          </cell>
          <cell r="O110" t="str">
            <v>Contrato No. 036 de 2012
CDP 274712
16 Fondos Especiales</v>
          </cell>
          <cell r="P110" t="str">
            <v>Contrato No. 036 de 2012
CDP 274712
16 Fondos Especiales</v>
          </cell>
          <cell r="Q110" t="str">
            <v>GRUPO1</v>
          </cell>
          <cell r="R110">
            <v>0</v>
          </cell>
          <cell r="S110">
            <v>0</v>
          </cell>
          <cell r="T110">
            <v>0</v>
          </cell>
          <cell r="U110">
            <v>0</v>
          </cell>
          <cell r="V110">
            <v>0</v>
          </cell>
          <cell r="W110">
            <v>0</v>
          </cell>
          <cell r="X110">
            <v>0</v>
          </cell>
          <cell r="Y110">
            <v>0</v>
          </cell>
          <cell r="Z110">
            <v>0</v>
          </cell>
          <cell r="AA110">
            <v>0</v>
          </cell>
          <cell r="AB110" t="str">
            <v>LOS SANTOS</v>
          </cell>
          <cell r="AC110" t="str">
            <v>SANTANDER</v>
          </cell>
          <cell r="AD110">
            <v>0</v>
          </cell>
          <cell r="AE110">
            <v>0</v>
          </cell>
          <cell r="AF110">
            <v>0</v>
          </cell>
          <cell r="AG110">
            <v>0</v>
          </cell>
          <cell r="AH110">
            <v>0</v>
          </cell>
          <cell r="AI110">
            <v>0</v>
          </cell>
        </row>
        <row r="111">
          <cell r="A111" t="str">
            <v>ASEGURAMIENTO PROYECTOS EMBLEMATICOS</v>
          </cell>
          <cell r="B111" t="str">
            <v>“CONSTRUCCIÓN OPTIMIZACIÓN SISTEMAS DE ACUEDUCTO Y ALCANTARILLADO DEL MUNICIPIO DE CAROLINA DEL PRINCIPE ETAPA 1”</v>
          </cell>
          <cell r="C111">
            <v>59537133</v>
          </cell>
          <cell r="D111">
            <v>59537133</v>
          </cell>
          <cell r="E111">
            <v>0</v>
          </cell>
          <cell r="F111">
            <v>4762971</v>
          </cell>
          <cell r="G111">
            <v>4762971</v>
          </cell>
          <cell r="H111">
            <v>0</v>
          </cell>
          <cell r="I111">
            <v>0</v>
          </cell>
          <cell r="J111">
            <v>1286002.08</v>
          </cell>
          <cell r="K111">
            <v>0</v>
          </cell>
          <cell r="L111">
            <v>0</v>
          </cell>
          <cell r="M111">
            <v>0</v>
          </cell>
          <cell r="N111" t="str">
            <v>Contrato No. 159 de 2013
CDP 141113
11 Nación</v>
          </cell>
          <cell r="O111" t="str">
            <v>Contrato No. 159 de 2013
CDP 141113
11 Nación</v>
          </cell>
          <cell r="P111" t="str">
            <v>Contrato No. 159 de 2013
CDP 141113
11 Nación</v>
          </cell>
          <cell r="Q111" t="str">
            <v>GRUPO1</v>
          </cell>
          <cell r="R111">
            <v>0</v>
          </cell>
          <cell r="S111">
            <v>0</v>
          </cell>
          <cell r="T111">
            <v>0</v>
          </cell>
          <cell r="U111">
            <v>0</v>
          </cell>
          <cell r="V111">
            <v>0</v>
          </cell>
          <cell r="W111">
            <v>0</v>
          </cell>
          <cell r="X111">
            <v>0</v>
          </cell>
          <cell r="Y111">
            <v>0</v>
          </cell>
          <cell r="Z111">
            <v>0</v>
          </cell>
          <cell r="AA111">
            <v>0</v>
          </cell>
          <cell r="AB111" t="str">
            <v>CAROLINA DEL PRINCIPE</v>
          </cell>
          <cell r="AC111" t="str">
            <v>ANTIOQUIA</v>
          </cell>
          <cell r="AD111">
            <v>0</v>
          </cell>
          <cell r="AE111">
            <v>0</v>
          </cell>
          <cell r="AF111">
            <v>0</v>
          </cell>
          <cell r="AG111">
            <v>0</v>
          </cell>
          <cell r="AH111">
            <v>0</v>
          </cell>
          <cell r="AI111">
            <v>0</v>
          </cell>
        </row>
        <row r="112">
          <cell r="A112" t="str">
            <v>ASEGURAMIENTO PROYECTOS EMBLEMATICOS</v>
          </cell>
          <cell r="B112" t="str">
            <v>“CONSTRUCCIÓN, AMPLIACIÓN Y OPTIMIZACIÓN DEL SISTEMA DE ACUEDUCTO URBANO, MUNICIPIO DE CISNEROS”</v>
          </cell>
          <cell r="C112">
            <v>154086617</v>
          </cell>
          <cell r="D112">
            <v>154086617</v>
          </cell>
          <cell r="E112">
            <v>0</v>
          </cell>
          <cell r="F112">
            <v>12326929</v>
          </cell>
          <cell r="G112">
            <v>12326929</v>
          </cell>
          <cell r="H112">
            <v>0</v>
          </cell>
          <cell r="I112">
            <v>0</v>
          </cell>
          <cell r="J112">
            <v>3328270.92</v>
          </cell>
          <cell r="K112">
            <v>0</v>
          </cell>
          <cell r="L112">
            <v>0</v>
          </cell>
          <cell r="M112">
            <v>0</v>
          </cell>
          <cell r="N112" t="str">
            <v>Contrato No. 159 de 2013
CDP 141113
11 Nación</v>
          </cell>
          <cell r="O112" t="str">
            <v>Contrato No. 159 de 2013
CDP 141113
11 Nación</v>
          </cell>
          <cell r="P112" t="str">
            <v>Contrato No. 159 de 2013
CDP 141113
11 Nación</v>
          </cell>
          <cell r="Q112" t="str">
            <v>GRUPO1</v>
          </cell>
          <cell r="R112">
            <v>0</v>
          </cell>
          <cell r="S112">
            <v>0</v>
          </cell>
          <cell r="T112">
            <v>0</v>
          </cell>
          <cell r="U112">
            <v>0</v>
          </cell>
          <cell r="V112">
            <v>0</v>
          </cell>
          <cell r="W112">
            <v>0</v>
          </cell>
          <cell r="X112">
            <v>0</v>
          </cell>
          <cell r="Y112">
            <v>0</v>
          </cell>
          <cell r="Z112">
            <v>0</v>
          </cell>
          <cell r="AA112">
            <v>0</v>
          </cell>
          <cell r="AB112" t="str">
            <v>CISNEROS</v>
          </cell>
          <cell r="AC112" t="str">
            <v>ANTIOQUIA</v>
          </cell>
          <cell r="AD112">
            <v>0</v>
          </cell>
          <cell r="AE112">
            <v>0</v>
          </cell>
          <cell r="AF112">
            <v>0</v>
          </cell>
          <cell r="AG112">
            <v>0</v>
          </cell>
          <cell r="AH112">
            <v>0</v>
          </cell>
          <cell r="AI112">
            <v>0</v>
          </cell>
        </row>
        <row r="113">
          <cell r="A113" t="str">
            <v>ASEGURAMIENTO PROYECTOS EMBLEMATICOS</v>
          </cell>
          <cell r="B113" t="str">
            <v>“CONSTRUCCIÓN DEL PLAN MAESTRO DE ACUEDUCTO Y ALCANTARILLADO DEL MUNICIPIO DE SAN VICENTE DE FERRER”</v>
          </cell>
          <cell r="C113">
            <v>147854580</v>
          </cell>
          <cell r="D113">
            <v>147854580</v>
          </cell>
          <cell r="E113">
            <v>0</v>
          </cell>
          <cell r="F113">
            <v>11828366</v>
          </cell>
          <cell r="G113">
            <v>11828366</v>
          </cell>
          <cell r="H113">
            <v>0</v>
          </cell>
          <cell r="I113">
            <v>0</v>
          </cell>
          <cell r="J113">
            <v>3193658.92</v>
          </cell>
          <cell r="K113">
            <v>0</v>
          </cell>
          <cell r="L113">
            <v>0</v>
          </cell>
          <cell r="M113">
            <v>0</v>
          </cell>
          <cell r="N113" t="str">
            <v>Contrato No. 036 de 2012
CDP 274712
16 Fondos Especiales
Contrato 036 de 2012
CDP 1413 
Vigencias Futuras 2013</v>
          </cell>
          <cell r="O113" t="str">
            <v>Contrato No. 036 de 2012
CDP 274712
16 Fondos Especiales
Contrato 036 de 2012
CDP 1413 
Vigencias Futuras 2013</v>
          </cell>
          <cell r="P113" t="str">
            <v>Contrato No. 036 de 2012
CDP 274712
16 Fondos Especiales
Contrato 036 de 2012
CDP 1413 
Vigencias Futuras 2013</v>
          </cell>
          <cell r="Q113" t="str">
            <v>GRUPO1</v>
          </cell>
          <cell r="R113">
            <v>0</v>
          </cell>
          <cell r="S113">
            <v>0</v>
          </cell>
          <cell r="T113">
            <v>0</v>
          </cell>
          <cell r="U113">
            <v>0</v>
          </cell>
          <cell r="V113">
            <v>0</v>
          </cell>
          <cell r="W113">
            <v>0</v>
          </cell>
          <cell r="X113">
            <v>0</v>
          </cell>
          <cell r="Y113">
            <v>0</v>
          </cell>
          <cell r="Z113">
            <v>0</v>
          </cell>
          <cell r="AA113">
            <v>0</v>
          </cell>
          <cell r="AB113" t="str">
            <v>SAN VICENTE DE FERRER</v>
          </cell>
          <cell r="AC113" t="str">
            <v>ANTIOQUIA</v>
          </cell>
          <cell r="AD113">
            <v>0</v>
          </cell>
          <cell r="AE113">
            <v>0</v>
          </cell>
          <cell r="AF113">
            <v>0</v>
          </cell>
          <cell r="AG113">
            <v>0</v>
          </cell>
          <cell r="AH113">
            <v>0</v>
          </cell>
          <cell r="AI113">
            <v>0</v>
          </cell>
        </row>
        <row r="114">
          <cell r="A114" t="str">
            <v>ASEGURAMIENTO PROYECTOS EMBLEMATICOS</v>
          </cell>
          <cell r="B114" t="str">
            <v>“CONSTRUCCIÓN TERCERA ETAPA PLAN MAESTRO DE ACUEDUCTO Y ALCANTARILLADO ZONA URBANA MUNICIPIO DE SANTO DOMINGO”</v>
          </cell>
          <cell r="C114">
            <v>40861189</v>
          </cell>
          <cell r="D114">
            <v>40861189</v>
          </cell>
          <cell r="E114">
            <v>0</v>
          </cell>
          <cell r="F114">
            <v>3268895</v>
          </cell>
          <cell r="G114">
            <v>3268895</v>
          </cell>
          <cell r="H114">
            <v>0</v>
          </cell>
          <cell r="I114">
            <v>0</v>
          </cell>
          <cell r="J114">
            <v>882601.68</v>
          </cell>
          <cell r="K114">
            <v>0</v>
          </cell>
          <cell r="L114">
            <v>0</v>
          </cell>
          <cell r="M114">
            <v>0</v>
          </cell>
          <cell r="N114" t="str">
            <v>Contrato No. 036 de 2012
CDP 274712
16 Fondos Especiales</v>
          </cell>
          <cell r="O114" t="str">
            <v>Contrato No. 036 de 2012
CDP 274712
16 Fondos Especiales</v>
          </cell>
          <cell r="P114" t="str">
            <v>Contrato No. 036 de 2012
CDP 274712
16 Fondos Especiales
Contrato 036 de 2012
CDP 1413 
Vigencias Futuras 2013</v>
          </cell>
          <cell r="Q114" t="str">
            <v>GRUPO1</v>
          </cell>
          <cell r="R114">
            <v>0</v>
          </cell>
          <cell r="S114">
            <v>0</v>
          </cell>
          <cell r="T114">
            <v>0</v>
          </cell>
          <cell r="U114">
            <v>0</v>
          </cell>
          <cell r="V114">
            <v>0</v>
          </cell>
          <cell r="W114">
            <v>0</v>
          </cell>
          <cell r="X114">
            <v>0</v>
          </cell>
          <cell r="Y114">
            <v>0</v>
          </cell>
          <cell r="Z114">
            <v>0</v>
          </cell>
          <cell r="AA114">
            <v>0</v>
          </cell>
          <cell r="AB114" t="str">
            <v>SANTO DOMINGO</v>
          </cell>
          <cell r="AC114" t="str">
            <v>ANTIOQUIA</v>
          </cell>
          <cell r="AD114">
            <v>0</v>
          </cell>
          <cell r="AE114">
            <v>0</v>
          </cell>
          <cell r="AF114">
            <v>0</v>
          </cell>
          <cell r="AG114">
            <v>0</v>
          </cell>
          <cell r="AH114">
            <v>0</v>
          </cell>
          <cell r="AI114">
            <v>0</v>
          </cell>
        </row>
        <row r="115">
          <cell r="A115" t="str">
            <v>ASEGURAMIENTO PROYECTOS EMBLEMATICOS</v>
          </cell>
          <cell r="B115" t="str">
            <v>CONSTRUCCIÓN DE LA LÍNEA DE ABASTECIMIENTO DESDE LA QUEBRADA CINCO MIL, OPTIMIZACIÓN DEL SISTEMA DE TRATAMIENTO Y ALMACENAMIENTO DEL ACUEDUCTO URBANO DEL MUNICIPIO DE SOCORRO, SANTANDER</v>
          </cell>
          <cell r="C115">
            <v>392000000</v>
          </cell>
          <cell r="D115">
            <v>392000000</v>
          </cell>
          <cell r="E115">
            <v>0</v>
          </cell>
          <cell r="F115">
            <v>31360000</v>
          </cell>
          <cell r="G115">
            <v>31360000</v>
          </cell>
          <cell r="H115">
            <v>0</v>
          </cell>
          <cell r="I115">
            <v>0</v>
          </cell>
          <cell r="J115">
            <v>8467200</v>
          </cell>
          <cell r="K115">
            <v>8640000</v>
          </cell>
          <cell r="L115">
            <v>0</v>
          </cell>
          <cell r="M115">
            <v>0</v>
          </cell>
          <cell r="N115" t="str">
            <v>Contrato No. 036 de 2012
CDP 274712
16 Fondos Especiales</v>
          </cell>
          <cell r="O115" t="str">
            <v>Contrato No. 036 de 2012
CDP 274712
16 Fondos Especiales</v>
          </cell>
          <cell r="P115" t="str">
            <v>Contrato No. 036 de 2012
CDP 274712
16 Fondos Especiales
Contrato 036 de 2012
CDP 1413 
Vigencias Futuras 2013</v>
          </cell>
          <cell r="Q115" t="str">
            <v>GRUPO 2</v>
          </cell>
          <cell r="R115">
            <v>0</v>
          </cell>
          <cell r="S115">
            <v>0</v>
          </cell>
          <cell r="T115">
            <v>0</v>
          </cell>
          <cell r="U115">
            <v>0</v>
          </cell>
          <cell r="V115">
            <v>0</v>
          </cell>
          <cell r="W115">
            <v>0</v>
          </cell>
          <cell r="X115">
            <v>0</v>
          </cell>
          <cell r="Y115">
            <v>0</v>
          </cell>
          <cell r="Z115">
            <v>0</v>
          </cell>
          <cell r="AA115">
            <v>0</v>
          </cell>
          <cell r="AB115" t="str">
            <v>SOCORRO</v>
          </cell>
          <cell r="AC115" t="str">
            <v>SANTANDER</v>
          </cell>
          <cell r="AD115">
            <v>0</v>
          </cell>
          <cell r="AE115">
            <v>0</v>
          </cell>
          <cell r="AF115">
            <v>0</v>
          </cell>
          <cell r="AG115">
            <v>0</v>
          </cell>
          <cell r="AH115">
            <v>0</v>
          </cell>
          <cell r="AI115">
            <v>0</v>
          </cell>
        </row>
        <row r="116">
          <cell r="A116" t="str">
            <v xml:space="preserve">PAF-ATF-PJ-003-2014
</v>
          </cell>
          <cell r="B116" t="str">
            <v>APOYO AL ASEGURAMIENTO DE LA PRESTACIÒN DE LOS SERVCIOS EN EL MUNICIPIO DE ARACTACA - MAGDALENA 
CONTRATO DE PRESTACIÒN DE SERVICIOS PROFESIONALES
1) APOYO AL COMPONENTE TECNICO - OPERATIVO
2) ACTIVIDADES PARA EL ASEGURAMIENTO DE LA PRESTACIÒN DEL SERVICIO</v>
          </cell>
          <cell r="C116">
            <v>706554144</v>
          </cell>
          <cell r="D116">
            <v>706554144</v>
          </cell>
          <cell r="E116">
            <v>0</v>
          </cell>
          <cell r="F116">
            <v>13106450</v>
          </cell>
          <cell r="G116">
            <v>13106450</v>
          </cell>
          <cell r="H116">
            <v>0</v>
          </cell>
          <cell r="I116">
            <v>0</v>
          </cell>
          <cell r="J116">
            <v>0</v>
          </cell>
          <cell r="K116">
            <v>94012930</v>
          </cell>
          <cell r="L116">
            <v>0</v>
          </cell>
          <cell r="M116">
            <v>0</v>
          </cell>
          <cell r="N116" t="str">
            <v>Contrato No. 159 de 2013
CDP 141113
11 Nación</v>
          </cell>
          <cell r="O116" t="str">
            <v>Contrato No. 159 de 2013
CDP 141113
11 Nación</v>
          </cell>
          <cell r="P116" t="str">
            <v>Contrato No. 159 de 2013
CDP 141113
11 Nación</v>
          </cell>
          <cell r="Q116">
            <v>0</v>
          </cell>
          <cell r="R116" t="str">
            <v>PESTADORA DE SERVICIOS PUBLICOS DOMICILIARIOS S.A. E.S.P.- PRESEA S.A. E.S.P.</v>
          </cell>
          <cell r="S116">
            <v>0</v>
          </cell>
          <cell r="T116">
            <v>0</v>
          </cell>
          <cell r="U116">
            <v>0</v>
          </cell>
          <cell r="V116">
            <v>706554144</v>
          </cell>
          <cell r="W116">
            <v>0</v>
          </cell>
          <cell r="X116">
            <v>13106450</v>
          </cell>
          <cell r="Y116">
            <v>13106450</v>
          </cell>
          <cell r="Z116">
            <v>0</v>
          </cell>
          <cell r="AA116">
            <v>0</v>
          </cell>
          <cell r="AB116" t="str">
            <v>ARACATACA</v>
          </cell>
          <cell r="AC116" t="str">
            <v>MAGDALENA</v>
          </cell>
          <cell r="AD116">
            <v>41654</v>
          </cell>
          <cell r="AE116">
            <v>6</v>
          </cell>
          <cell r="AF116">
            <v>0</v>
          </cell>
          <cell r="AG116">
            <v>0</v>
          </cell>
          <cell r="AH116">
            <v>0</v>
          </cell>
          <cell r="AI116">
            <v>0</v>
          </cell>
        </row>
        <row r="117">
          <cell r="A117" t="str">
            <v>ASEGURAMIENTO PROYECTOS EMBLEMATICOS</v>
          </cell>
          <cell r="B117" t="str">
            <v>“ACUEDUCTO REGIONAL INTERDEPARTAMENTAL”</v>
          </cell>
          <cell r="C117">
            <v>1114109982</v>
          </cell>
          <cell r="D117">
            <v>1114109982</v>
          </cell>
          <cell r="E117">
            <v>0</v>
          </cell>
          <cell r="F117">
            <v>72254073</v>
          </cell>
          <cell r="G117">
            <v>72254073</v>
          </cell>
          <cell r="H117">
            <v>0</v>
          </cell>
          <cell r="I117">
            <v>0</v>
          </cell>
          <cell r="J117">
            <v>23727281.100000001</v>
          </cell>
          <cell r="K117">
            <v>22282200</v>
          </cell>
          <cell r="L117">
            <v>0</v>
          </cell>
          <cell r="M117">
            <v>0</v>
          </cell>
          <cell r="N117" t="str">
            <v>Contrato No. 159 de 2013
CDP 141113
11 Nación</v>
          </cell>
          <cell r="O117" t="str">
            <v>Contrato No. 159 de 2013
CDP 141113
11 Nación</v>
          </cell>
          <cell r="P117" t="str">
            <v>Contrato No. 159 de 2013
CDP 141113
11 Nación</v>
          </cell>
          <cell r="Q117" t="str">
            <v>GRUPO 5</v>
          </cell>
          <cell r="R117">
            <v>0</v>
          </cell>
          <cell r="S117">
            <v>0</v>
          </cell>
          <cell r="T117">
            <v>0</v>
          </cell>
          <cell r="U117">
            <v>0</v>
          </cell>
          <cell r="V117">
            <v>0</v>
          </cell>
          <cell r="W117">
            <v>0</v>
          </cell>
          <cell r="X117">
            <v>0</v>
          </cell>
          <cell r="Y117">
            <v>0</v>
          </cell>
          <cell r="Z117">
            <v>0</v>
          </cell>
          <cell r="AA117">
            <v>0</v>
          </cell>
          <cell r="AB117" t="str">
            <v>GUACHENÈ, PADILLA,PUERTO TEJADA, VILLA RICA</v>
          </cell>
          <cell r="AC117" t="str">
            <v>VALLE DEL CAUCA</v>
          </cell>
          <cell r="AD117">
            <v>0</v>
          </cell>
          <cell r="AE117">
            <v>0</v>
          </cell>
          <cell r="AF117">
            <v>0</v>
          </cell>
          <cell r="AG117">
            <v>0</v>
          </cell>
          <cell r="AH117">
            <v>0</v>
          </cell>
          <cell r="AI117">
            <v>0</v>
          </cell>
        </row>
        <row r="118">
          <cell r="A118" t="str">
            <v>ASEGURAMIENTO PROYECTOS EMBLEMATICOS</v>
          </cell>
          <cell r="B118" t="str">
            <v>“CONSTRUCCIÓN SISTEMA DE ALCANTARILLADO PLUVIAL SECTORES CALLE 9 Y 8 ENTRE CARRERAS 12D Y 2 Y CALLE 7 ENTRE CARRERA 7 Y 2 DEL MUNICIPIO DE CIMITARRA (SANTANDER)”</v>
          </cell>
          <cell r="C118">
            <v>253360000</v>
          </cell>
          <cell r="D118">
            <v>253360000</v>
          </cell>
          <cell r="E118">
            <v>0</v>
          </cell>
          <cell r="F118">
            <v>17945200</v>
          </cell>
          <cell r="G118">
            <v>17945200</v>
          </cell>
          <cell r="H118">
            <v>0</v>
          </cell>
          <cell r="I118">
            <v>0</v>
          </cell>
          <cell r="J118">
            <v>5426104</v>
          </cell>
          <cell r="K118">
            <v>5650385</v>
          </cell>
          <cell r="L118">
            <v>0</v>
          </cell>
          <cell r="M118">
            <v>0</v>
          </cell>
          <cell r="N118" t="str">
            <v>Contrato No. 159 de 2013
CDP 141113
11 Nación</v>
          </cell>
          <cell r="O118" t="str">
            <v>Contrato No. 159 de 2013
CDP 141113
11 Nación</v>
          </cell>
          <cell r="P118" t="str">
            <v>Contrato No. 159 de 2013
CDP 141113
11 Nación</v>
          </cell>
          <cell r="Q118">
            <v>0</v>
          </cell>
          <cell r="R118">
            <v>0</v>
          </cell>
          <cell r="S118">
            <v>0</v>
          </cell>
          <cell r="T118">
            <v>0</v>
          </cell>
          <cell r="U118">
            <v>0</v>
          </cell>
          <cell r="V118">
            <v>0</v>
          </cell>
          <cell r="W118">
            <v>0</v>
          </cell>
          <cell r="X118">
            <v>0</v>
          </cell>
          <cell r="Y118">
            <v>0</v>
          </cell>
          <cell r="Z118">
            <v>0</v>
          </cell>
          <cell r="AA118">
            <v>0</v>
          </cell>
          <cell r="AB118" t="str">
            <v>CIMITARRA</v>
          </cell>
          <cell r="AC118" t="str">
            <v>SANTANDER</v>
          </cell>
          <cell r="AD118">
            <v>0</v>
          </cell>
          <cell r="AE118">
            <v>0</v>
          </cell>
          <cell r="AF118">
            <v>0</v>
          </cell>
          <cell r="AG118">
            <v>0</v>
          </cell>
          <cell r="AH118">
            <v>0</v>
          </cell>
          <cell r="AI118">
            <v>0</v>
          </cell>
        </row>
        <row r="119">
          <cell r="A119" t="str">
            <v>ASEGURAMIENTO PROYECTOS EMBLEMATICOS</v>
          </cell>
          <cell r="B119" t="str">
            <v>“CONSTRUCCIÓN DEL POZO 3, SEGUNDO TANQUE EN EL CERRO EL GOLERO, SISTEMA DE CLORACIÓN EN LA EBAP 2 Y LA OPTIMIZACIÓN DE LAS EBAPS 2 Y 3 DEL SISTEMA DE ACUEDUCTO DEL MUNICIPIO DE ARIGUANÍ”.</v>
          </cell>
          <cell r="C119">
            <v>1318294821</v>
          </cell>
          <cell r="D119">
            <v>1318294821</v>
          </cell>
          <cell r="E119">
            <v>0</v>
          </cell>
          <cell r="F119">
            <v>105463585</v>
          </cell>
          <cell r="G119">
            <v>105463585</v>
          </cell>
          <cell r="H119">
            <v>0</v>
          </cell>
          <cell r="I119">
            <v>0</v>
          </cell>
          <cell r="J119">
            <v>28475168.120000001</v>
          </cell>
          <cell r="K119">
            <v>0</v>
          </cell>
          <cell r="L119">
            <v>0</v>
          </cell>
          <cell r="M119">
            <v>0</v>
          </cell>
          <cell r="N119" t="str">
            <v>Contrato No. 159 de 2013
CDP 141113
11 Nación</v>
          </cell>
          <cell r="O119" t="str">
            <v>Contrato No. 159 de 2013
CDP 141113
11 Nación</v>
          </cell>
          <cell r="P119" t="str">
            <v>Contrato No. 159 de 2013
CDP 141113
11 Nación</v>
          </cell>
          <cell r="Q119" t="str">
            <v>GRUPO 4</v>
          </cell>
          <cell r="R119">
            <v>0</v>
          </cell>
          <cell r="S119">
            <v>0</v>
          </cell>
          <cell r="T119">
            <v>0</v>
          </cell>
          <cell r="U119">
            <v>0</v>
          </cell>
          <cell r="V119">
            <v>0</v>
          </cell>
          <cell r="W119">
            <v>0</v>
          </cell>
          <cell r="X119">
            <v>0</v>
          </cell>
          <cell r="Y119">
            <v>0</v>
          </cell>
          <cell r="Z119">
            <v>0</v>
          </cell>
          <cell r="AA119">
            <v>0</v>
          </cell>
          <cell r="AB119" t="str">
            <v>ARIGUANI</v>
          </cell>
          <cell r="AC119" t="str">
            <v>MAGDALENA</v>
          </cell>
          <cell r="AD119">
            <v>0</v>
          </cell>
          <cell r="AE119">
            <v>0</v>
          </cell>
          <cell r="AF119">
            <v>0</v>
          </cell>
          <cell r="AG119">
            <v>0</v>
          </cell>
          <cell r="AH119">
            <v>0</v>
          </cell>
          <cell r="AI119">
            <v>0</v>
          </cell>
        </row>
        <row r="120">
          <cell r="A120" t="str">
            <v>ASEGURAMIENTO PROYECTOS EMBLEMATICOS</v>
          </cell>
          <cell r="B120" t="str">
            <v>OPTIMIZACIÓN ALCANTARILLADO CARRERA 3 ETAPA II, MUNICIPIO DE IPIALES”</v>
          </cell>
          <cell r="C120">
            <v>399500001</v>
          </cell>
          <cell r="D120">
            <v>399500001</v>
          </cell>
          <cell r="E120">
            <v>0</v>
          </cell>
          <cell r="F120">
            <v>27965000</v>
          </cell>
          <cell r="G120">
            <v>27965000</v>
          </cell>
          <cell r="H120">
            <v>0</v>
          </cell>
          <cell r="I120">
            <v>0</v>
          </cell>
          <cell r="J120">
            <v>8549300.0199999996</v>
          </cell>
          <cell r="K120">
            <v>0</v>
          </cell>
          <cell r="L120">
            <v>0</v>
          </cell>
          <cell r="M120">
            <v>0</v>
          </cell>
          <cell r="N120" t="str">
            <v>Contrato No. 036 de 2012
CDP 274712
16 Fondos Especiales</v>
          </cell>
          <cell r="O120" t="str">
            <v>Contrato No. 036 de 2012
CDP 274712
16 Fondos Especiales</v>
          </cell>
          <cell r="P120" t="str">
            <v>Contrato No. 036 de 2012
CDP 274712
16 Fondos Especiales</v>
          </cell>
          <cell r="Q120">
            <v>0</v>
          </cell>
          <cell r="R120">
            <v>0</v>
          </cell>
          <cell r="S120">
            <v>0</v>
          </cell>
          <cell r="T120">
            <v>0</v>
          </cell>
          <cell r="U120">
            <v>0</v>
          </cell>
          <cell r="V120">
            <v>0</v>
          </cell>
          <cell r="W120">
            <v>0</v>
          </cell>
          <cell r="X120">
            <v>0</v>
          </cell>
          <cell r="Y120">
            <v>0</v>
          </cell>
          <cell r="Z120">
            <v>0</v>
          </cell>
          <cell r="AA120">
            <v>0</v>
          </cell>
          <cell r="AB120" t="str">
            <v>IPIALES</v>
          </cell>
          <cell r="AC120" t="str">
            <v>NARIÑO</v>
          </cell>
          <cell r="AD120">
            <v>0</v>
          </cell>
          <cell r="AE120">
            <v>0</v>
          </cell>
          <cell r="AF120">
            <v>0</v>
          </cell>
          <cell r="AG120">
            <v>0</v>
          </cell>
          <cell r="AH120">
            <v>0</v>
          </cell>
          <cell r="AI120">
            <v>0</v>
          </cell>
        </row>
        <row r="121">
          <cell r="A121" t="str">
            <v xml:space="preserve">PAF-ATF-PJ-005-2014
</v>
          </cell>
          <cell r="B121" t="str">
            <v>OBRA CIVIL Y SUMINISTRO PARA LAS OBRAS DE EMERGENCIA PARA LAS REDES DE DISTRIBUCIÒN DEL ACUEDUCTO DEL MUNICIPIO DE ARACATACA - MAGDALENA</v>
          </cell>
          <cell r="C121">
            <v>163830627</v>
          </cell>
          <cell r="D121">
            <v>163830627</v>
          </cell>
          <cell r="E121">
            <v>0</v>
          </cell>
          <cell r="F121">
            <v>0</v>
          </cell>
          <cell r="G121">
            <v>0</v>
          </cell>
          <cell r="H121">
            <v>0</v>
          </cell>
          <cell r="I121">
            <v>0</v>
          </cell>
          <cell r="J121">
            <v>3276612.54</v>
          </cell>
          <cell r="K121">
            <v>3343382</v>
          </cell>
          <cell r="L121">
            <v>0</v>
          </cell>
          <cell r="M121">
            <v>0</v>
          </cell>
          <cell r="N121" t="str">
            <v>Contrato No. 159 de 2013
CDP 155913
11 Nación</v>
          </cell>
          <cell r="O121" t="str">
            <v>Contrato No. 159 de 2013
CDP 155913
11 Nación</v>
          </cell>
          <cell r="P121" t="str">
            <v>Contrato No. 159 de 2013
CDP 155913
11 Nación</v>
          </cell>
          <cell r="Q121">
            <v>0</v>
          </cell>
          <cell r="R121" t="str">
            <v>CONSORCIO BUILDING - CMIJ</v>
          </cell>
          <cell r="S121">
            <v>0</v>
          </cell>
          <cell r="T121" t="str">
            <v>24-01-2014</v>
          </cell>
          <cell r="U121">
            <v>163830627</v>
          </cell>
          <cell r="V121">
            <v>163830627</v>
          </cell>
          <cell r="W121">
            <v>0</v>
          </cell>
          <cell r="X121">
            <v>0</v>
          </cell>
          <cell r="Y121">
            <v>0</v>
          </cell>
          <cell r="Z121">
            <v>0</v>
          </cell>
          <cell r="AA121">
            <v>0</v>
          </cell>
          <cell r="AB121" t="str">
            <v>ARACATACA</v>
          </cell>
          <cell r="AC121" t="str">
            <v>MAGDALENA</v>
          </cell>
          <cell r="AD121" t="str">
            <v>24-01-2013</v>
          </cell>
          <cell r="AE121">
            <v>2</v>
          </cell>
          <cell r="AF121">
            <v>0</v>
          </cell>
          <cell r="AG121">
            <v>49149188.100000001</v>
          </cell>
          <cell r="AH121">
            <v>0</v>
          </cell>
          <cell r="AI121">
            <v>0</v>
          </cell>
        </row>
        <row r="122">
          <cell r="A122" t="str">
            <v>SIN CONTRATAR</v>
          </cell>
          <cell r="B122" t="str">
            <v>ESTRUCTURACIÓN DE LOS ESQUEMAS DE OPERACIÓN PARA LA PRESTACIÓN DEL SERVICIO PÚBLICO DE ASEO - AMPLIACIÓN DEL RELLENO SANITARIO</v>
          </cell>
          <cell r="C122">
            <v>240824322</v>
          </cell>
          <cell r="D122">
            <v>240824322</v>
          </cell>
          <cell r="E122">
            <v>0</v>
          </cell>
          <cell r="F122">
            <v>131820035.20999999</v>
          </cell>
          <cell r="G122">
            <v>131820035.20999999</v>
          </cell>
          <cell r="H122">
            <v>0</v>
          </cell>
          <cell r="I122">
            <v>0</v>
          </cell>
          <cell r="J122">
            <v>7452887.1442</v>
          </cell>
          <cell r="K122">
            <v>0</v>
          </cell>
          <cell r="L122">
            <v>0</v>
          </cell>
          <cell r="M122">
            <v>0</v>
          </cell>
          <cell r="N122" t="str">
            <v>Contrato No. 159 de 2013
CDP 137513
11 Nación</v>
          </cell>
          <cell r="O122" t="str">
            <v>Contrato No. 159 de 2013
CDP 137513
11 Nación</v>
          </cell>
          <cell r="P122" t="str">
            <v>Contrato No. 159 de 2013
CDP 137513
11 Nación</v>
          </cell>
          <cell r="Q122">
            <v>0</v>
          </cell>
          <cell r="R122">
            <v>0</v>
          </cell>
          <cell r="S122">
            <v>0</v>
          </cell>
          <cell r="T122">
            <v>0</v>
          </cell>
          <cell r="U122">
            <v>0</v>
          </cell>
          <cell r="V122">
            <v>0</v>
          </cell>
          <cell r="W122">
            <v>0</v>
          </cell>
          <cell r="X122">
            <v>0</v>
          </cell>
          <cell r="Y122">
            <v>0</v>
          </cell>
          <cell r="Z122">
            <v>0</v>
          </cell>
          <cell r="AA122">
            <v>0</v>
          </cell>
          <cell r="AB122" t="str">
            <v>MALAGA</v>
          </cell>
          <cell r="AC122" t="str">
            <v>SANTANDER</v>
          </cell>
          <cell r="AD122">
            <v>0</v>
          </cell>
          <cell r="AE122">
            <v>0</v>
          </cell>
          <cell r="AF122">
            <v>0</v>
          </cell>
          <cell r="AG122">
            <v>0</v>
          </cell>
          <cell r="AH122">
            <v>0</v>
          </cell>
          <cell r="AI122">
            <v>0</v>
          </cell>
        </row>
        <row r="123">
          <cell r="A123" t="str">
            <v>SIN CONTRATAR</v>
          </cell>
          <cell r="B123" t="str">
            <v>Estructuración de la prestación del Servicio Publico de Aseo y el Diseño de tres (3) Rellenos Sanitarios Regionales para el Departamento de Magdalena</v>
          </cell>
          <cell r="C123">
            <v>873228820.09600008</v>
          </cell>
          <cell r="D123">
            <v>873228820.09600008</v>
          </cell>
          <cell r="E123">
            <v>0</v>
          </cell>
          <cell r="F123">
            <v>64727290.776000001</v>
          </cell>
          <cell r="G123">
            <v>64727290.776000001</v>
          </cell>
          <cell r="H123">
            <v>0</v>
          </cell>
          <cell r="I123">
            <v>0</v>
          </cell>
          <cell r="J123">
            <v>18759122.217440002</v>
          </cell>
          <cell r="K123">
            <v>0</v>
          </cell>
          <cell r="L123">
            <v>0</v>
          </cell>
          <cell r="M123">
            <v>0</v>
          </cell>
          <cell r="N123" t="str">
            <v>Contrato No. 159 de 2013
CDP 137513
11 Nación</v>
          </cell>
          <cell r="O123" t="str">
            <v>Contrato No. 159 de 2013
CDP 137513
11 Nación</v>
          </cell>
          <cell r="P123" t="str">
            <v>Contrato No. 159 de 2013
CDP 137513
11 Nación</v>
          </cell>
          <cell r="Q123">
            <v>0</v>
          </cell>
          <cell r="R123">
            <v>0</v>
          </cell>
          <cell r="S123">
            <v>0</v>
          </cell>
          <cell r="T123">
            <v>0</v>
          </cell>
          <cell r="U123">
            <v>0</v>
          </cell>
          <cell r="V123">
            <v>0</v>
          </cell>
          <cell r="W123">
            <v>0</v>
          </cell>
          <cell r="X123">
            <v>0</v>
          </cell>
          <cell r="Y123">
            <v>0</v>
          </cell>
          <cell r="Z123">
            <v>0</v>
          </cell>
          <cell r="AA123">
            <v>0</v>
          </cell>
          <cell r="AB123">
            <v>0</v>
          </cell>
          <cell r="AC123" t="str">
            <v>MAGDALENA</v>
          </cell>
          <cell r="AD123">
            <v>0</v>
          </cell>
          <cell r="AE123">
            <v>0</v>
          </cell>
          <cell r="AF123">
            <v>0</v>
          </cell>
          <cell r="AG123">
            <v>0</v>
          </cell>
          <cell r="AH123">
            <v>0</v>
          </cell>
          <cell r="AI123">
            <v>0</v>
          </cell>
        </row>
        <row r="124">
          <cell r="A124">
            <v>0</v>
          </cell>
          <cell r="B124">
            <v>0</v>
          </cell>
          <cell r="C124">
            <v>467540797070</v>
          </cell>
          <cell r="D124">
            <v>426865069929</v>
          </cell>
          <cell r="E124">
            <v>43488444371</v>
          </cell>
          <cell r="F124">
            <v>31559212837</v>
          </cell>
          <cell r="G124">
            <v>30139794034</v>
          </cell>
          <cell r="H124">
            <v>1419418803</v>
          </cell>
          <cell r="I124">
            <v>0</v>
          </cell>
          <cell r="J124">
            <v>10036824542.74</v>
          </cell>
          <cell r="K124">
            <v>9353882855.9999981</v>
          </cell>
          <cell r="L124">
            <v>40000000</v>
          </cell>
          <cell r="M124">
            <v>1774746</v>
          </cell>
          <cell r="N124">
            <v>0</v>
          </cell>
          <cell r="O124">
            <v>0</v>
          </cell>
          <cell r="P124">
            <v>0</v>
          </cell>
          <cell r="Q124" t="e">
            <v>#VALUE!</v>
          </cell>
          <cell r="R124">
            <v>0</v>
          </cell>
          <cell r="S124">
            <v>43006363211</v>
          </cell>
          <cell r="T124" t="e">
            <v>#VALUE!</v>
          </cell>
          <cell r="U124">
            <v>445985569763</v>
          </cell>
          <cell r="V124">
            <v>405959445302</v>
          </cell>
          <cell r="W124">
            <v>43488444371</v>
          </cell>
          <cell r="X124">
            <v>29851174789</v>
          </cell>
          <cell r="Y124">
            <v>28436700264</v>
          </cell>
          <cell r="Z124">
            <v>1414474525</v>
          </cell>
          <cell r="AA124">
            <v>40000000</v>
          </cell>
          <cell r="AB124" t="e">
            <v>#VALUE!</v>
          </cell>
          <cell r="AC124" t="e">
            <v>#VALUE!</v>
          </cell>
          <cell r="AD124">
            <v>2026611</v>
          </cell>
          <cell r="AE124">
            <v>524</v>
          </cell>
          <cell r="AF124">
            <v>41443</v>
          </cell>
          <cell r="AG124">
            <v>133615090121.59998</v>
          </cell>
          <cell r="AH124">
            <v>126460692909.59999</v>
          </cell>
          <cell r="AI124">
            <v>1823321</v>
          </cell>
        </row>
      </sheetData>
      <sheetData sheetId="47"/>
      <sheetData sheetId="48"/>
      <sheetData sheetId="49"/>
      <sheetData sheetId="50"/>
      <sheetData sheetId="51"/>
      <sheetData sheetId="52"/>
      <sheetData sheetId="53"/>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heetName val="SALDO POR CDP"/>
      <sheetName val="CONTROL CONTRATOS"/>
      <sheetName val="REMUNERACIÓN FINDETER"/>
      <sheetName val="DESEMBOLSOS"/>
      <sheetName val="RENDIMIENTOS FINANCIEROS "/>
      <sheetName val="PAGOS REALIZADOS"/>
      <sheetName val="PAGOS LEGALIZADOS CXC"/>
      <sheetName val="CONTROL DE SALDOS"/>
      <sheetName val="BALANCE"/>
    </sheetNames>
    <sheetDataSet>
      <sheetData sheetId="0">
        <row r="14">
          <cell r="D14" t="str">
            <v>01 de junio al 30 de junio de 2021</v>
          </cell>
        </row>
      </sheetData>
      <sheetData sheetId="1"/>
      <sheetData sheetId="2">
        <row r="30">
          <cell r="T30">
            <v>189255730992</v>
          </cell>
          <cell r="AA30">
            <v>39587612425.76001</v>
          </cell>
          <cell r="AB30">
            <v>1172249733.1299999</v>
          </cell>
          <cell r="AC30">
            <v>500000000</v>
          </cell>
        </row>
      </sheetData>
      <sheetData sheetId="3">
        <row r="17">
          <cell r="C17">
            <v>11318857050</v>
          </cell>
          <cell r="F17">
            <v>4278527965</v>
          </cell>
        </row>
      </sheetData>
      <sheetData sheetId="4"/>
      <sheetData sheetId="5"/>
      <sheetData sheetId="6"/>
      <sheetData sheetId="7"/>
      <sheetData sheetId="8"/>
      <sheetData sheetId="9"/>
    </sheetDataSet>
  </externalBook>
</externalLink>
</file>

<file path=xl/persons/person.xml><?xml version="1.0" encoding="utf-8"?>
<personList xmlns="http://schemas.microsoft.com/office/spreadsheetml/2018/threadedcomments" xmlns:x="http://schemas.openxmlformats.org/spreadsheetml/2006/main">
  <person displayName="CAROLINA RODRIGUEZ MONTANA" id="{9BA44C53-8AB4-4504-8EE0-E295F55BF724}" userId="S::CRODRIGUEZM@findeter.gov.co::2b975268-d279-47c1-b41a-43364787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X20" dT="2025-06-06T16:44:26.87" personId="{9BA44C53-8AB4-4504-8EE0-E295F55BF724}" id="{DAE049A7-F979-4594-926A-11F4D1535B80}">
    <text>De esta adición el Contratista de Obra asume $40.160.893,50
Segunda Adición asumida por Contratista de Obra por $11.800.426,75</text>
  </threadedComment>
  <threadedComment ref="X32" dT="2024-10-03T19:13:57.10" personId="{9BA44C53-8AB4-4504-8EE0-E295F55BF724}" id="{4FFA8A16-B599-4631-91B5-FA75DDC85785}">
    <text>Liberación por disminución valor del contrato, despriorización de una Sede, Otrosí No. 1</text>
  </threadedComment>
  <threadedComment ref="X34" dT="2024-09-18T14:05:06.82" personId="{9BA44C53-8AB4-4504-8EE0-E295F55BF724}" id="{52283A97-4AED-4A9A-930D-8A99282D7387}">
    <text>$50.000.000 de Adición cubre Contratista de Obra Cto 013-2023</text>
  </threadedComment>
  <threadedComment ref="X36" dT="2025-06-06T16:45:25.37" personId="{9BA44C53-8AB4-4504-8EE0-E295F55BF724}" id="{F24552B3-6349-440A-898F-F309C2A0F32B}">
    <text>De esta Adición el contratista de Obra asume $116.020.814,25</text>
  </threadedComment>
  <threadedComment ref="T38" dT="2025-03-20T13:27:47.59" personId="{9BA44C53-8AB4-4504-8EE0-E295F55BF724}" id="{133FBDC2-6A3F-4D36-88B7-E7B3E894B8F4}">
    <text xml:space="preserve">Cedente UNION TEMPORLA BARBACOAS NIT 901801498 (Cto Cesión 10/03/2025)
</text>
  </threadedComment>
  <threadedComment ref="X38" dT="2025-06-20T16:54:21.96" personId="{9BA44C53-8AB4-4504-8EE0-E295F55BF724}" id="{2D6719CE-4416-4E2B-AC05-42B51AA7B6B2}">
    <text>De esta Adición el Contratista de obra Asume $159.807.583</text>
  </threadedComment>
  <threadedComment ref="T40" dT="2025-03-20T13:26:02.10" personId="{9BA44C53-8AB4-4504-8EE0-E295F55BF724}" id="{69EDDE08-916C-4F13-B3A6-F5ED609B35BF}">
    <text>Cedente ALFA &amp; OMEGA INGENIEROS S.A.S NIT 811017902 (Cto Cesión 14/03/2025)</text>
  </threadedComment>
  <threadedComment ref="X42" dT="2024-12-16T17:45:40.59" personId="{9BA44C53-8AB4-4504-8EE0-E295F55BF724}" id="{CE47CC32-9E59-45D3-A667-27C541FEF41D}">
    <text>$35.543.422,50 de Adición cubre Contratista de Obra Cto 026-2024</text>
  </threadedComment>
  <threadedComment ref="X48" dT="2024-09-18T13:49:52.86" personId="{9BA44C53-8AB4-4504-8EE0-E295F55BF724}" id="{87223AA2-E48D-47B8-BF04-E583F4B62175}">
    <text>$80.000.000 +$84.991.547 Adición Asumida por el Contratista de Obra 007-2024</text>
  </threadedComment>
  <threadedComment ref="X52" dT="2024-09-09T13:10:34.44" personId="{9BA44C53-8AB4-4504-8EE0-E295F55BF724}" id="{9ACDA62A-277B-4375-B1C0-74865F4E6541}">
    <text xml:space="preserve">De esta adición, $18.000.000 son asumidos por el Contratista y el restante con cargo al Patrimonio Autónomo </text>
  </threadedComment>
  <threadedComment ref="X54" dT="2025-03-20T13:24:06.79" personId="{9BA44C53-8AB4-4504-8EE0-E295F55BF724}" id="{B841B45C-ED7F-4EBE-B1F6-9A2758AD138E}">
    <text>De esta adición, $60.000.000+ $90.000.000 son asumidos por el Contratista de Obra 036-2024</text>
  </threadedComment>
  <threadedComment ref="X60" dT="2025-05-22T14:50:42.87" personId="{9BA44C53-8AB4-4504-8EE0-E295F55BF724}" id="{43147F0B-F560-431F-9808-FEA89F72E42E}">
    <text>$5.574.659,64 asumido por Contratista de Obra Cto 032-2024</text>
  </threadedComment>
  <threadedComment ref="I62" dT="2025-07-16T21:48:19.20" personId="{9BA44C53-8AB4-4504-8EE0-E295F55BF724}" id="{F1BFA75D-9805-412F-85EC-4F7DAA29798B}">
    <text>Sale de los recursos de la línea de Mejoramientos</text>
  </threadedComment>
  <threadedComment ref="I64" dT="2025-07-16T21:48:19.20" personId="{9BA44C53-8AB4-4504-8EE0-E295F55BF724}" id="{998B3EBB-AB45-4E4A-9895-E7EBDE5BFA5C}">
    <text>Sale de los recursos de la línea de Mejoramientos</text>
  </threadedComment>
  <threadedComment ref="X76" dT="2025-07-03T21:09:55.10" personId="{9BA44C53-8AB4-4504-8EE0-E295F55BF724}" id="{0DBF6554-CA58-4A91-BBDF-CC58B65C4D65}">
    <text>Mayor permanencia de $ 24.260.223,00 asumida por Contratista de Obra 045-2024</text>
  </threadedComment>
  <threadedComment ref="X80" dT="2025-02-20T19:04:37.02" personId="{9BA44C53-8AB4-4504-8EE0-E295F55BF724}" id="{9A357FD4-EBD6-40B1-905B-3F2DD306D28C}">
    <text xml:space="preserve">De esta adición, $1¿
60.000.000 son asumidos por el Contratista 024-2024
</text>
  </threadedComment>
  <threadedComment ref="X84" dT="2025-01-17T17:20:31.41" personId="{9BA44C53-8AB4-4504-8EE0-E295F55BF724}" id="{A98FFF3C-E194-47D3-B92B-2A3B02C53453}">
    <text>El Contratista de Obra asume $17.088.816.66 de esta adición (Cto 034-2024).  El contratista de Obra asumió $21.493.697,89</text>
  </threadedComment>
  <threadedComment ref="X85" dT="2025-01-17T17:20:40.35" personId="{9BA44C53-8AB4-4504-8EE0-E295F55BF724}" id="{C7FD48AD-85E2-4FFF-9400-88232C5C6C6F}">
    <text>El Contratista de Obra asume $36.106.456,49 de esta adición (Cto 038-2024). Segundo adición Asume Contratista $54.159.684,75. Contratista asume $30.088.713,75</text>
  </threadedComment>
  <threadedComment ref="X89" dT="2025-06-06T16:46:28.07" personId="{9BA44C53-8AB4-4504-8EE0-E295F55BF724}" id="{80B5A24E-1DD1-47E0-9104-A5A8AED6E504}">
    <text>De esta adición el contratista de Obra asume $80.544.972</text>
  </threadedComment>
</ThreadedComments>
</file>

<file path=xl/threadedComments/threadedComment2.xml><?xml version="1.0" encoding="utf-8"?>
<ThreadedComments xmlns="http://schemas.microsoft.com/office/spreadsheetml/2018/threadedcomments" xmlns:x="http://schemas.openxmlformats.org/spreadsheetml/2006/main">
  <threadedComment ref="I113" dT="2024-10-23T13:24:48.05" personId="{9BA44C53-8AB4-4504-8EE0-E295F55BF724}" id="{73BBCA06-B3C7-4C66-8300-D2A7F80F14BB}">
    <text>El valor registrado en Balance era de $364.257,63, sin embargo en el pago se realizo ajuste al mil</text>
  </threadedComment>
  <threadedComment ref="I164" dT="2024-10-23T13:26:47.35" personId="{9BA44C53-8AB4-4504-8EE0-E295F55BF724}" id="{F3B1DB25-26EC-498E-AB46-F2C2AE5A1B2D}">
    <text>El valor registrado en estados financieros era de $396.306,08, sin embargo en el pago se realizo ajuste al mil</text>
  </threadedComment>
  <threadedComment ref="L697" dT="2025-05-27T21:59:16.62" personId="{9BA44C53-8AB4-4504-8EE0-E295F55BF724}" id="{C94B7E6D-7724-4675-9FEF-15412F4658B1}">
    <text>Mayor Permanencia $30.088.713,75
Apremio Ratificado $93.280.875</text>
  </threadedComment>
  <threadedComment ref="L698" dT="2025-06-20T13:30:26.78" personId="{9BA44C53-8AB4-4504-8EE0-E295F55BF724}" id="{EA503E15-846F-41BB-AA3B-8B1FDE3D823E}">
    <text>Apremio Ratificado</text>
  </threadedComment>
  <threadedComment ref="K800" dT="2025-07-04T17:42:44.08" personId="{9BA44C53-8AB4-4504-8EE0-E295F55BF724}" id="{9332A022-6DFD-4704-9687-881A34DFA4D7}">
    <text xml:space="preserve">Incluye $32.531.977,61 de Descuento impuesto de timbre por Otrosí de Contrato 
</text>
  </threadedComment>
  <threadedComment ref="K850" dT="2025-07-04T17:42:44.08" personId="{9BA44C53-8AB4-4504-8EE0-E295F55BF724}" id="{651821DC-4C1D-4919-A600-9A26A80F411E}">
    <text xml:space="preserve">Incluye $32.531.977,61 de Descuento impuesto de timbre por Otrosí de Contrato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5"/>
  <sheetViews>
    <sheetView showGridLines="0" zoomScale="85" zoomScaleNormal="85" workbookViewId="0"/>
  </sheetViews>
  <sheetFormatPr baseColWidth="10" defaultColWidth="0" defaultRowHeight="15.75" zeroHeight="1" x14ac:dyDescent="0.25"/>
  <cols>
    <col min="1" max="5" width="6.42578125" style="53" customWidth="1"/>
    <col min="6" max="14" width="6.42578125" style="22" customWidth="1"/>
    <col min="15" max="15" width="0" style="22" hidden="1" customWidth="1"/>
    <col min="16" max="16384" width="5.5703125" style="22" hidden="1"/>
  </cols>
  <sheetData>
    <row r="1" spans="1:14" ht="15" x14ac:dyDescent="0.25">
      <c r="A1" s="22"/>
      <c r="B1" s="22"/>
      <c r="C1" s="22"/>
      <c r="D1" s="22"/>
      <c r="E1" s="22"/>
    </row>
    <row r="2" spans="1:14" ht="15" x14ac:dyDescent="0.25">
      <c r="A2" s="22"/>
      <c r="B2" s="22"/>
      <c r="C2" s="22"/>
      <c r="D2" s="22"/>
      <c r="E2" s="22"/>
    </row>
    <row r="3" spans="1:14" ht="15" x14ac:dyDescent="0.25">
      <c r="A3" s="22"/>
      <c r="B3" s="22"/>
      <c r="C3" s="22"/>
      <c r="D3" s="22"/>
      <c r="E3" s="22"/>
    </row>
    <row r="4" spans="1:14" ht="15" x14ac:dyDescent="0.25">
      <c r="A4" s="22"/>
      <c r="B4" s="22"/>
      <c r="C4" s="22"/>
      <c r="D4" s="22"/>
      <c r="E4" s="22"/>
    </row>
    <row r="5" spans="1:14" ht="15" x14ac:dyDescent="0.25">
      <c r="A5" s="22"/>
      <c r="B5" s="22"/>
      <c r="C5" s="22"/>
      <c r="D5" s="22"/>
      <c r="E5" s="22"/>
    </row>
    <row r="6" spans="1:14" ht="15" x14ac:dyDescent="0.25">
      <c r="A6" s="22"/>
      <c r="B6" s="22"/>
      <c r="C6" s="22"/>
      <c r="D6" s="22"/>
      <c r="E6" s="22"/>
    </row>
    <row r="7" spans="1:14" ht="15" x14ac:dyDescent="0.25">
      <c r="A7" s="22"/>
      <c r="B7" s="22"/>
      <c r="C7" s="22"/>
      <c r="D7" s="22"/>
      <c r="E7" s="22"/>
    </row>
    <row r="8" spans="1:14" ht="23.25" x14ac:dyDescent="0.35">
      <c r="A8" s="264" t="s">
        <v>0</v>
      </c>
      <c r="B8" s="264"/>
      <c r="C8" s="264"/>
      <c r="D8" s="264"/>
      <c r="E8" s="264"/>
      <c r="F8" s="264"/>
      <c r="G8" s="264"/>
      <c r="H8" s="264"/>
      <c r="I8" s="264"/>
      <c r="J8" s="264"/>
      <c r="K8" s="264"/>
      <c r="L8" s="264"/>
      <c r="M8" s="264"/>
      <c r="N8" s="264"/>
    </row>
    <row r="9" spans="1:14" ht="15" x14ac:dyDescent="0.25">
      <c r="A9" s="22"/>
      <c r="B9" s="22"/>
      <c r="C9" s="22"/>
      <c r="D9" s="22"/>
      <c r="E9" s="22"/>
    </row>
    <row r="10" spans="1:14" ht="15" x14ac:dyDescent="0.25">
      <c r="A10" s="263" t="s">
        <v>1</v>
      </c>
      <c r="B10" s="263"/>
      <c r="C10" s="263"/>
      <c r="D10" s="22" t="s">
        <v>2</v>
      </c>
      <c r="E10" s="22"/>
    </row>
    <row r="11" spans="1:14" ht="15" x14ac:dyDescent="0.25">
      <c r="A11" s="263" t="s">
        <v>3</v>
      </c>
      <c r="B11" s="263"/>
      <c r="C11" s="263"/>
      <c r="D11" s="22" t="s">
        <v>4</v>
      </c>
      <c r="E11" s="22"/>
    </row>
    <row r="12" spans="1:14" ht="15" x14ac:dyDescent="0.25">
      <c r="A12" s="263" t="s">
        <v>5</v>
      </c>
      <c r="B12" s="263"/>
      <c r="C12" s="263"/>
      <c r="D12" s="22" t="s">
        <v>6</v>
      </c>
      <c r="E12" s="22"/>
    </row>
    <row r="13" spans="1:14" ht="15" x14ac:dyDescent="0.25">
      <c r="A13" s="52"/>
      <c r="B13" s="52"/>
      <c r="C13" s="52"/>
      <c r="D13" s="22"/>
      <c r="E13" s="22"/>
    </row>
    <row r="14" spans="1:14" ht="15" x14ac:dyDescent="0.25">
      <c r="A14" s="263" t="s">
        <v>7</v>
      </c>
      <c r="B14" s="263"/>
      <c r="C14" s="263"/>
      <c r="D14" s="22" t="str">
        <f>"01 de "&amp;TEXT(FECHA,"mmmm")&amp;" al "&amp;TEXT(FECHA,"dd")&amp;" de "&amp;TEXT(FECHA,"mmmm")&amp;" de "&amp;TEXT(FECHA,"yyyy")</f>
        <v>01 de julio al 31 de julio de 2025</v>
      </c>
      <c r="E14" s="22"/>
      <c r="M14" s="102">
        <v>45869</v>
      </c>
    </row>
    <row r="15" spans="1:14" ht="15" x14ac:dyDescent="0.25">
      <c r="A15" s="52"/>
      <c r="B15" s="52"/>
      <c r="C15" s="52"/>
      <c r="D15" s="22"/>
      <c r="E15" s="22"/>
    </row>
    <row r="16" spans="1:14" ht="15" x14ac:dyDescent="0.25">
      <c r="A16" s="263" t="s">
        <v>8</v>
      </c>
      <c r="B16" s="263"/>
      <c r="C16" s="263"/>
      <c r="D16" s="22"/>
      <c r="E16" s="22"/>
    </row>
    <row r="17" spans="1:14" ht="26.25" customHeight="1" x14ac:dyDescent="0.25">
      <c r="A17" s="261">
        <v>0</v>
      </c>
      <c r="B17" s="262"/>
      <c r="C17" s="262"/>
      <c r="D17" s="259" t="s">
        <v>9</v>
      </c>
      <c r="E17" s="259"/>
      <c r="F17" s="259"/>
      <c r="G17" s="259"/>
      <c r="H17" s="259"/>
      <c r="I17" s="259"/>
      <c r="J17" s="259"/>
      <c r="K17" s="259"/>
      <c r="L17" s="259"/>
      <c r="M17" s="259"/>
      <c r="N17" s="260"/>
    </row>
    <row r="18" spans="1:14" ht="26.25" customHeight="1" x14ac:dyDescent="0.25">
      <c r="A18" s="261">
        <v>1</v>
      </c>
      <c r="B18" s="262"/>
      <c r="C18" s="262"/>
      <c r="D18" s="259" t="s">
        <v>10</v>
      </c>
      <c r="E18" s="259"/>
      <c r="F18" s="259"/>
      <c r="G18" s="259"/>
      <c r="H18" s="259"/>
      <c r="I18" s="259"/>
      <c r="J18" s="259"/>
      <c r="K18" s="259"/>
      <c r="L18" s="259"/>
      <c r="M18" s="259"/>
      <c r="N18" s="260"/>
    </row>
    <row r="19" spans="1:14" ht="26.25" customHeight="1" x14ac:dyDescent="0.25">
      <c r="A19" s="261">
        <v>2</v>
      </c>
      <c r="B19" s="262"/>
      <c r="C19" s="262"/>
      <c r="D19" s="259" t="s">
        <v>11</v>
      </c>
      <c r="E19" s="259"/>
      <c r="F19" s="259"/>
      <c r="G19" s="259"/>
      <c r="H19" s="259"/>
      <c r="I19" s="259"/>
      <c r="J19" s="259"/>
      <c r="K19" s="259"/>
      <c r="L19" s="259"/>
      <c r="M19" s="259"/>
      <c r="N19" s="260"/>
    </row>
    <row r="20" spans="1:14" ht="26.25" customHeight="1" x14ac:dyDescent="0.25">
      <c r="A20" s="261">
        <v>3</v>
      </c>
      <c r="B20" s="262"/>
      <c r="C20" s="262"/>
      <c r="D20" s="259" t="s">
        <v>12</v>
      </c>
      <c r="E20" s="259"/>
      <c r="F20" s="259"/>
      <c r="G20" s="259"/>
      <c r="H20" s="259"/>
      <c r="I20" s="259"/>
      <c r="J20" s="259"/>
      <c r="K20" s="259"/>
      <c r="L20" s="259"/>
      <c r="M20" s="259"/>
      <c r="N20" s="260"/>
    </row>
    <row r="21" spans="1:14" ht="26.25" customHeight="1" x14ac:dyDescent="0.25">
      <c r="A21" s="261">
        <v>4</v>
      </c>
      <c r="B21" s="262"/>
      <c r="C21" s="262"/>
      <c r="D21" s="259" t="s">
        <v>13</v>
      </c>
      <c r="E21" s="259"/>
      <c r="F21" s="259"/>
      <c r="G21" s="259"/>
      <c r="H21" s="259"/>
      <c r="I21" s="259"/>
      <c r="J21" s="259"/>
      <c r="K21" s="259"/>
      <c r="L21" s="259"/>
      <c r="M21" s="259"/>
      <c r="N21" s="260"/>
    </row>
    <row r="22" spans="1:14" ht="26.25" customHeight="1" x14ac:dyDescent="0.25">
      <c r="A22" s="261">
        <v>5</v>
      </c>
      <c r="B22" s="262"/>
      <c r="C22" s="262"/>
      <c r="D22" s="259" t="s">
        <v>14</v>
      </c>
      <c r="E22" s="259"/>
      <c r="F22" s="259"/>
      <c r="G22" s="259"/>
      <c r="H22" s="259"/>
      <c r="I22" s="259"/>
      <c r="J22" s="259"/>
      <c r="K22" s="259"/>
      <c r="L22" s="259"/>
      <c r="M22" s="259"/>
      <c r="N22" s="260"/>
    </row>
    <row r="23" spans="1:14" ht="26.25" customHeight="1" x14ac:dyDescent="0.25">
      <c r="A23" s="261">
        <v>6</v>
      </c>
      <c r="B23" s="262"/>
      <c r="C23" s="262"/>
      <c r="D23" s="259" t="s">
        <v>15</v>
      </c>
      <c r="E23" s="259"/>
      <c r="F23" s="259"/>
      <c r="G23" s="259"/>
      <c r="H23" s="259"/>
      <c r="I23" s="259"/>
      <c r="J23" s="259"/>
      <c r="K23" s="259"/>
      <c r="L23" s="259"/>
      <c r="M23" s="259"/>
      <c r="N23" s="260"/>
    </row>
    <row r="24" spans="1:14" ht="26.25" customHeight="1" x14ac:dyDescent="0.25">
      <c r="A24" s="261">
        <v>7</v>
      </c>
      <c r="B24" s="262"/>
      <c r="C24" s="262"/>
      <c r="D24" s="259" t="s">
        <v>16</v>
      </c>
      <c r="E24" s="259"/>
      <c r="F24" s="259"/>
      <c r="G24" s="259"/>
      <c r="H24" s="259"/>
      <c r="I24" s="259"/>
      <c r="J24" s="259"/>
      <c r="K24" s="259"/>
      <c r="L24" s="259"/>
      <c r="M24" s="259"/>
      <c r="N24" s="260"/>
    </row>
    <row r="25" spans="1:14" ht="24" customHeight="1" x14ac:dyDescent="0.25"/>
  </sheetData>
  <sheetProtection algorithmName="SHA-512" hashValue="txvEB+0zy9qmJu8L4HGU0nUBHAkOH3e52/snen7j+4WOWJ0ulY/191/PLW0YPSDur+JiTOQUMGng7VNquW+83A==" saltValue="0e7rv0sS3NtxvLcZ9ikNKg==" spinCount="100000" sheet="1" objects="1" scenarios="1"/>
  <mergeCells count="22">
    <mergeCell ref="A17:C17"/>
    <mergeCell ref="A16:C16"/>
    <mergeCell ref="A8:N8"/>
    <mergeCell ref="A10:C10"/>
    <mergeCell ref="A12:C12"/>
    <mergeCell ref="A11:C11"/>
    <mergeCell ref="A14:C14"/>
    <mergeCell ref="D17:N17"/>
    <mergeCell ref="A24:C24"/>
    <mergeCell ref="A18:C18"/>
    <mergeCell ref="A19:C19"/>
    <mergeCell ref="A20:C20"/>
    <mergeCell ref="A21:C21"/>
    <mergeCell ref="A22:C22"/>
    <mergeCell ref="A23:C23"/>
    <mergeCell ref="D23:N23"/>
    <mergeCell ref="D24:N24"/>
    <mergeCell ref="D18:N18"/>
    <mergeCell ref="D19:N19"/>
    <mergeCell ref="D20:N20"/>
    <mergeCell ref="D21:N21"/>
    <mergeCell ref="D22:N22"/>
  </mergeCells>
  <hyperlinks>
    <hyperlink ref="D17" location="'FICHA TÉCNICA'!A1" display="Ficha Técnica Contrato" xr:uid="{F567E511-D648-4416-A8C9-82216CE31785}"/>
    <hyperlink ref="D17:N17" location="'0.Ficha Técnica'!A1" display="Ficha Técnica" xr:uid="{BC23E6B5-A3CF-4694-A696-4FD81907A767}"/>
    <hyperlink ref="D19" location="'SALDO POR CDP'!A1" display="Saldo por CDP" xr:uid="{5B1CD429-C006-40FA-AF25-57786E0D4335}"/>
    <hyperlink ref="D21" location="'CONTROL CONTRATOS'!A1" display="Control Resumen de Contratos" xr:uid="{3FA010F5-7B39-4EA1-9AE7-DC1D47820A5F}"/>
    <hyperlink ref="D22" location="'REMUNERACIÓN FINDETER'!A1" display="Remuneación Findeter" xr:uid="{0F3A50AC-8863-4492-AB87-507015459875}"/>
    <hyperlink ref="D20" location="DESEMBOLSOS!A1" display="Desembolsos" xr:uid="{919A3E99-8370-4600-BBA3-0E5B6FB5B43A}"/>
    <hyperlink ref="D23" location="'PAGOS REALIZADOS'!A1" display="Pagos realizados" xr:uid="{15E6BD3B-8B29-4D39-BF86-5F1FE5B73CBB}"/>
    <hyperlink ref="D18" location="'CONTROL DE SALDOS'!A1" display="Control de Saldos - Recursos Contrato " xr:uid="{53A80965-56D7-4E77-923E-99325E29443B}"/>
    <hyperlink ref="D18:N18" location="'1.Resumen Financiero Contrato'!A1" display="Resumen Financiero del Contrato" xr:uid="{225505D5-85A1-471B-99A4-305167B746CC}"/>
    <hyperlink ref="D19:N19" location="'2.Resumen Presupuestal'!A1" display="Resumen Presupuestal" xr:uid="{46CC295E-472A-49F0-BBBD-CAD69257EF2C}"/>
    <hyperlink ref="D20:N20" location="'3.Ingresos del Contrato'!A1" display="Ingresos del Contrato" xr:uid="{5463E7AE-EEC2-4692-92CB-B05F0020EEBC}"/>
    <hyperlink ref="D21:N21" location="'4.E.F. Contratación Derivada'!A1" display="Ejecución Financiero Contratación Derivada" xr:uid="{8874D027-2FD0-47B2-BAC4-8049BB3F89EE}"/>
    <hyperlink ref="D22:N22" location="'5.Pagos Asistencia Ténica'!A1" display="Pagos Asistencia Ténica" xr:uid="{4BF99CA8-55D2-4CC0-8142-68CD6D2FBC3A}"/>
    <hyperlink ref="D23:N23" location="'6.Reportes de Pagos'!A1" display="Reportes de Pagos" xr:uid="{BDBD6180-14D3-4626-B821-8CBD647BF9A9}"/>
    <hyperlink ref="D24" location="'RENDIMIENTOS FINANCIEROS '!A1" display="Rendimientos Financieros" xr:uid="{D561EBC0-E011-4D34-9912-2E428A7E1798}"/>
    <hyperlink ref="D24:N24" location="'7.Rendimientos Financieros'!A1" display="Rendimientos Financieros" xr:uid="{D788C475-B69F-424E-B14B-BF6B8BA34FF3}"/>
  </hyperlinks>
  <pageMargins left="0.70866141732283472" right="0.70866141732283472" top="0.74803149606299213" bottom="0.74803149606299213" header="0.31496062992125984" footer="0.31496062992125984"/>
  <pageSetup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L40"/>
  <sheetViews>
    <sheetView showGridLines="0" tabSelected="1" zoomScale="85" zoomScaleNormal="85" zoomScaleSheetLayoutView="85" workbookViewId="0">
      <selection activeCell="BL9" sqref="BL9"/>
    </sheetView>
  </sheetViews>
  <sheetFormatPr baseColWidth="10" defaultColWidth="11.42578125" defaultRowHeight="15" x14ac:dyDescent="0.25"/>
  <cols>
    <col min="1" max="1" width="7.42578125" style="22" customWidth="1"/>
    <col min="2" max="2" width="15.42578125" style="22" customWidth="1"/>
    <col min="3" max="3" width="36.85546875" style="22" customWidth="1"/>
    <col min="4" max="4" width="15.5703125" style="22" customWidth="1"/>
    <col min="5" max="5" width="12.5703125" style="22" customWidth="1"/>
    <col min="6" max="6" width="13" style="22" customWidth="1"/>
    <col min="7" max="8" width="11.5703125" style="22" customWidth="1"/>
    <col min="9" max="9" width="19" style="22" customWidth="1"/>
    <col min="10" max="10" width="13.42578125" style="22" customWidth="1"/>
    <col min="11" max="11" width="19" style="22" customWidth="1"/>
    <col min="12" max="12" width="16.85546875" style="22" customWidth="1"/>
    <col min="13" max="13" width="9.5703125" style="22" customWidth="1"/>
    <col min="14" max="14" width="16.5703125" style="22" customWidth="1"/>
    <col min="15" max="15" width="17.140625" style="22" bestFit="1" customWidth="1"/>
    <col min="16" max="16" width="10.42578125" style="22" customWidth="1"/>
    <col min="17" max="17" width="9.5703125" style="22" hidden="1" customWidth="1"/>
    <col min="18" max="19" width="16.5703125" style="22" hidden="1" customWidth="1"/>
    <col min="20" max="20" width="10.42578125" style="22" hidden="1" customWidth="1"/>
    <col min="21" max="21" width="11.42578125" style="22" hidden="1" customWidth="1"/>
    <col min="22" max="22" width="29.5703125" style="22" hidden="1" customWidth="1"/>
    <col min="23" max="25" width="11.42578125" style="22" hidden="1" customWidth="1"/>
    <col min="26" max="26" width="30.5703125" style="22" hidden="1" customWidth="1"/>
    <col min="27" max="28" width="13.42578125" style="22" hidden="1" customWidth="1"/>
    <col min="29" max="60" width="11.42578125" style="22" hidden="1" customWidth="1"/>
    <col min="61" max="61" width="17.140625" style="22" bestFit="1" customWidth="1"/>
    <col min="62" max="62" width="19.42578125" style="22" customWidth="1"/>
    <col min="63" max="63" width="13.42578125" style="22" customWidth="1"/>
    <col min="64" max="64" width="14.85546875" style="22" customWidth="1"/>
    <col min="65" max="16384" width="11.42578125" style="22"/>
  </cols>
  <sheetData>
    <row r="1" spans="1:64" ht="15.75" x14ac:dyDescent="0.25">
      <c r="A1" s="270" t="str">
        <f>CONTRATO</f>
        <v>Contrato Interadministrativo No. CO1.PCCNTR.5090635</v>
      </c>
      <c r="B1" s="270"/>
      <c r="C1" s="270"/>
      <c r="D1" s="270"/>
      <c r="E1" s="270"/>
      <c r="F1" s="270"/>
      <c r="G1" s="270"/>
      <c r="H1" s="270"/>
      <c r="I1" s="270"/>
      <c r="J1" s="270"/>
      <c r="K1" s="270"/>
      <c r="L1" s="270"/>
      <c r="M1" s="270"/>
      <c r="N1" s="270"/>
      <c r="O1" s="270"/>
      <c r="P1" s="270"/>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row>
    <row r="2" spans="1:64" ht="15.75" x14ac:dyDescent="0.25">
      <c r="A2" s="270" t="s">
        <v>6</v>
      </c>
      <c r="B2" s="270"/>
      <c r="C2" s="270"/>
      <c r="D2" s="270"/>
      <c r="E2" s="270"/>
      <c r="F2" s="270"/>
      <c r="G2" s="270"/>
      <c r="H2" s="270"/>
      <c r="I2" s="270"/>
      <c r="J2" s="270"/>
      <c r="K2" s="270"/>
      <c r="L2" s="270"/>
      <c r="M2" s="270"/>
      <c r="N2" s="270"/>
      <c r="O2" s="270"/>
      <c r="P2" s="270"/>
      <c r="Q2" s="104"/>
      <c r="R2" s="104"/>
      <c r="S2" s="104"/>
      <c r="T2" s="104"/>
      <c r="U2" s="104"/>
      <c r="V2" s="104"/>
      <c r="W2" s="104"/>
      <c r="X2" s="104"/>
      <c r="Y2" s="104"/>
      <c r="Z2" s="104"/>
      <c r="AA2" s="104"/>
      <c r="AB2" s="104"/>
      <c r="AC2" s="104"/>
      <c r="AD2" s="104"/>
      <c r="AE2" s="104"/>
      <c r="AF2" s="104"/>
      <c r="AG2" s="104"/>
      <c r="AH2" s="104"/>
      <c r="AI2" s="104"/>
      <c r="AJ2" s="104"/>
      <c r="AK2" s="104"/>
      <c r="AL2" s="104"/>
      <c r="AM2" s="104"/>
      <c r="AN2" s="104"/>
      <c r="AO2" s="104"/>
      <c r="AP2" s="104"/>
      <c r="AQ2" s="104"/>
      <c r="AR2" s="104"/>
      <c r="AS2" s="104"/>
      <c r="AT2" s="104"/>
      <c r="AU2" s="104"/>
      <c r="AV2" s="104"/>
      <c r="AW2" s="104"/>
      <c r="AX2" s="104"/>
      <c r="AY2" s="104"/>
      <c r="AZ2" s="104"/>
      <c r="BA2" s="104"/>
      <c r="BB2" s="104"/>
      <c r="BC2" s="104"/>
      <c r="BD2" s="104"/>
      <c r="BE2" s="104"/>
      <c r="BF2" s="104"/>
      <c r="BG2" s="104"/>
      <c r="BH2" s="104"/>
      <c r="BI2" s="104"/>
      <c r="BJ2" s="104"/>
      <c r="BK2" s="104"/>
      <c r="BL2" s="104"/>
    </row>
    <row r="3" spans="1:64" ht="15.75" x14ac:dyDescent="0.25">
      <c r="A3" s="270" t="s">
        <v>17</v>
      </c>
      <c r="B3" s="270"/>
      <c r="C3" s="270"/>
      <c r="D3" s="270"/>
      <c r="E3" s="270"/>
      <c r="F3" s="270"/>
      <c r="G3" s="270"/>
      <c r="H3" s="270"/>
      <c r="I3" s="270"/>
      <c r="J3" s="270"/>
      <c r="K3" s="270"/>
      <c r="L3" s="270"/>
      <c r="M3" s="270"/>
      <c r="N3" s="270"/>
      <c r="O3" s="270"/>
      <c r="P3" s="270"/>
      <c r="Q3" s="104"/>
      <c r="R3" s="104"/>
      <c r="S3" s="104"/>
      <c r="T3" s="104"/>
      <c r="U3" s="104"/>
      <c r="V3" s="104"/>
      <c r="W3" s="104"/>
      <c r="X3" s="104"/>
      <c r="Y3" s="104"/>
      <c r="Z3" s="104"/>
      <c r="AA3" s="104"/>
      <c r="AB3" s="104"/>
      <c r="AC3" s="104"/>
      <c r="AD3" s="104"/>
      <c r="AE3" s="104"/>
      <c r="AF3" s="104"/>
      <c r="AG3" s="104"/>
      <c r="AH3" s="104"/>
      <c r="AI3" s="104"/>
      <c r="AJ3" s="104"/>
      <c r="AK3" s="104"/>
      <c r="AL3" s="104"/>
      <c r="AM3" s="104"/>
      <c r="AN3" s="104"/>
      <c r="AO3" s="104"/>
      <c r="AP3" s="104"/>
      <c r="AQ3" s="104"/>
      <c r="AR3" s="104"/>
      <c r="AS3" s="104"/>
      <c r="AT3" s="104"/>
      <c r="AU3" s="104"/>
      <c r="AV3" s="104"/>
      <c r="AW3" s="104"/>
      <c r="AX3" s="104"/>
      <c r="AY3" s="104"/>
      <c r="AZ3" s="104"/>
      <c r="BA3" s="104"/>
      <c r="BB3" s="104"/>
      <c r="BC3" s="104"/>
      <c r="BD3" s="104"/>
      <c r="BE3" s="104"/>
      <c r="BF3" s="104"/>
      <c r="BG3" s="104"/>
      <c r="BH3" s="104"/>
      <c r="BI3" s="104"/>
      <c r="BJ3" s="104"/>
      <c r="BK3" s="104"/>
      <c r="BL3" s="104"/>
    </row>
    <row r="4" spans="1:64" ht="18.75" x14ac:dyDescent="0.3">
      <c r="A4" s="271" t="s">
        <v>18</v>
      </c>
      <c r="B4" s="271"/>
      <c r="C4" s="271"/>
      <c r="D4" s="271"/>
      <c r="E4" s="271"/>
      <c r="F4" s="271"/>
      <c r="G4" s="271"/>
      <c r="H4" s="271"/>
      <c r="I4" s="271"/>
      <c r="J4" s="271"/>
      <c r="K4" s="271"/>
      <c r="L4" s="271"/>
      <c r="M4" s="271"/>
      <c r="N4" s="271"/>
      <c r="O4" s="271"/>
      <c r="P4" s="271"/>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row>
    <row r="5" spans="1:64" ht="18.75" x14ac:dyDescent="0.3">
      <c r="A5" s="149"/>
      <c r="B5" s="149"/>
      <c r="C5"/>
      <c r="D5" s="149"/>
      <c r="E5" s="149"/>
      <c r="F5" s="149"/>
      <c r="G5" s="149"/>
      <c r="H5" s="149"/>
      <c r="I5" s="149"/>
      <c r="J5" s="149"/>
      <c r="K5" s="149"/>
      <c r="L5" s="149"/>
      <c r="M5" s="149"/>
      <c r="N5" s="149"/>
      <c r="O5" s="149"/>
      <c r="P5" s="149"/>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c r="AX5" s="53"/>
      <c r="AY5" s="53"/>
      <c r="AZ5" s="53"/>
      <c r="BA5" s="53"/>
      <c r="BB5" s="53"/>
      <c r="BC5" s="53"/>
      <c r="BD5" s="53"/>
      <c r="BE5" s="53"/>
      <c r="BF5" s="53"/>
      <c r="BG5" s="53"/>
      <c r="BH5" s="53"/>
      <c r="BI5" s="53"/>
      <c r="BJ5" s="53"/>
      <c r="BK5" s="53"/>
      <c r="BL5" s="53"/>
    </row>
    <row r="7" spans="1:64" s="86" customFormat="1" ht="30" x14ac:dyDescent="0.25">
      <c r="A7" s="265" t="s">
        <v>19</v>
      </c>
      <c r="B7" s="265" t="s">
        <v>20</v>
      </c>
      <c r="C7" s="265" t="s">
        <v>21</v>
      </c>
      <c r="D7" s="265" t="s">
        <v>22</v>
      </c>
      <c r="E7" s="265" t="s">
        <v>23</v>
      </c>
      <c r="F7" s="265" t="s">
        <v>24</v>
      </c>
      <c r="G7" s="265" t="s">
        <v>25</v>
      </c>
      <c r="H7" s="265" t="s">
        <v>26</v>
      </c>
      <c r="I7" s="265" t="s">
        <v>27</v>
      </c>
      <c r="J7" s="265" t="s">
        <v>28</v>
      </c>
      <c r="K7" s="265" t="s">
        <v>29</v>
      </c>
      <c r="L7" s="265" t="s">
        <v>30</v>
      </c>
      <c r="M7" s="267" t="s">
        <v>31</v>
      </c>
      <c r="N7" s="268"/>
      <c r="O7" s="268"/>
      <c r="P7" s="269"/>
      <c r="Q7" s="267" t="s">
        <v>32</v>
      </c>
      <c r="R7" s="268"/>
      <c r="S7" s="268"/>
      <c r="T7" s="269"/>
      <c r="U7" s="267" t="s">
        <v>33</v>
      </c>
      <c r="V7" s="268"/>
      <c r="W7" s="268"/>
      <c r="X7" s="269"/>
      <c r="Y7" s="267" t="s">
        <v>34</v>
      </c>
      <c r="Z7" s="268"/>
      <c r="AA7" s="268"/>
      <c r="AB7" s="269"/>
      <c r="AC7" s="267" t="s">
        <v>35</v>
      </c>
      <c r="AD7" s="268"/>
      <c r="AE7" s="268"/>
      <c r="AF7" s="269"/>
      <c r="AG7" s="131" t="s">
        <v>36</v>
      </c>
      <c r="AH7" s="131"/>
      <c r="AI7" s="131"/>
      <c r="AJ7" s="131"/>
      <c r="AK7" s="131" t="s">
        <v>37</v>
      </c>
      <c r="AL7" s="131"/>
      <c r="AM7" s="131"/>
      <c r="AN7" s="131"/>
      <c r="AO7" s="131" t="s">
        <v>38</v>
      </c>
      <c r="AP7" s="131"/>
      <c r="AQ7" s="131"/>
      <c r="AR7" s="131"/>
      <c r="AS7" s="131" t="s">
        <v>39</v>
      </c>
      <c r="AT7" s="131"/>
      <c r="AU7" s="131"/>
      <c r="AV7" s="131"/>
      <c r="AW7" s="131" t="s">
        <v>40</v>
      </c>
      <c r="AX7" s="131"/>
      <c r="AY7" s="131"/>
      <c r="AZ7" s="131"/>
      <c r="BA7" s="131" t="s">
        <v>41</v>
      </c>
      <c r="BB7" s="131"/>
      <c r="BC7" s="131"/>
      <c r="BD7" s="131"/>
      <c r="BE7" s="131" t="s">
        <v>42</v>
      </c>
      <c r="BF7" s="131"/>
      <c r="BG7" s="131"/>
      <c r="BH7" s="131"/>
      <c r="BI7" s="265" t="s">
        <v>43</v>
      </c>
      <c r="BJ7" s="265" t="s">
        <v>44</v>
      </c>
      <c r="BK7" s="265" t="s">
        <v>45</v>
      </c>
      <c r="BL7" s="265" t="s">
        <v>46</v>
      </c>
    </row>
    <row r="8" spans="1:64" s="86" customFormat="1" ht="72" customHeight="1" x14ac:dyDescent="0.25">
      <c r="A8" s="266"/>
      <c r="B8" s="266"/>
      <c r="C8" s="266"/>
      <c r="D8" s="266"/>
      <c r="E8" s="266"/>
      <c r="F8" s="266"/>
      <c r="G8" s="266"/>
      <c r="H8" s="266"/>
      <c r="I8" s="266"/>
      <c r="J8" s="266"/>
      <c r="K8" s="266"/>
      <c r="L8" s="266"/>
      <c r="M8" s="131" t="s">
        <v>47</v>
      </c>
      <c r="N8" s="131" t="s">
        <v>48</v>
      </c>
      <c r="O8" s="131" t="s">
        <v>49</v>
      </c>
      <c r="P8" s="131" t="s">
        <v>50</v>
      </c>
      <c r="Q8" s="131" t="s">
        <v>47</v>
      </c>
      <c r="R8" s="131" t="s">
        <v>48</v>
      </c>
      <c r="S8" s="131" t="s">
        <v>49</v>
      </c>
      <c r="T8" s="131" t="s">
        <v>50</v>
      </c>
      <c r="U8" s="131" t="s">
        <v>47</v>
      </c>
      <c r="V8" s="131" t="s">
        <v>48</v>
      </c>
      <c r="W8" s="131" t="s">
        <v>49</v>
      </c>
      <c r="X8" s="131" t="s">
        <v>50</v>
      </c>
      <c r="Y8" s="131" t="s">
        <v>47</v>
      </c>
      <c r="Z8" s="131" t="s">
        <v>48</v>
      </c>
      <c r="AA8" s="131" t="s">
        <v>49</v>
      </c>
      <c r="AB8" s="131" t="s">
        <v>50</v>
      </c>
      <c r="AC8" s="131" t="s">
        <v>47</v>
      </c>
      <c r="AD8" s="131" t="s">
        <v>48</v>
      </c>
      <c r="AE8" s="131" t="s">
        <v>49</v>
      </c>
      <c r="AF8" s="131" t="s">
        <v>50</v>
      </c>
      <c r="AG8" s="131" t="s">
        <v>47</v>
      </c>
      <c r="AH8" s="131" t="s">
        <v>48</v>
      </c>
      <c r="AI8" s="131" t="s">
        <v>49</v>
      </c>
      <c r="AJ8" s="131" t="s">
        <v>50</v>
      </c>
      <c r="AK8" s="131" t="s">
        <v>47</v>
      </c>
      <c r="AL8" s="131" t="s">
        <v>48</v>
      </c>
      <c r="AM8" s="131" t="s">
        <v>49</v>
      </c>
      <c r="AN8" s="131" t="s">
        <v>50</v>
      </c>
      <c r="AO8" s="131" t="s">
        <v>47</v>
      </c>
      <c r="AP8" s="131" t="s">
        <v>48</v>
      </c>
      <c r="AQ8" s="131" t="s">
        <v>49</v>
      </c>
      <c r="AR8" s="131" t="s">
        <v>50</v>
      </c>
      <c r="AS8" s="131" t="s">
        <v>47</v>
      </c>
      <c r="AT8" s="131" t="s">
        <v>48</v>
      </c>
      <c r="AU8" s="131" t="s">
        <v>49</v>
      </c>
      <c r="AV8" s="131" t="s">
        <v>50</v>
      </c>
      <c r="AW8" s="131" t="s">
        <v>47</v>
      </c>
      <c r="AX8" s="131" t="s">
        <v>48</v>
      </c>
      <c r="AY8" s="131" t="s">
        <v>49</v>
      </c>
      <c r="AZ8" s="131" t="s">
        <v>50</v>
      </c>
      <c r="BA8" s="131" t="s">
        <v>47</v>
      </c>
      <c r="BB8" s="131" t="s">
        <v>48</v>
      </c>
      <c r="BC8" s="131" t="s">
        <v>49</v>
      </c>
      <c r="BD8" s="131" t="s">
        <v>50</v>
      </c>
      <c r="BE8" s="131" t="s">
        <v>47</v>
      </c>
      <c r="BF8" s="131" t="s">
        <v>48</v>
      </c>
      <c r="BG8" s="131" t="s">
        <v>49</v>
      </c>
      <c r="BH8" s="131" t="s">
        <v>50</v>
      </c>
      <c r="BI8" s="266"/>
      <c r="BJ8" s="266"/>
      <c r="BK8" s="266"/>
      <c r="BL8" s="266"/>
    </row>
    <row r="9" spans="1:64" s="96" customFormat="1" ht="252" customHeight="1" x14ac:dyDescent="0.25">
      <c r="A9" s="87">
        <v>1</v>
      </c>
      <c r="B9" s="88" t="s">
        <v>51</v>
      </c>
      <c r="C9" s="89" t="s">
        <v>52</v>
      </c>
      <c r="D9" s="90" t="s">
        <v>53</v>
      </c>
      <c r="E9" s="90" t="s">
        <v>54</v>
      </c>
      <c r="F9" s="90" t="s">
        <v>55</v>
      </c>
      <c r="G9" s="90" t="s">
        <v>56</v>
      </c>
      <c r="H9" s="91">
        <v>45097</v>
      </c>
      <c r="I9" s="94">
        <v>294145282376</v>
      </c>
      <c r="J9" s="91">
        <f>EDATE(H9,18)</f>
        <v>45646</v>
      </c>
      <c r="K9" s="92" t="s">
        <v>57</v>
      </c>
      <c r="L9" s="92" t="s">
        <v>58</v>
      </c>
      <c r="M9" s="91">
        <v>45637</v>
      </c>
      <c r="N9" s="90" t="s">
        <v>821</v>
      </c>
      <c r="O9" s="94">
        <v>99930804343</v>
      </c>
      <c r="P9" s="91">
        <v>46171</v>
      </c>
      <c r="Q9" s="91"/>
      <c r="R9" s="90"/>
      <c r="S9" s="94"/>
      <c r="T9" s="91"/>
      <c r="U9" s="91"/>
      <c r="V9" s="90"/>
      <c r="W9" s="94"/>
      <c r="X9" s="91"/>
      <c r="Y9" s="91"/>
      <c r="Z9" s="93"/>
      <c r="AA9" s="94"/>
      <c r="AB9" s="91"/>
      <c r="AC9" s="95" t="s">
        <v>59</v>
      </c>
      <c r="AD9" s="93" t="s">
        <v>59</v>
      </c>
      <c r="AE9" s="94">
        <v>0</v>
      </c>
      <c r="AF9" s="91" t="s">
        <v>59</v>
      </c>
      <c r="AG9" s="95" t="s">
        <v>59</v>
      </c>
      <c r="AH9" s="93" t="s">
        <v>59</v>
      </c>
      <c r="AI9" s="94">
        <v>0</v>
      </c>
      <c r="AJ9" s="91" t="s">
        <v>59</v>
      </c>
      <c r="AK9" s="95" t="s">
        <v>59</v>
      </c>
      <c r="AL9" s="93" t="s">
        <v>59</v>
      </c>
      <c r="AM9" s="94">
        <v>0</v>
      </c>
      <c r="AN9" s="91" t="s">
        <v>59</v>
      </c>
      <c r="AO9" s="95" t="s">
        <v>59</v>
      </c>
      <c r="AP9" s="93" t="s">
        <v>59</v>
      </c>
      <c r="AQ9" s="94">
        <v>0</v>
      </c>
      <c r="AR9" s="91" t="s">
        <v>59</v>
      </c>
      <c r="AS9" s="95" t="s">
        <v>59</v>
      </c>
      <c r="AT9" s="93" t="s">
        <v>59</v>
      </c>
      <c r="AU9" s="94">
        <v>0</v>
      </c>
      <c r="AV9" s="91" t="s">
        <v>59</v>
      </c>
      <c r="AW9" s="95" t="s">
        <v>59</v>
      </c>
      <c r="AX9" s="94">
        <v>0</v>
      </c>
      <c r="AY9" s="94">
        <v>0</v>
      </c>
      <c r="AZ9" s="91" t="s">
        <v>59</v>
      </c>
      <c r="BA9" s="95" t="s">
        <v>59</v>
      </c>
      <c r="BB9" s="93" t="s">
        <v>59</v>
      </c>
      <c r="BC9" s="94">
        <v>0</v>
      </c>
      <c r="BD9" s="91" t="s">
        <v>59</v>
      </c>
      <c r="BE9" s="95" t="s">
        <v>59</v>
      </c>
      <c r="BF9" s="93" t="s">
        <v>59</v>
      </c>
      <c r="BG9" s="94">
        <v>0</v>
      </c>
      <c r="BH9" s="91" t="s">
        <v>59</v>
      </c>
      <c r="BI9" s="94">
        <f>+S9+W9+AA9+O9</f>
        <v>99930804343</v>
      </c>
      <c r="BJ9" s="94">
        <f>+I9+BI9</f>
        <v>394076086719</v>
      </c>
      <c r="BK9" s="91">
        <f>+P9</f>
        <v>46171</v>
      </c>
      <c r="BL9" s="91" t="s">
        <v>60</v>
      </c>
    </row>
    <row r="11" spans="1:64" x14ac:dyDescent="0.25">
      <c r="O11" s="97"/>
    </row>
    <row r="14" spans="1:64" x14ac:dyDescent="0.25">
      <c r="B14" s="103"/>
    </row>
    <row r="15" spans="1:64" x14ac:dyDescent="0.25">
      <c r="B15" s="103"/>
    </row>
    <row r="16" spans="1:64" x14ac:dyDescent="0.25">
      <c r="B16" s="103"/>
      <c r="E16" s="148"/>
    </row>
    <row r="17" spans="2:2" x14ac:dyDescent="0.25">
      <c r="B17" s="103"/>
    </row>
    <row r="18" spans="2:2" x14ac:dyDescent="0.25">
      <c r="B18" s="103"/>
    </row>
    <row r="19" spans="2:2" x14ac:dyDescent="0.25">
      <c r="B19" s="103"/>
    </row>
    <row r="20" spans="2:2" x14ac:dyDescent="0.25">
      <c r="B20" s="103"/>
    </row>
    <row r="21" spans="2:2" x14ac:dyDescent="0.25">
      <c r="B21" s="103"/>
    </row>
    <row r="22" spans="2:2" x14ac:dyDescent="0.25">
      <c r="B22" s="103"/>
    </row>
    <row r="23" spans="2:2" x14ac:dyDescent="0.25">
      <c r="B23" s="103"/>
    </row>
    <row r="24" spans="2:2" x14ac:dyDescent="0.25">
      <c r="B24" s="103"/>
    </row>
    <row r="25" spans="2:2" x14ac:dyDescent="0.25">
      <c r="B25" s="103"/>
    </row>
    <row r="26" spans="2:2" x14ac:dyDescent="0.25">
      <c r="B26" s="103"/>
    </row>
    <row r="27" spans="2:2" x14ac:dyDescent="0.25">
      <c r="B27" s="103"/>
    </row>
    <row r="28" spans="2:2" x14ac:dyDescent="0.25">
      <c r="B28" s="103"/>
    </row>
    <row r="29" spans="2:2" x14ac:dyDescent="0.25">
      <c r="B29" s="103"/>
    </row>
    <row r="30" spans="2:2" x14ac:dyDescent="0.25">
      <c r="B30" s="103"/>
    </row>
    <row r="31" spans="2:2" x14ac:dyDescent="0.25">
      <c r="B31" s="103"/>
    </row>
    <row r="32" spans="2:2" x14ac:dyDescent="0.25">
      <c r="B32" s="103"/>
    </row>
    <row r="33" spans="2:2" x14ac:dyDescent="0.25">
      <c r="B33" s="103"/>
    </row>
    <row r="34" spans="2:2" x14ac:dyDescent="0.25">
      <c r="B34" s="103"/>
    </row>
    <row r="35" spans="2:2" x14ac:dyDescent="0.25">
      <c r="B35" s="103"/>
    </row>
    <row r="36" spans="2:2" x14ac:dyDescent="0.25">
      <c r="B36" s="103"/>
    </row>
    <row r="37" spans="2:2" x14ac:dyDescent="0.25">
      <c r="B37" s="103"/>
    </row>
    <row r="38" spans="2:2" x14ac:dyDescent="0.25">
      <c r="B38" s="103"/>
    </row>
    <row r="39" spans="2:2" x14ac:dyDescent="0.25">
      <c r="B39" s="103"/>
    </row>
    <row r="40" spans="2:2" x14ac:dyDescent="0.25">
      <c r="B40" s="103"/>
    </row>
  </sheetData>
  <sheetProtection algorithmName="SHA-512" hashValue="8mskWs93uknHlU8RF7xv/ZD4G/DM3whtPYBPSKHb06gSxsSxlUtjfQ/pxkJhOiwWuLfQsSuF7pV/LieMOq2AnQ==" saltValue="U2lXscJpnUtXXJO6tpeO2A==" spinCount="100000" sheet="1" objects="1" scenarios="1"/>
  <mergeCells count="25">
    <mergeCell ref="A1:P1"/>
    <mergeCell ref="A2:P2"/>
    <mergeCell ref="A3:P3"/>
    <mergeCell ref="A4:P4"/>
    <mergeCell ref="BL7:BL8"/>
    <mergeCell ref="J7:J8"/>
    <mergeCell ref="K7:K8"/>
    <mergeCell ref="L7:L8"/>
    <mergeCell ref="A7:A8"/>
    <mergeCell ref="B7:B8"/>
    <mergeCell ref="C7:C8"/>
    <mergeCell ref="BK7:BK8"/>
    <mergeCell ref="D7:D8"/>
    <mergeCell ref="E7:E8"/>
    <mergeCell ref="Q7:T7"/>
    <mergeCell ref="BI7:BI8"/>
    <mergeCell ref="BJ7:BJ8"/>
    <mergeCell ref="U7:X7"/>
    <mergeCell ref="Y7:AB7"/>
    <mergeCell ref="F7:F8"/>
    <mergeCell ref="M7:P7"/>
    <mergeCell ref="G7:G8"/>
    <mergeCell ref="H7:H8"/>
    <mergeCell ref="I7:I8"/>
    <mergeCell ref="AC7:AF7"/>
  </mergeCells>
  <pageMargins left="0.70866141732283472" right="0.70866141732283472" top="0.74803149606299213" bottom="0.74803149606299213" header="0.31496062992125984" footer="0.31496062992125984"/>
  <pageSetup scale="28" fitToWidth="2"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55"/>
  <sheetViews>
    <sheetView showGridLines="0" view="pageBreakPreview" topLeftCell="J1" zoomScale="85" zoomScaleNormal="85" zoomScaleSheetLayoutView="85" workbookViewId="0">
      <selection activeCell="S41" sqref="S41"/>
    </sheetView>
  </sheetViews>
  <sheetFormatPr baseColWidth="10" defaultColWidth="11.42578125" defaultRowHeight="15" outlineLevelRow="1" x14ac:dyDescent="0.25"/>
  <cols>
    <col min="2" max="2" width="22" customWidth="1"/>
    <col min="3" max="4" width="18.5703125" customWidth="1"/>
    <col min="5" max="5" width="19.42578125" bestFit="1" customWidth="1"/>
    <col min="6" max="6" width="28.42578125" bestFit="1" customWidth="1"/>
    <col min="7" max="7" width="18.5703125" customWidth="1"/>
    <col min="8" max="8" width="19.42578125" bestFit="1" customWidth="1"/>
    <col min="9" max="9" width="18.5703125" customWidth="1"/>
    <col min="10" max="10" width="21.42578125" customWidth="1"/>
    <col min="11" max="11" width="21.42578125" bestFit="1" customWidth="1"/>
    <col min="12" max="12" width="21.140625" bestFit="1" customWidth="1"/>
    <col min="13" max="13" width="23.5703125" bestFit="1" customWidth="1"/>
    <col min="14" max="14" width="21.5703125" bestFit="1" customWidth="1"/>
    <col min="15" max="15" width="20.140625" bestFit="1" customWidth="1"/>
    <col min="16" max="16" width="13.140625" bestFit="1" customWidth="1"/>
  </cols>
  <sheetData>
    <row r="1" spans="1:16" ht="15.75" x14ac:dyDescent="0.25">
      <c r="A1" s="274" t="str">
        <f>CONTRATO</f>
        <v>Contrato Interadministrativo No. CO1.PCCNTR.5090635</v>
      </c>
      <c r="B1" s="274"/>
      <c r="C1" s="274"/>
      <c r="D1" s="274"/>
      <c r="E1" s="274"/>
      <c r="F1" s="274"/>
      <c r="G1" s="274"/>
      <c r="H1" s="274"/>
      <c r="I1" s="274"/>
      <c r="J1" s="274"/>
      <c r="K1" s="274"/>
      <c r="L1" s="274"/>
      <c r="M1" s="274"/>
      <c r="N1" s="274"/>
    </row>
    <row r="2" spans="1:16" ht="15.75" x14ac:dyDescent="0.25">
      <c r="A2" s="274" t="s">
        <v>6</v>
      </c>
      <c r="B2" s="274"/>
      <c r="C2" s="274"/>
      <c r="D2" s="274"/>
      <c r="E2" s="274"/>
      <c r="F2" s="274"/>
      <c r="G2" s="274"/>
      <c r="H2" s="274"/>
      <c r="I2" s="274"/>
      <c r="J2" s="274"/>
      <c r="K2" s="274"/>
      <c r="L2" s="274"/>
      <c r="M2" s="274"/>
      <c r="N2" s="274"/>
    </row>
    <row r="3" spans="1:16" ht="15.75" x14ac:dyDescent="0.25">
      <c r="A3" s="274" t="s">
        <v>17</v>
      </c>
      <c r="B3" s="274"/>
      <c r="C3" s="274"/>
      <c r="D3" s="274"/>
      <c r="E3" s="274"/>
      <c r="F3" s="274"/>
      <c r="G3" s="274"/>
      <c r="H3" s="274"/>
      <c r="I3" s="274"/>
      <c r="J3" s="274"/>
      <c r="K3" s="274"/>
      <c r="L3" s="274"/>
      <c r="M3" s="274"/>
      <c r="N3" s="274"/>
    </row>
    <row r="4" spans="1:16" ht="18.75" x14ac:dyDescent="0.3">
      <c r="A4" s="271" t="s">
        <v>61</v>
      </c>
      <c r="B4" s="271"/>
      <c r="C4" s="271"/>
      <c r="D4" s="271"/>
      <c r="E4" s="271"/>
      <c r="F4" s="271"/>
      <c r="G4" s="271"/>
      <c r="H4" s="271"/>
      <c r="I4" s="271"/>
      <c r="J4" s="271"/>
      <c r="K4" s="271"/>
      <c r="L4" s="271"/>
      <c r="M4" s="271"/>
      <c r="N4" s="271"/>
    </row>
    <row r="5" spans="1:16" ht="15.75" x14ac:dyDescent="0.25">
      <c r="A5" s="274" t="str">
        <f>periodo</f>
        <v>01 de julio al 31 de julio de 2025</v>
      </c>
      <c r="B5" s="274"/>
      <c r="C5" s="274"/>
      <c r="D5" s="274"/>
      <c r="E5" s="274"/>
      <c r="F5" s="274"/>
      <c r="G5" s="274"/>
      <c r="H5" s="274"/>
      <c r="I5" s="274"/>
      <c r="J5" s="274"/>
      <c r="K5" s="274"/>
      <c r="L5" s="274"/>
      <c r="M5" s="274"/>
      <c r="N5" s="274"/>
    </row>
    <row r="6" spans="1:16" x14ac:dyDescent="0.25">
      <c r="B6" s="2"/>
      <c r="E6" s="20"/>
      <c r="H6" s="3"/>
      <c r="K6" s="2"/>
      <c r="M6" s="21"/>
    </row>
    <row r="7" spans="1:16" ht="46.5" customHeight="1" x14ac:dyDescent="0.25">
      <c r="A7" s="275" t="s">
        <v>62</v>
      </c>
      <c r="B7" s="275" t="s">
        <v>63</v>
      </c>
      <c r="C7" s="275" t="s">
        <v>64</v>
      </c>
      <c r="D7" s="275"/>
      <c r="E7" s="275"/>
      <c r="F7" s="275" t="s">
        <v>65</v>
      </c>
      <c r="G7" s="275"/>
      <c r="H7" s="275"/>
      <c r="I7" s="275" t="s">
        <v>66</v>
      </c>
      <c r="J7" s="275"/>
      <c r="K7" s="275"/>
      <c r="L7" s="275"/>
      <c r="M7" s="275" t="s">
        <v>938</v>
      </c>
      <c r="N7" s="275" t="s">
        <v>67</v>
      </c>
      <c r="O7" s="275" t="s">
        <v>68</v>
      </c>
    </row>
    <row r="8" spans="1:16" ht="88.5" customHeight="1" x14ac:dyDescent="0.25">
      <c r="A8" s="275"/>
      <c r="B8" s="275"/>
      <c r="C8" s="141" t="s">
        <v>69</v>
      </c>
      <c r="D8" s="141" t="s">
        <v>70</v>
      </c>
      <c r="E8" s="141" t="s">
        <v>71</v>
      </c>
      <c r="F8" s="141" t="s">
        <v>72</v>
      </c>
      <c r="G8" s="141" t="s">
        <v>73</v>
      </c>
      <c r="H8" s="141" t="s">
        <v>74</v>
      </c>
      <c r="I8" s="141" t="s">
        <v>75</v>
      </c>
      <c r="J8" s="141" t="s">
        <v>76</v>
      </c>
      <c r="K8" s="141" t="s">
        <v>77</v>
      </c>
      <c r="L8" s="141" t="s">
        <v>78</v>
      </c>
      <c r="M8" s="275"/>
      <c r="N8" s="275"/>
      <c r="O8" s="275"/>
    </row>
    <row r="9" spans="1:16" s="50" customFormat="1" ht="36" hidden="1" customHeight="1" outlineLevel="1" x14ac:dyDescent="0.25">
      <c r="A9" s="85">
        <v>45107</v>
      </c>
      <c r="B9" s="75" t="s">
        <v>51</v>
      </c>
      <c r="C9" s="80">
        <f>SUMIFS('3.Ingresos del Contrato'!J:J,'3.Ingresos del Contrato'!H:H,"&lt;="&amp;(EOMONTH($A9,-1)))</f>
        <v>0</v>
      </c>
      <c r="D9" s="77">
        <f>SUMIFS('3.Ingresos del Contrato'!J:J,'3.Ingresos del Contrato'!H:H,"&gt;"&amp;(EOMONTH($A9,-1)),'3.Ingresos del Contrato'!H:H,"&lt;="&amp;(EOMONTH($A9,0)))</f>
        <v>0</v>
      </c>
      <c r="E9" s="82">
        <f t="shared" ref="E9" si="0">SUM(C9:D9)</f>
        <v>0</v>
      </c>
      <c r="F9" s="77">
        <f>SUMIFS('6.Reportes de Pagos'!N:N,'6.Reportes de Pagos'!H:H,"&lt;="&amp;(EOMONTH($A9,-1)))</f>
        <v>0</v>
      </c>
      <c r="G9" s="77">
        <f>SUMIFS('6.Reportes de Pagos'!N:N,'6.Reportes de Pagos'!H:H,"&gt;"&amp;(EOMONTH($A9,-1)),'6.Reportes de Pagos'!H:H,"&lt;="&amp;(EOMONTH($A9,0)))</f>
        <v>0</v>
      </c>
      <c r="H9" s="82">
        <f t="shared" ref="H9" si="1">SUM(F9:G9)</f>
        <v>0</v>
      </c>
      <c r="I9" s="81">
        <f>SUMIFS('7.Rendimientos Financieros'!D:D,'7.Rendimientos Financieros'!A:A,"&lt;="&amp;(EOMONTH($A9,-1)))</f>
        <v>0</v>
      </c>
      <c r="J9" s="81">
        <f>SUMIFS('7.Rendimientos Financieros'!D:D,'7.Rendimientos Financieros'!A:A,"&gt;"&amp;(EOMONTH($A9,-1)),'7.Rendimientos Financieros'!A:A,"&lt;="&amp;(EOMONTH($A9,0)))</f>
        <v>0</v>
      </c>
      <c r="K9" s="81">
        <f>SUMIFS('7.Rendimientos Financieros'!F:F,'7.Rendimientos Financieros'!E:E,"&lt;="&amp;(EOMONTH($A9,0)))</f>
        <v>0</v>
      </c>
      <c r="L9" s="99">
        <f t="shared" ref="L9" si="2">SUM(I9:J9)-SUM(K9)</f>
        <v>0</v>
      </c>
      <c r="M9" s="142">
        <f t="shared" ref="M9" si="3">+E9-H9+L9</f>
        <v>0</v>
      </c>
      <c r="N9" s="99">
        <v>0</v>
      </c>
      <c r="O9" s="99">
        <f t="shared" ref="O9" si="4">+N9-M9</f>
        <v>0</v>
      </c>
      <c r="P9" s="79"/>
    </row>
    <row r="10" spans="1:16" s="50" customFormat="1" ht="36" hidden="1" customHeight="1" outlineLevel="1" x14ac:dyDescent="0.25">
      <c r="A10" s="85">
        <v>45138</v>
      </c>
      <c r="B10" s="75" t="s">
        <v>51</v>
      </c>
      <c r="C10" s="80">
        <f>SUMIFS('3.Ingresos del Contrato'!J:J,'3.Ingresos del Contrato'!H:H,"&lt;="&amp;(EOMONTH($A10,-1)))</f>
        <v>0</v>
      </c>
      <c r="D10" s="77">
        <f>SUMIFS('3.Ingresos del Contrato'!J:J,'3.Ingresos del Contrato'!H:H,"&gt;"&amp;(EOMONTH($A10,-1)),'3.Ingresos del Contrato'!H:H,"&lt;="&amp;(EOMONTH($A10,0)))</f>
        <v>294145282376</v>
      </c>
      <c r="E10" s="82">
        <f t="shared" ref="E10" si="5">SUM(C10:D10)</f>
        <v>294145282376</v>
      </c>
      <c r="F10" s="77">
        <f>SUMIFS('6.Reportes de Pagos'!N:N,'6.Reportes de Pagos'!H:H,"&lt;="&amp;(EOMONTH($A10,-1)))</f>
        <v>0</v>
      </c>
      <c r="G10" s="77">
        <f>SUMIFS('6.Reportes de Pagos'!N:N,'6.Reportes de Pagos'!H:H,"&gt;"&amp;(EOMONTH($A10,-1)),'6.Reportes de Pagos'!H:H,"&lt;="&amp;(EOMONTH($A10,0)))</f>
        <v>0</v>
      </c>
      <c r="H10" s="82">
        <f t="shared" ref="H10" si="6">SUM(F10:G10)</f>
        <v>0</v>
      </c>
      <c r="I10" s="81">
        <f>SUMIFS('7.Rendimientos Financieros'!D:D,'7.Rendimientos Financieros'!A:A,"&lt;="&amp;(EOMONTH($A10,-1)))</f>
        <v>0</v>
      </c>
      <c r="J10" s="81">
        <f>SUMIFS('7.Rendimientos Financieros'!D:D,'7.Rendimientos Financieros'!A:A,"&gt;"&amp;(EOMONTH($A10,-1)),'7.Rendimientos Financieros'!A:A,"&lt;="&amp;(EOMONTH($A10,0)))</f>
        <v>802327919.61000001</v>
      </c>
      <c r="K10" s="81">
        <f>SUMIFS('7.Rendimientos Financieros'!F:F,'7.Rendimientos Financieros'!E:E,"&lt;="&amp;(EOMONTH($A10,0)))</f>
        <v>0</v>
      </c>
      <c r="L10" s="99">
        <f t="shared" ref="L10" si="7">SUM(I10:J10)-SUM(K10)</f>
        <v>802327919.61000001</v>
      </c>
      <c r="M10" s="142">
        <f t="shared" ref="M10" si="8">+E10-H10+L10</f>
        <v>294947610295.60999</v>
      </c>
      <c r="N10" s="99">
        <f>58829046127.2+236118554108.41</f>
        <v>294947600235.60999</v>
      </c>
      <c r="O10" s="99">
        <f t="shared" ref="O10" si="9">+N10-M10</f>
        <v>-10060</v>
      </c>
      <c r="P10" s="79"/>
    </row>
    <row r="11" spans="1:16" s="50" customFormat="1" ht="36" hidden="1" customHeight="1" outlineLevel="1" x14ac:dyDescent="0.25">
      <c r="A11" s="85">
        <v>45169</v>
      </c>
      <c r="B11" s="75" t="s">
        <v>51</v>
      </c>
      <c r="C11" s="80">
        <f>SUMIFS('3.Ingresos del Contrato'!J:J,'3.Ingresos del Contrato'!H:H,"&lt;="&amp;(EOMONTH($A11,-1)))</f>
        <v>294145282376</v>
      </c>
      <c r="D11" s="77">
        <f>SUMIFS('3.Ingresos del Contrato'!J:J,'3.Ingresos del Contrato'!H:H,"&gt;"&amp;(EOMONTH($A11,-1)),'3.Ingresos del Contrato'!H:H,"&lt;="&amp;(EOMONTH($A11,0)))</f>
        <v>0</v>
      </c>
      <c r="E11" s="82">
        <f t="shared" ref="E11" si="10">SUM(C11:D11)</f>
        <v>294145282376</v>
      </c>
      <c r="F11" s="77">
        <f>SUMIFS('6.Reportes de Pagos'!N:N,'6.Reportes de Pagos'!H:H,"&lt;="&amp;(EOMONTH($A11,-1)))</f>
        <v>0</v>
      </c>
      <c r="G11" s="77">
        <f>SUMIFS('6.Reportes de Pagos'!N:N,'6.Reportes de Pagos'!H:H,"&gt;"&amp;(EOMONTH($A11,-1)),'6.Reportes de Pagos'!H:H,"&lt;="&amp;(EOMONTH($A11,0)))</f>
        <v>0</v>
      </c>
      <c r="H11" s="82">
        <f t="shared" ref="H11" si="11">SUM(F11:G11)</f>
        <v>0</v>
      </c>
      <c r="I11" s="81">
        <f>SUMIFS('7.Rendimientos Financieros'!D:D,'7.Rendimientos Financieros'!A:A,"&lt;="&amp;(EOMONTH($A11,-1)))</f>
        <v>802327919.61000001</v>
      </c>
      <c r="J11" s="81">
        <f>SUMIFS('7.Rendimientos Financieros'!D:D,'7.Rendimientos Financieros'!A:A,"&gt;"&amp;(EOMONTH($A11,-1)),'7.Rendimientos Financieros'!A:A,"&lt;="&amp;(EOMONTH($A11,0)))</f>
        <v>3910289780.3899999</v>
      </c>
      <c r="K11" s="81">
        <f>SUMIFS('7.Rendimientos Financieros'!F:F,'7.Rendimientos Financieros'!E:E,"&lt;="&amp;(EOMONTH($A11,0)))</f>
        <v>0</v>
      </c>
      <c r="L11" s="99">
        <f t="shared" ref="L11" si="12">SUM(I11:J11)-SUM(K11)</f>
        <v>4712617700</v>
      </c>
      <c r="M11" s="142">
        <f t="shared" ref="M11" si="13">+E11-H11+L11</f>
        <v>298857900076</v>
      </c>
      <c r="N11" s="99">
        <f>10060.2+60056143970.29+0+238734304507.51</f>
        <v>298790458538</v>
      </c>
      <c r="O11" s="99">
        <f t="shared" ref="O11" si="14">+N11-M11</f>
        <v>-67441538</v>
      </c>
      <c r="P11" s="79"/>
    </row>
    <row r="12" spans="1:16" s="50" customFormat="1" ht="36" hidden="1" customHeight="1" outlineLevel="1" x14ac:dyDescent="0.25">
      <c r="A12" s="85">
        <v>45199</v>
      </c>
      <c r="B12" s="75" t="s">
        <v>51</v>
      </c>
      <c r="C12" s="80">
        <f>SUMIFS('3.Ingresos del Contrato'!J:J,'3.Ingresos del Contrato'!H:H,"&lt;="&amp;(EOMONTH($A12,-1)))</f>
        <v>294145282376</v>
      </c>
      <c r="D12" s="77">
        <f>SUMIFS('3.Ingresos del Contrato'!J:J,'3.Ingresos del Contrato'!H:H,"&gt;"&amp;(EOMONTH($A12,-1)),'3.Ingresos del Contrato'!H:H,"&lt;="&amp;(EOMONTH($A12,0)))</f>
        <v>0</v>
      </c>
      <c r="E12" s="82">
        <f t="shared" ref="E12" si="15">SUM(C12:D12)</f>
        <v>294145282376</v>
      </c>
      <c r="F12" s="77">
        <f>SUMIFS('6.Reportes de Pagos'!N:N,'6.Reportes de Pagos'!H:H,"&lt;="&amp;(EOMONTH($A12,-1)))</f>
        <v>0</v>
      </c>
      <c r="G12" s="77">
        <f>SUMIFS('6.Reportes de Pagos'!N:N,'6.Reportes de Pagos'!H:H,"&gt;"&amp;(EOMONTH($A12,-1)),'6.Reportes de Pagos'!H:H,"&lt;="&amp;(EOMONTH($A12,0)))</f>
        <v>0</v>
      </c>
      <c r="H12" s="82">
        <f t="shared" ref="H12" si="16">SUM(F12:G12)</f>
        <v>0</v>
      </c>
      <c r="I12" s="81">
        <f>SUMIFS('7.Rendimientos Financieros'!D:D,'7.Rendimientos Financieros'!A:A,"&lt;="&amp;(EOMONTH($A12,-1)))</f>
        <v>4712617700</v>
      </c>
      <c r="J12" s="81">
        <f>SUMIFS('7.Rendimientos Financieros'!D:D,'7.Rendimientos Financieros'!A:A,"&gt;"&amp;(EOMONTH($A12,-1)),'7.Rendimientos Financieros'!A:A,"&lt;="&amp;(EOMONTH($A12,0)))</f>
        <v>2817712857.9099998</v>
      </c>
      <c r="K12" s="81">
        <f>SUMIFS('7.Rendimientos Financieros'!F:F,'7.Rendimientos Financieros'!E:E,"&lt;="&amp;(EOMONTH($A12,0)))</f>
        <v>0</v>
      </c>
      <c r="L12" s="99">
        <f t="shared" ref="L12" si="17">SUM(I12:J12)-SUM(K12)</f>
        <v>7530330557.9099998</v>
      </c>
      <c r="M12" s="142">
        <f t="shared" ref="M12" si="18">+E12-H12+L12</f>
        <v>301675612933.90997</v>
      </c>
      <c r="N12" s="99">
        <f>265202414.2+60562171462.96+240847915522.75</f>
        <v>301675289399.90997</v>
      </c>
      <c r="O12" s="99">
        <f t="shared" ref="O12" si="19">+N12-M12</f>
        <v>-323534</v>
      </c>
      <c r="P12" s="79"/>
    </row>
    <row r="13" spans="1:16" s="50" customFormat="1" ht="36" hidden="1" customHeight="1" outlineLevel="1" x14ac:dyDescent="0.25">
      <c r="A13" s="85">
        <v>45230</v>
      </c>
      <c r="B13" s="75" t="s">
        <v>51</v>
      </c>
      <c r="C13" s="80">
        <f>SUMIFS('3.Ingresos del Contrato'!J:J,'3.Ingresos del Contrato'!H:H,"&lt;="&amp;(EOMONTH($A13,-1)))</f>
        <v>294145282376</v>
      </c>
      <c r="D13" s="77">
        <f>SUMIFS('3.Ingresos del Contrato'!J:J,'3.Ingresos del Contrato'!H:H,"&gt;"&amp;(EOMONTH($A13,-1)),'3.Ingresos del Contrato'!H:H,"&lt;="&amp;(EOMONTH($A13,0)))</f>
        <v>0</v>
      </c>
      <c r="E13" s="82">
        <f t="shared" ref="E13" si="20">SUM(C13:D13)</f>
        <v>294145282376</v>
      </c>
      <c r="F13" s="77">
        <f>SUMIFS('6.Reportes de Pagos'!N:N,'6.Reportes de Pagos'!H:H,"&lt;="&amp;(EOMONTH($A13,-1)))</f>
        <v>0</v>
      </c>
      <c r="G13" s="77">
        <f>SUMIFS('6.Reportes de Pagos'!N:N,'6.Reportes de Pagos'!H:H,"&gt;"&amp;(EOMONTH($A13,-1)),'6.Reportes de Pagos'!H:H,"&lt;="&amp;(EOMONTH($A13,0)))</f>
        <v>0</v>
      </c>
      <c r="H13" s="82">
        <f t="shared" ref="H13" si="21">SUM(F13:G13)</f>
        <v>0</v>
      </c>
      <c r="I13" s="81">
        <f>SUMIFS('7.Rendimientos Financieros'!D:D,'7.Rendimientos Financieros'!A:A,"&lt;="&amp;(EOMONTH($A13,-1)))</f>
        <v>7530330557.9099998</v>
      </c>
      <c r="J13" s="81">
        <f>SUMIFS('7.Rendimientos Financieros'!D:D,'7.Rendimientos Financieros'!A:A,"&gt;"&amp;(EOMONTH($A13,-1)),'7.Rendimientos Financieros'!A:A,"&lt;="&amp;(EOMONTH($A13,0)))</f>
        <v>3091211487.7399998</v>
      </c>
      <c r="K13" s="81">
        <f>SUMIFS('7.Rendimientos Financieros'!F:F,'7.Rendimientos Financieros'!E:E,"&lt;="&amp;(EOMONTH($A13,0)))</f>
        <v>0</v>
      </c>
      <c r="L13" s="99">
        <f t="shared" ref="L13" si="22">SUM(I13:J13)-SUM(K13)</f>
        <v>10621542045.65</v>
      </c>
      <c r="M13" s="142">
        <f t="shared" ref="M13" si="23">+E13-H13+L13</f>
        <v>304766824421.65002</v>
      </c>
      <c r="N13" s="99">
        <f>270717475.2+61089546253.66+243406560692.79</f>
        <v>304766824421.65002</v>
      </c>
      <c r="O13" s="99">
        <f t="shared" ref="O13" si="24">+N13-M13</f>
        <v>0</v>
      </c>
      <c r="P13" s="79"/>
    </row>
    <row r="14" spans="1:16" s="50" customFormat="1" ht="36" hidden="1" customHeight="1" outlineLevel="1" x14ac:dyDescent="0.25">
      <c r="A14" s="85">
        <v>45260</v>
      </c>
      <c r="B14" s="75" t="s">
        <v>51</v>
      </c>
      <c r="C14" s="80">
        <f>SUMIFS('3.Ingresos del Contrato'!J:J,'3.Ingresos del Contrato'!H:H,"&lt;="&amp;(EOMONTH($A14,-1)))</f>
        <v>294145282376</v>
      </c>
      <c r="D14" s="77">
        <f>SUMIFS('3.Ingresos del Contrato'!J:J,'3.Ingresos del Contrato'!H:H,"&gt;"&amp;(EOMONTH($A14,-1)),'3.Ingresos del Contrato'!H:H,"&lt;="&amp;(EOMONTH($A14,0)))</f>
        <v>0</v>
      </c>
      <c r="E14" s="82">
        <f t="shared" ref="E14" si="25">SUM(C14:D14)</f>
        <v>294145282376</v>
      </c>
      <c r="F14" s="77">
        <f>SUMIFS('6.Reportes de Pagos'!N:N,'6.Reportes de Pagos'!H:H,"&lt;="&amp;(EOMONTH($A14,-1)))</f>
        <v>0</v>
      </c>
      <c r="G14" s="77">
        <f>SUMIFS('6.Reportes de Pagos'!N:N,'6.Reportes de Pagos'!H:H,"&gt;"&amp;(EOMONTH($A14,-1)),'6.Reportes de Pagos'!H:H,"&lt;="&amp;(EOMONTH($A14,0)))</f>
        <v>0</v>
      </c>
      <c r="H14" s="82">
        <f t="shared" ref="H14" si="26">SUM(F14:G14)</f>
        <v>0</v>
      </c>
      <c r="I14" s="81">
        <f>SUMIFS('7.Rendimientos Financieros'!D:D,'7.Rendimientos Financieros'!A:A,"&lt;="&amp;(EOMONTH($A14,-1)))</f>
        <v>10621542045.65</v>
      </c>
      <c r="J14" s="81">
        <f>SUMIFS('7.Rendimientos Financieros'!D:D,'7.Rendimientos Financieros'!A:A,"&gt;"&amp;(EOMONTH($A14,-1)),'7.Rendimientos Financieros'!A:A,"&lt;="&amp;(EOMONTH($A14,0)))</f>
        <v>2883070702.6599998</v>
      </c>
      <c r="K14" s="81">
        <f>SUMIFS('7.Rendimientos Financieros'!F:F,'7.Rendimientos Financieros'!E:E,"&lt;="&amp;(EOMONTH($A14,0)))</f>
        <v>0</v>
      </c>
      <c r="L14" s="99">
        <f t="shared" ref="L14" si="27">SUM(I14:J14)-SUM(K14)</f>
        <v>13504612748.309999</v>
      </c>
      <c r="M14" s="142">
        <f t="shared" ref="M14" si="28">+E14-H14+L14</f>
        <v>307649895124.31</v>
      </c>
      <c r="N14" s="99">
        <f>246045614026.28+61604281098.03</f>
        <v>307649895124.31</v>
      </c>
      <c r="O14" s="99">
        <f t="shared" ref="O14" si="29">+N14-M14</f>
        <v>0</v>
      </c>
      <c r="P14" s="79"/>
    </row>
    <row r="15" spans="1:16" s="50" customFormat="1" ht="36" hidden="1" customHeight="1" outlineLevel="1" x14ac:dyDescent="0.25">
      <c r="A15" s="85">
        <v>45291</v>
      </c>
      <c r="B15" s="75" t="s">
        <v>51</v>
      </c>
      <c r="C15" s="80">
        <f>SUMIFS('3.Ingresos del Contrato'!J:J,'3.Ingresos del Contrato'!H:H,"&lt;="&amp;(EOMONTH($A15,-1)))</f>
        <v>294145282376</v>
      </c>
      <c r="D15" s="77">
        <f>SUMIFS('3.Ingresos del Contrato'!J:J,'3.Ingresos del Contrato'!H:H,"&gt;"&amp;(EOMONTH($A15,-1)),'3.Ingresos del Contrato'!H:H,"&lt;="&amp;(EOMONTH($A15,0)))</f>
        <v>0</v>
      </c>
      <c r="E15" s="82">
        <f t="shared" ref="E15:E28" si="30">SUM(C15:D15)</f>
        <v>294145282376</v>
      </c>
      <c r="F15" s="77">
        <f>SUMIFS('6.Reportes de Pagos'!N:N,'6.Reportes de Pagos'!H:H,"&lt;="&amp;(EOMONTH($A15,-1)))</f>
        <v>0</v>
      </c>
      <c r="G15" s="77">
        <f>SUMIFS('6.Reportes de Pagos'!N:N,'6.Reportes de Pagos'!H:H,"&gt;"&amp;(EOMONTH($A15,-1)),'6.Reportes de Pagos'!H:H,"&lt;="&amp;(EOMONTH($A15,0)))</f>
        <v>1140978.04</v>
      </c>
      <c r="H15" s="82">
        <f t="shared" ref="H15:H28" si="31">SUM(F15:G15)</f>
        <v>1140978.04</v>
      </c>
      <c r="I15" s="81">
        <f>SUMIFS('7.Rendimientos Financieros'!D:D,'7.Rendimientos Financieros'!A:A,"&lt;="&amp;(EOMONTH($A15,-1)))</f>
        <v>13504612748.309999</v>
      </c>
      <c r="J15" s="81">
        <f>SUMIFS('7.Rendimientos Financieros'!D:D,'7.Rendimientos Financieros'!A:A,"&gt;"&amp;(EOMONTH($A15,-1)),'7.Rendimientos Financieros'!A:A,"&lt;="&amp;(EOMONTH($A15,0)))</f>
        <v>2841769011.6199999</v>
      </c>
      <c r="K15" s="81">
        <f>SUMIFS('7.Rendimientos Financieros'!F:F,'7.Rendimientos Financieros'!E:E,"&lt;="&amp;(EOMONTH($A15,0)))</f>
        <v>13504612748.309999</v>
      </c>
      <c r="L15" s="99">
        <f t="shared" ref="L15:L28" si="32">SUM(I15:J15)-SUM(K15)</f>
        <v>2841769011.6200008</v>
      </c>
      <c r="M15" s="142">
        <f t="shared" ref="M15:M28" si="33">+E15-H15+L15</f>
        <v>296985910409.58002</v>
      </c>
      <c r="N15" s="99">
        <f>237582875923.73+59403025679.85</f>
        <v>296985901603.58002</v>
      </c>
      <c r="O15" s="99">
        <f t="shared" ref="O15:O25" si="34">+N15-M15</f>
        <v>-8806</v>
      </c>
      <c r="P15" s="79"/>
    </row>
    <row r="16" spans="1:16" s="50" customFormat="1" ht="36" hidden="1" customHeight="1" collapsed="1" x14ac:dyDescent="0.25">
      <c r="A16" s="85">
        <v>45322</v>
      </c>
      <c r="B16" s="75" t="s">
        <v>51</v>
      </c>
      <c r="C16" s="80">
        <f>SUMIFS('3.Ingresos del Contrato'!J:J,'3.Ingresos del Contrato'!H:H,"&lt;="&amp;(EOMONTH($A16,-1)))</f>
        <v>294145282376</v>
      </c>
      <c r="D16" s="77">
        <f>SUMIFS('3.Ingresos del Contrato'!J:J,'3.Ingresos del Contrato'!H:H,"&gt;"&amp;(EOMONTH($A16,-1)),'3.Ingresos del Contrato'!H:H,"&lt;="&amp;(EOMONTH($A16,0)))</f>
        <v>0</v>
      </c>
      <c r="E16" s="99">
        <f t="shared" ref="E16" si="35">SUM(C16:D16)</f>
        <v>294145282376</v>
      </c>
      <c r="F16" s="166">
        <f>SUMIFS('6.Reportes de Pagos'!N:N,'6.Reportes de Pagos'!H:H,"&lt;="&amp;(EOMONTH($A16,-1)))</f>
        <v>1140978.04</v>
      </c>
      <c r="G16" s="166">
        <f>SUMIFS('6.Reportes de Pagos'!N:N,'6.Reportes de Pagos'!H:H,"&gt;"&amp;(EOMONTH($A16,-1)),'6.Reportes de Pagos'!H:H,"&lt;="&amp;(EOMONTH($A16,0)))</f>
        <v>122061.68</v>
      </c>
      <c r="H16" s="99">
        <f t="shared" ref="H16" si="36">SUM(F16:G16)</f>
        <v>1263039.72</v>
      </c>
      <c r="I16" s="172">
        <f>SUMIFS('7.Rendimientos Financieros'!D:D,'7.Rendimientos Financieros'!A:A,"&lt;="&amp;(EOMONTH($A16,-1)))</f>
        <v>16346381759.93</v>
      </c>
      <c r="J16" s="172">
        <f>SUMIFS('7.Rendimientos Financieros'!D:D,'7.Rendimientos Financieros'!A:A,"&gt;"&amp;(EOMONTH($A16,-1)),'7.Rendimientos Financieros'!A:A,"&lt;="&amp;(EOMONTH($A16,0)))</f>
        <v>2451819557.4000001</v>
      </c>
      <c r="K16" s="172">
        <f>SUMIFS('7.Rendimientos Financieros'!F:F,'7.Rendimientos Financieros'!E:E,"&lt;="&amp;(EOMONTH($A16,0)))</f>
        <v>16282887385.879999</v>
      </c>
      <c r="L16" s="99">
        <f t="shared" ref="L16" si="37">SUM(I16:J16)-SUM(K16)</f>
        <v>2515313931.4500027</v>
      </c>
      <c r="M16" s="142">
        <f t="shared" ref="M16" si="38">+E16-H16+L16</f>
        <v>296659333267.73004</v>
      </c>
      <c r="N16" s="99">
        <v>296659333267.72998</v>
      </c>
      <c r="O16" s="99">
        <f t="shared" ref="O16" si="39">+N16-M16</f>
        <v>0</v>
      </c>
      <c r="P16" s="79"/>
    </row>
    <row r="17" spans="1:16" s="50" customFormat="1" ht="36" hidden="1" customHeight="1" x14ac:dyDescent="0.25">
      <c r="A17" s="85">
        <v>45350</v>
      </c>
      <c r="B17" s="75" t="s">
        <v>51</v>
      </c>
      <c r="C17" s="80">
        <f>SUMIFS('3.Ingresos del Contrato'!J:J,'3.Ingresos del Contrato'!H:H,"&lt;="&amp;(EOMONTH($A17,-1)))</f>
        <v>294145282376</v>
      </c>
      <c r="D17" s="77">
        <f>SUMIFS('3.Ingresos del Contrato'!J:J,'3.Ingresos del Contrato'!H:H,"&gt;"&amp;(EOMONTH($A17,-1)),'3.Ingresos del Contrato'!H:H,"&lt;="&amp;(EOMONTH($A17,0)))</f>
        <v>0</v>
      </c>
      <c r="E17" s="99">
        <f t="shared" si="30"/>
        <v>294145282376</v>
      </c>
      <c r="F17" s="166">
        <f>SUMIFS('6.Reportes de Pagos'!N:N,'6.Reportes de Pagos'!H:H,"&lt;="&amp;(EOMONTH($A17,-1)))</f>
        <v>1263039.72</v>
      </c>
      <c r="G17" s="166">
        <f>SUMIFS('6.Reportes de Pagos'!N:N,'6.Reportes de Pagos'!H:H,"&gt;"&amp;(EOMONTH($A17,-1)),'6.Reportes de Pagos'!H:H,"&lt;="&amp;(EOMONTH($A17,0)))</f>
        <v>0</v>
      </c>
      <c r="H17" s="99">
        <f t="shared" si="31"/>
        <v>1263039.72</v>
      </c>
      <c r="I17" s="172">
        <f>SUMIFS('7.Rendimientos Financieros'!D:D,'7.Rendimientos Financieros'!A:A,"&lt;="&amp;(EOMONTH($A17,-1)))</f>
        <v>18798201317.330002</v>
      </c>
      <c r="J17" s="172">
        <f>SUMIFS('7.Rendimientos Financieros'!D:D,'7.Rendimientos Financieros'!A:A,"&gt;"&amp;(EOMONTH($A17,-1)),'7.Rendimientos Financieros'!A:A,"&lt;="&amp;(EOMONTH($A17,0)))</f>
        <v>2497567514.4899998</v>
      </c>
      <c r="K17" s="172">
        <f>SUMIFS('7.Rendimientos Financieros'!F:F,'7.Rendimientos Financieros'!E:E,"&lt;="&amp;(EOMONTH($A17,0)))</f>
        <v>18798201317.329998</v>
      </c>
      <c r="L17" s="99">
        <f t="shared" si="32"/>
        <v>2497567514.4900017</v>
      </c>
      <c r="M17" s="142">
        <f t="shared" si="33"/>
        <v>296641586850.77002</v>
      </c>
      <c r="N17" s="99">
        <v>296641578044.77002</v>
      </c>
      <c r="O17" s="99">
        <f t="shared" si="34"/>
        <v>-8806</v>
      </c>
      <c r="P17" s="79"/>
    </row>
    <row r="18" spans="1:16" s="50" customFormat="1" ht="36" hidden="1" customHeight="1" x14ac:dyDescent="0.25">
      <c r="A18" s="85">
        <v>45382</v>
      </c>
      <c r="B18" s="75" t="s">
        <v>51</v>
      </c>
      <c r="C18" s="80">
        <f>SUMIFS('3.Ingresos del Contrato'!J:J,'3.Ingresos del Contrato'!H:H,"&lt;="&amp;(EOMONTH($A18,-1)))</f>
        <v>294145282376</v>
      </c>
      <c r="D18" s="77">
        <f>SUMIFS('3.Ingresos del Contrato'!J:J,'3.Ingresos del Contrato'!H:H,"&gt;"&amp;(EOMONTH($A18,-1)),'3.Ingresos del Contrato'!H:H,"&lt;="&amp;(EOMONTH($A18,0)))</f>
        <v>0</v>
      </c>
      <c r="E18" s="99">
        <f t="shared" ref="E18" si="40">SUM(C18:D18)</f>
        <v>294145282376</v>
      </c>
      <c r="F18" s="166">
        <f>SUMIFS('6.Reportes de Pagos'!N:N,'6.Reportes de Pagos'!H:H,"&lt;="&amp;(EOMONTH($A18,-1)))</f>
        <v>1263039.72</v>
      </c>
      <c r="G18" s="166">
        <f>SUMIFS('6.Reportes de Pagos'!N:N,'6.Reportes de Pagos'!H:H,"&gt;"&amp;(EOMONTH($A18,-1)),'6.Reportes de Pagos'!H:H,"&lt;="&amp;(EOMONTH($A18,0)))</f>
        <v>0</v>
      </c>
      <c r="H18" s="99">
        <f t="shared" ref="H18" si="41">SUM(F18:G18)</f>
        <v>1263039.72</v>
      </c>
      <c r="I18" s="172">
        <f>SUMIFS('7.Rendimientos Financieros'!D:D,'7.Rendimientos Financieros'!A:A,"&lt;="&amp;(EOMONTH($A18,-1)))</f>
        <v>21295768831.82</v>
      </c>
      <c r="J18" s="172">
        <f>SUMIFS('7.Rendimientos Financieros'!D:D,'7.Rendimientos Financieros'!A:A,"&gt;"&amp;(EOMONTH($A18,-1)),'7.Rendimientos Financieros'!A:A,"&lt;="&amp;(EOMONTH($A18,0)))</f>
        <v>2578374035.1999998</v>
      </c>
      <c r="K18" s="172">
        <f>SUMIFS('7.Rendimientos Financieros'!F:F,'7.Rendimientos Financieros'!E:E,"&lt;="&amp;(EOMONTH($A18,0)))</f>
        <v>21295768831.82</v>
      </c>
      <c r="L18" s="99">
        <f t="shared" ref="L18" si="42">SUM(I18:J18)-SUM(K18)</f>
        <v>2578374035.2000008</v>
      </c>
      <c r="M18" s="142">
        <f t="shared" ref="M18" si="43">+E18-H18+L18</f>
        <v>296722393371.48004</v>
      </c>
      <c r="N18" s="99">
        <v>296722393371.47998</v>
      </c>
      <c r="O18" s="99">
        <f t="shared" ref="O18" si="44">+N18-M18</f>
        <v>0</v>
      </c>
      <c r="P18" s="79"/>
    </row>
    <row r="19" spans="1:16" s="50" customFormat="1" ht="36" hidden="1" customHeight="1" x14ac:dyDescent="0.25">
      <c r="A19" s="85">
        <v>45412</v>
      </c>
      <c r="B19" s="75" t="s">
        <v>51</v>
      </c>
      <c r="C19" s="80">
        <f>SUMIFS('3.Ingresos del Contrato'!J:J,'3.Ingresos del Contrato'!H:H,"&lt;="&amp;(EOMONTH($A19,-1)))</f>
        <v>294145282376</v>
      </c>
      <c r="D19" s="77">
        <f>SUMIFS('3.Ingresos del Contrato'!J:J,'3.Ingresos del Contrato'!H:H,"&gt;"&amp;(EOMONTH($A19,-1)),'3.Ingresos del Contrato'!H:H,"&lt;="&amp;(EOMONTH($A19,0)))</f>
        <v>0</v>
      </c>
      <c r="E19" s="99">
        <f t="shared" si="30"/>
        <v>294145282376</v>
      </c>
      <c r="F19" s="166">
        <f>SUMIFS('6.Reportes de Pagos'!N:N,'6.Reportes de Pagos'!H:H,"&lt;="&amp;(EOMONTH($A19,-1)))</f>
        <v>1263039.72</v>
      </c>
      <c r="G19" s="166">
        <f>SUMIFS('6.Reportes de Pagos'!N:N,'6.Reportes de Pagos'!H:H,"&gt;"&amp;(EOMONTH($A19,-1)),'6.Reportes de Pagos'!H:H,"&lt;="&amp;(EOMONTH($A19,0)))</f>
        <v>0</v>
      </c>
      <c r="H19" s="99">
        <f t="shared" si="31"/>
        <v>1263039.72</v>
      </c>
      <c r="I19" s="172">
        <f>SUMIFS('7.Rendimientos Financieros'!D:D,'7.Rendimientos Financieros'!A:A,"&lt;="&amp;(EOMONTH($A19,-1)))</f>
        <v>23874142867.02</v>
      </c>
      <c r="J19" s="172">
        <f>SUMIFS('7.Rendimientos Financieros'!D:D,'7.Rendimientos Financieros'!A:A,"&gt;"&amp;(EOMONTH($A19,-1)),'7.Rendimientos Financieros'!A:A,"&lt;="&amp;(EOMONTH($A19,0)))</f>
        <v>2179385841.9699998</v>
      </c>
      <c r="K19" s="172">
        <f>SUMIFS('7.Rendimientos Financieros'!F:F,'7.Rendimientos Financieros'!E:E,"&lt;="&amp;(EOMONTH($A19,0)))</f>
        <v>23874142867.02</v>
      </c>
      <c r="L19" s="99">
        <f t="shared" si="32"/>
        <v>2179385841.9700012</v>
      </c>
      <c r="M19" s="142">
        <f t="shared" si="33"/>
        <v>296323405178.25</v>
      </c>
      <c r="N19" s="99">
        <v>296323405178.25</v>
      </c>
      <c r="O19" s="99">
        <f t="shared" si="34"/>
        <v>0</v>
      </c>
      <c r="P19" s="79"/>
    </row>
    <row r="20" spans="1:16" s="50" customFormat="1" ht="36" hidden="1" customHeight="1" x14ac:dyDescent="0.25">
      <c r="A20" s="85">
        <v>45443</v>
      </c>
      <c r="B20" s="75" t="s">
        <v>51</v>
      </c>
      <c r="C20" s="80">
        <f>SUMIFS('3.Ingresos del Contrato'!J:J,'3.Ingresos del Contrato'!H:H,"&lt;="&amp;(EOMONTH($A20,-1)))</f>
        <v>294145282376</v>
      </c>
      <c r="D20" s="77">
        <f>SUMIFS('3.Ingresos del Contrato'!J:J,'3.Ingresos del Contrato'!H:H,"&gt;"&amp;(EOMONTH($A20,-1)),'3.Ingresos del Contrato'!H:H,"&lt;="&amp;(EOMONTH($A20,0)))</f>
        <v>0</v>
      </c>
      <c r="E20" s="99">
        <f t="shared" ref="E20" si="45">SUM(C20:D20)</f>
        <v>294145282376</v>
      </c>
      <c r="F20" s="166">
        <f>SUMIFS('6.Reportes de Pagos'!N:N,'6.Reportes de Pagos'!H:H,"&lt;="&amp;(EOMONTH($A20,-1)))</f>
        <v>1263039.72</v>
      </c>
      <c r="G20" s="166">
        <f>SUMIFS('6.Reportes de Pagos'!N:N,'6.Reportes de Pagos'!H:H,"&gt;"&amp;(EOMONTH($A20,-1)),'6.Reportes de Pagos'!H:H,"&lt;="&amp;(EOMONTH($A20,0)))</f>
        <v>1696238795.6499999</v>
      </c>
      <c r="H20" s="99">
        <f t="shared" ref="H20" si="46">SUM(F20:G20)</f>
        <v>1697501835.3699999</v>
      </c>
      <c r="I20" s="172">
        <f>SUMIFS('7.Rendimientos Financieros'!D:D,'7.Rendimientos Financieros'!A:A,"&lt;="&amp;(EOMONTH($A20,-1)))</f>
        <v>26053528708.990002</v>
      </c>
      <c r="J20" s="172">
        <f>SUMIFS('7.Rendimientos Financieros'!D:D,'7.Rendimientos Financieros'!A:A,"&gt;"&amp;(EOMONTH($A20,-1)),'7.Rendimientos Financieros'!A:A,"&lt;="&amp;(EOMONTH($A20,0)))</f>
        <v>2376914533.8900003</v>
      </c>
      <c r="K20" s="172">
        <f>SUMIFS('7.Rendimientos Financieros'!F:F,'7.Rendimientos Financieros'!E:E,"&lt;="&amp;(EOMONTH($A20,0)))</f>
        <v>26053528708.990002</v>
      </c>
      <c r="L20" s="99">
        <f t="shared" ref="L20" si="47">SUM(I20:J20)-SUM(K20)</f>
        <v>2376914533.8899994</v>
      </c>
      <c r="M20" s="142">
        <f t="shared" ref="M20" si="48">+E20-H20+L20</f>
        <v>294824695074.52002</v>
      </c>
      <c r="N20" s="99">
        <v>294824695074.52002</v>
      </c>
      <c r="O20" s="99">
        <f t="shared" ref="O20" si="49">+N20-M20</f>
        <v>0</v>
      </c>
      <c r="P20" s="79"/>
    </row>
    <row r="21" spans="1:16" s="50" customFormat="1" ht="36" hidden="1" customHeight="1" x14ac:dyDescent="0.25">
      <c r="A21" s="85">
        <v>45473</v>
      </c>
      <c r="B21" s="75" t="s">
        <v>51</v>
      </c>
      <c r="C21" s="80">
        <f>SUMIFS('3.Ingresos del Contrato'!J:J,'3.Ingresos del Contrato'!H:H,"&lt;="&amp;(EOMONTH($A21,-1)))</f>
        <v>294145282376</v>
      </c>
      <c r="D21" s="77">
        <f>SUMIFS('3.Ingresos del Contrato'!J:J,'3.Ingresos del Contrato'!H:H,"&gt;"&amp;(EOMONTH($A21,-1)),'3.Ingresos del Contrato'!H:H,"&lt;="&amp;(EOMONTH($A21,0)))</f>
        <v>0</v>
      </c>
      <c r="E21" s="99">
        <f t="shared" si="30"/>
        <v>294145282376</v>
      </c>
      <c r="F21" s="166">
        <f>SUMIFS('6.Reportes de Pagos'!N:N,'6.Reportes de Pagos'!H:H,"&lt;="&amp;(EOMONTH($A21,-1)))</f>
        <v>1697501835.3700001</v>
      </c>
      <c r="G21" s="166">
        <f>SUMIFS('6.Reportes de Pagos'!N:N,'6.Reportes de Pagos'!H:H,"&gt;"&amp;(EOMONTH($A21,-1)),'6.Reportes de Pagos'!H:H,"&lt;="&amp;(EOMONTH($A21,0)))</f>
        <v>2697041748.9400001</v>
      </c>
      <c r="H21" s="99">
        <f t="shared" si="31"/>
        <v>4394543584.3100004</v>
      </c>
      <c r="I21" s="172">
        <f>SUMIFS('7.Rendimientos Financieros'!D:D,'7.Rendimientos Financieros'!A:A,"&lt;="&amp;(EOMONTH($A21,-1)))</f>
        <v>28430443242.880001</v>
      </c>
      <c r="J21" s="172">
        <f>SUMIFS('7.Rendimientos Financieros'!D:D,'7.Rendimientos Financieros'!A:A,"&gt;"&amp;(EOMONTH($A21,-1)),'7.Rendimientos Financieros'!A:A,"&lt;="&amp;(EOMONTH($A21,0)))</f>
        <v>2112542083.3900001</v>
      </c>
      <c r="K21" s="172">
        <f>SUMIFS('7.Rendimientos Financieros'!F:F,'7.Rendimientos Financieros'!E:E,"&lt;="&amp;(EOMONTH($A21,0)))</f>
        <v>28430443242.880001</v>
      </c>
      <c r="L21" s="99">
        <f t="shared" si="32"/>
        <v>2112542083.3899994</v>
      </c>
      <c r="M21" s="142">
        <f t="shared" si="33"/>
        <v>291863280875.08002</v>
      </c>
      <c r="N21" s="99">
        <v>287791304897.52997</v>
      </c>
      <c r="O21" s="99">
        <f t="shared" si="34"/>
        <v>-4071975977.5500488</v>
      </c>
      <c r="P21" s="79"/>
    </row>
    <row r="22" spans="1:16" s="50" customFormat="1" ht="36" hidden="1" customHeight="1" x14ac:dyDescent="0.25">
      <c r="A22" s="85">
        <v>45504</v>
      </c>
      <c r="B22" s="75" t="s">
        <v>51</v>
      </c>
      <c r="C22" s="80">
        <f>SUMIFS('3.Ingresos del Contrato'!J:J,'3.Ingresos del Contrato'!H:H,"&lt;="&amp;(EOMONTH($A22,-1)))</f>
        <v>294145282376</v>
      </c>
      <c r="D22" s="77">
        <f>SUMIFS('3.Ingresos del Contrato'!J:J,'3.Ingresos del Contrato'!H:H,"&gt;"&amp;(EOMONTH($A22,-1)),'3.Ingresos del Contrato'!H:H,"&lt;="&amp;(EOMONTH($A22,0)))</f>
        <v>0</v>
      </c>
      <c r="E22" s="99">
        <f t="shared" ref="E22" si="50">SUM(C22:D22)</f>
        <v>294145282376</v>
      </c>
      <c r="F22" s="166">
        <f>SUMIFS('6.Reportes de Pagos'!N:N,'6.Reportes de Pagos'!H:H,"&lt;="&amp;(EOMONTH($A22,-1)))</f>
        <v>4394543584.3099995</v>
      </c>
      <c r="G22" s="166">
        <f>SUMIFS('6.Reportes de Pagos'!N:N,'6.Reportes de Pagos'!H:H,"&gt;"&amp;(EOMONTH($A22,-1)),'6.Reportes de Pagos'!H:H,"&lt;="&amp;(EOMONTH($A22,0)))</f>
        <v>7371144572.7199993</v>
      </c>
      <c r="H22" s="99">
        <f t="shared" ref="H22" si="51">SUM(F22:G22)</f>
        <v>11765688157.029999</v>
      </c>
      <c r="I22" s="172">
        <f>SUMIFS('7.Rendimientos Financieros'!D:D,'7.Rendimientos Financieros'!A:A,"&lt;="&amp;(EOMONTH($A22,-1)))</f>
        <v>30542985326.27</v>
      </c>
      <c r="J22" s="172">
        <f>SUMIFS('7.Rendimientos Financieros'!D:D,'7.Rendimientos Financieros'!A:A,"&gt;"&amp;(EOMONTH($A22,-1)),'7.Rendimientos Financieros'!A:A,"&lt;="&amp;(EOMONTH($A22,0)))</f>
        <v>2228791254.4300003</v>
      </c>
      <c r="K22" s="172">
        <f>SUMIFS('7.Rendimientos Financieros'!F:F,'7.Rendimientos Financieros'!E:E,"&lt;="&amp;(EOMONTH($A22,0)))</f>
        <v>30542985326.27</v>
      </c>
      <c r="L22" s="99">
        <f t="shared" ref="L22" si="52">SUM(I22:J22)-SUM(K22)</f>
        <v>2228791254.4300003</v>
      </c>
      <c r="M22" s="142">
        <f t="shared" ref="M22" si="53">+E22-H22+L22</f>
        <v>284608385473.39996</v>
      </c>
      <c r="N22" s="99">
        <v>284608364291.40002</v>
      </c>
      <c r="O22" s="99">
        <f t="shared" ref="O22" si="54">+N22-M22</f>
        <v>-21181.999938964844</v>
      </c>
      <c r="P22" s="79"/>
    </row>
    <row r="23" spans="1:16" s="50" customFormat="1" ht="36" hidden="1" customHeight="1" x14ac:dyDescent="0.25">
      <c r="A23" s="85">
        <v>45534</v>
      </c>
      <c r="B23" s="75" t="s">
        <v>51</v>
      </c>
      <c r="C23" s="80">
        <f>SUMIFS('3.Ingresos del Contrato'!J:J,'3.Ingresos del Contrato'!H:H,"&lt;="&amp;(EOMONTH($A23,-1)))</f>
        <v>294145282376</v>
      </c>
      <c r="D23" s="77">
        <f>SUMIFS('3.Ingresos del Contrato'!J:J,'3.Ingresos del Contrato'!H:H,"&gt;"&amp;(EOMONTH($A23,-1)),'3.Ingresos del Contrato'!H:H,"&lt;="&amp;(EOMONTH($A23,0)))</f>
        <v>0</v>
      </c>
      <c r="E23" s="99">
        <f t="shared" si="30"/>
        <v>294145282376</v>
      </c>
      <c r="F23" s="166">
        <f>SUMIFS('6.Reportes de Pagos'!N:N,'6.Reportes de Pagos'!H:H,"&lt;="&amp;(EOMONTH($A23,-1)))</f>
        <v>11765688157.029999</v>
      </c>
      <c r="G23" s="166">
        <f>SUMIFS('6.Reportes de Pagos'!N:N,'6.Reportes de Pagos'!H:H,"&gt;"&amp;(EOMONTH($A23,-1)),'6.Reportes de Pagos'!H:H,"&lt;="&amp;(EOMONTH($A23,0)))</f>
        <v>7868630475.539999</v>
      </c>
      <c r="H23" s="99">
        <f t="shared" si="31"/>
        <v>19634318632.57</v>
      </c>
      <c r="I23" s="172">
        <f>SUMIFS('7.Rendimientos Financieros'!D:D,'7.Rendimientos Financieros'!A:A,"&lt;="&amp;(EOMONTH($A23,-1)))</f>
        <v>32771776580.700001</v>
      </c>
      <c r="J23" s="172">
        <f>SUMIFS('7.Rendimientos Financieros'!D:D,'7.Rendimientos Financieros'!A:A,"&gt;"&amp;(EOMONTH($A23,-1)),'7.Rendimientos Financieros'!A:A,"&lt;="&amp;(EOMONTH($A23,0)))</f>
        <v>2089263714.75</v>
      </c>
      <c r="K23" s="172">
        <f>SUMIFS('7.Rendimientos Financieros'!F:F,'7.Rendimientos Financieros'!E:E,"&lt;="&amp;(EOMONTH($A23,0)))</f>
        <v>32771776580.700001</v>
      </c>
      <c r="L23" s="99">
        <f t="shared" si="32"/>
        <v>2089263714.7499962</v>
      </c>
      <c r="M23" s="142">
        <f t="shared" si="33"/>
        <v>276600227458.17999</v>
      </c>
      <c r="N23" s="99">
        <v>276600215082.17999</v>
      </c>
      <c r="O23" s="99">
        <f t="shared" si="34"/>
        <v>-12376</v>
      </c>
      <c r="P23" s="79"/>
    </row>
    <row r="24" spans="1:16" s="50" customFormat="1" ht="36" hidden="1" customHeight="1" x14ac:dyDescent="0.25">
      <c r="A24" s="85">
        <v>45565</v>
      </c>
      <c r="B24" s="75" t="s">
        <v>51</v>
      </c>
      <c r="C24" s="80">
        <f>SUMIFS('3.Ingresos del Contrato'!J:J,'3.Ingresos del Contrato'!H:H,"&lt;="&amp;(EOMONTH($A24,-1)))</f>
        <v>294145282376</v>
      </c>
      <c r="D24" s="77">
        <f>SUMIFS('3.Ingresos del Contrato'!J:J,'3.Ingresos del Contrato'!H:H,"&gt;"&amp;(EOMONTH($A24,-1)),'3.Ingresos del Contrato'!H:H,"&lt;="&amp;(EOMONTH($A24,0)))</f>
        <v>0</v>
      </c>
      <c r="E24" s="99">
        <f t="shared" si="30"/>
        <v>294145282376</v>
      </c>
      <c r="F24" s="166">
        <f>SUMIFS('6.Reportes de Pagos'!N:N,'6.Reportes de Pagos'!H:H,"&lt;="&amp;(EOMONTH($A24,-1)))</f>
        <v>19634318632.57</v>
      </c>
      <c r="G24" s="166">
        <f>SUMIFS('6.Reportes de Pagos'!N:N,'6.Reportes de Pagos'!H:H,"&gt;"&amp;(EOMONTH($A24,-1)),'6.Reportes de Pagos'!H:H,"&lt;="&amp;(EOMONTH($A24,0)))</f>
        <v>8882081671.4500008</v>
      </c>
      <c r="H24" s="99">
        <f t="shared" si="31"/>
        <v>28516400304.02</v>
      </c>
      <c r="I24" s="172">
        <f>SUMIFS('7.Rendimientos Financieros'!D:D,'7.Rendimientos Financieros'!A:A,"&lt;="&amp;(EOMONTH($A24,-1)))</f>
        <v>34861040295.449997</v>
      </c>
      <c r="J24" s="172">
        <f>SUMIFS('7.Rendimientos Financieros'!D:D,'7.Rendimientos Financieros'!A:A,"&gt;"&amp;(EOMONTH($A24,-1)),'7.Rendimientos Financieros'!A:A,"&lt;="&amp;(EOMONTH($A24,0)))</f>
        <v>1832234215.3899999</v>
      </c>
      <c r="K24" s="172">
        <f>SUMIFS('7.Rendimientos Financieros'!F:F,'7.Rendimientos Financieros'!E:E,"&lt;="&amp;(EOMONTH($A24,0)))</f>
        <v>34861040295.449997</v>
      </c>
      <c r="L24" s="99">
        <f t="shared" si="32"/>
        <v>1832234215.3899994</v>
      </c>
      <c r="M24" s="142">
        <f t="shared" si="33"/>
        <v>267461116287.37</v>
      </c>
      <c r="N24" s="99">
        <f t="shared" ref="N24" si="55">213947610571.03+53513484534.34</f>
        <v>267461095105.37</v>
      </c>
      <c r="O24" s="99">
        <f t="shared" si="34"/>
        <v>-21182</v>
      </c>
      <c r="P24" s="79"/>
    </row>
    <row r="25" spans="1:16" s="50" customFormat="1" ht="36" hidden="1" customHeight="1" x14ac:dyDescent="0.25">
      <c r="A25" s="85">
        <v>45596</v>
      </c>
      <c r="B25" s="75" t="s">
        <v>51</v>
      </c>
      <c r="C25" s="80">
        <f>SUMIFS('3.Ingresos del Contrato'!J:J,'3.Ingresos del Contrato'!H:H,"&lt;="&amp;(EOMONTH($A25,-1)))</f>
        <v>294145282376</v>
      </c>
      <c r="D25" s="77">
        <f>SUMIFS('3.Ingresos del Contrato'!J:J,'3.Ingresos del Contrato'!H:H,"&gt;"&amp;(EOMONTH($A25,-1)),'3.Ingresos del Contrato'!H:H,"&lt;="&amp;(EOMONTH($A25,0)))</f>
        <v>0</v>
      </c>
      <c r="E25" s="99">
        <f t="shared" si="30"/>
        <v>294145282376</v>
      </c>
      <c r="F25" s="166">
        <f>SUMIFS('6.Reportes de Pagos'!N:N,'6.Reportes de Pagos'!H:H,"&lt;="&amp;(EOMONTH($A25,-1)))</f>
        <v>28516400304.019993</v>
      </c>
      <c r="G25" s="166">
        <f>SUMIFS('6.Reportes de Pagos'!N:N,'6.Reportes de Pagos'!H:H,"&gt;"&amp;(EOMONTH($A25,-1)),'6.Reportes de Pagos'!H:H,"&lt;="&amp;(EOMONTH($A25,0)))</f>
        <v>8854599091.0899982</v>
      </c>
      <c r="H25" s="99">
        <f t="shared" si="31"/>
        <v>37370999395.109993</v>
      </c>
      <c r="I25" s="172">
        <f>SUMIFS('7.Rendimientos Financieros'!D:D,'7.Rendimientos Financieros'!A:A,"&lt;="&amp;(EOMONTH($A25,-1)))</f>
        <v>36693274510.839996</v>
      </c>
      <c r="J25" s="172">
        <f>SUMIFS('7.Rendimientos Financieros'!D:D,'7.Rendimientos Financieros'!A:A,"&gt;"&amp;(EOMONTH($A25,-1)),'7.Rendimientos Financieros'!A:A,"&lt;="&amp;(EOMONTH($A25,0)))</f>
        <v>1685622861.4299998</v>
      </c>
      <c r="K25" s="172">
        <f>SUMIFS('7.Rendimientos Financieros'!F:F,'7.Rendimientos Financieros'!E:E,"&lt;="&amp;(EOMONTH($A25,0)))</f>
        <v>36693274510.839996</v>
      </c>
      <c r="L25" s="99">
        <f t="shared" si="32"/>
        <v>1685622861.4300003</v>
      </c>
      <c r="M25" s="142">
        <f t="shared" si="33"/>
        <v>258459905842.32001</v>
      </c>
      <c r="N25" s="99">
        <f>51697339067.98+206762549162.34</f>
        <v>258459888230.32001</v>
      </c>
      <c r="O25" s="99">
        <f t="shared" si="34"/>
        <v>-17612</v>
      </c>
      <c r="P25" s="79"/>
    </row>
    <row r="26" spans="1:16" s="50" customFormat="1" ht="36" hidden="1" customHeight="1" x14ac:dyDescent="0.25">
      <c r="A26" s="85">
        <v>45626</v>
      </c>
      <c r="B26" s="75" t="s">
        <v>51</v>
      </c>
      <c r="C26" s="80">
        <f>SUMIFS('3.Ingresos del Contrato'!J:J,'3.Ingresos del Contrato'!H:H,"&lt;="&amp;(EOMONTH($A26,-1)))</f>
        <v>294145282376</v>
      </c>
      <c r="D26" s="77">
        <f>SUMIFS('3.Ingresos del Contrato'!J:J,'3.Ingresos del Contrato'!H:H,"&gt;"&amp;(EOMONTH($A26,-1)),'3.Ingresos del Contrato'!H:H,"&lt;="&amp;(EOMONTH($A26,0)))</f>
        <v>0</v>
      </c>
      <c r="E26" s="99">
        <f t="shared" si="30"/>
        <v>294145282376</v>
      </c>
      <c r="F26" s="166">
        <f>SUMIFS('6.Reportes de Pagos'!N:N,'6.Reportes de Pagos'!H:H,"&lt;="&amp;(EOMONTH($A26,-1)))</f>
        <v>37370999395.110008</v>
      </c>
      <c r="G26" s="166">
        <f>SUMIFS('6.Reportes de Pagos'!N:N,'6.Reportes de Pagos'!H:H,"&gt;"&amp;(EOMONTH($A26,-1)),'6.Reportes de Pagos'!H:H,"&lt;="&amp;(EOMONTH($A26,0)))</f>
        <v>8641703322.039999</v>
      </c>
      <c r="H26" s="99">
        <f t="shared" si="31"/>
        <v>46012702717.150009</v>
      </c>
      <c r="I26" s="172">
        <f>SUMIFS('7.Rendimientos Financieros'!D:D,'7.Rendimientos Financieros'!A:A,"&lt;="&amp;(EOMONTH($A26,-1)))</f>
        <v>38378897372.269997</v>
      </c>
      <c r="J26" s="172">
        <f>SUMIFS('7.Rendimientos Financieros'!D:D,'7.Rendimientos Financieros'!A:A,"&gt;"&amp;(EOMONTH($A26,-1)),'7.Rendimientos Financieros'!A:A,"&lt;="&amp;(EOMONTH($A26,0)))</f>
        <v>1537664069.51</v>
      </c>
      <c r="K26" s="172">
        <f>SUMIFS('7.Rendimientos Financieros'!F:F,'7.Rendimientos Financieros'!E:E,"&lt;="&amp;(EOMONTH($A26,0)))</f>
        <v>38378897372.269997</v>
      </c>
      <c r="L26" s="99">
        <f t="shared" si="32"/>
        <v>1537664069.5100021</v>
      </c>
      <c r="M26" s="142">
        <f t="shared" si="33"/>
        <v>249670243728.35999</v>
      </c>
      <c r="N26" s="99">
        <f>49938064753.91+199732170168.45</f>
        <v>249670234922.36002</v>
      </c>
      <c r="O26" s="99">
        <f t="shared" ref="O26:O31" si="56">+N26-M26</f>
        <v>-8805.9999694824219</v>
      </c>
      <c r="P26" s="79"/>
    </row>
    <row r="27" spans="1:16" s="50" customFormat="1" ht="36" hidden="1" customHeight="1" x14ac:dyDescent="0.25">
      <c r="A27" s="85">
        <v>45657</v>
      </c>
      <c r="B27" s="75" t="s">
        <v>51</v>
      </c>
      <c r="C27" s="80">
        <f>SUMIFS('3.Ingresos del Contrato'!J:J,'3.Ingresos del Contrato'!H:H,"&lt;="&amp;(EOMONTH($A27,-1)))</f>
        <v>294145282376</v>
      </c>
      <c r="D27" s="77">
        <f>SUMIFS('3.Ingresos del Contrato'!J:J,'3.Ingresos del Contrato'!H:H,"&gt;"&amp;(EOMONTH($A27,-1)),'3.Ingresos del Contrato'!H:H,"&lt;="&amp;(EOMONTH($A27,0)))</f>
        <v>0</v>
      </c>
      <c r="E27" s="99">
        <f t="shared" si="30"/>
        <v>294145282376</v>
      </c>
      <c r="F27" s="166">
        <f>SUMIFS('6.Reportes de Pagos'!N:N,'6.Reportes de Pagos'!H:H,"&lt;="&amp;(EOMONTH($A27,-1)))</f>
        <v>46012702717.150002</v>
      </c>
      <c r="G27" s="166">
        <f>SUMIFS('6.Reportes de Pagos'!N:N,'6.Reportes de Pagos'!H:H,"&gt;"&amp;(EOMONTH($A27,-1)),'6.Reportes de Pagos'!H:H,"&lt;="&amp;(EOMONTH($A27,0)))</f>
        <v>8148136486.9500008</v>
      </c>
      <c r="H27" s="99">
        <f t="shared" si="31"/>
        <v>54160839204.100006</v>
      </c>
      <c r="I27" s="172">
        <f>SUMIFS('7.Rendimientos Financieros'!D:D,'7.Rendimientos Financieros'!A:A,"&lt;="&amp;(EOMONTH($A27,-1)))</f>
        <v>39916561441.779999</v>
      </c>
      <c r="J27" s="172">
        <f>SUMIFS('7.Rendimientos Financieros'!D:D,'7.Rendimientos Financieros'!A:A,"&gt;"&amp;(EOMONTH($A27,-1)),'7.Rendimientos Financieros'!A:A,"&lt;="&amp;(EOMONTH($A27,0)))</f>
        <v>1468863111.73</v>
      </c>
      <c r="K27" s="172">
        <f>SUMIFS('7.Rendimientos Financieros'!F:F,'7.Rendimientos Financieros'!E:E,"&lt;="&amp;(EOMONTH($A27,0)))</f>
        <v>39916561441.779999</v>
      </c>
      <c r="L27" s="99">
        <f t="shared" si="32"/>
        <v>1468863111.7300034</v>
      </c>
      <c r="M27" s="142">
        <f t="shared" si="33"/>
        <v>241453306283.63</v>
      </c>
      <c r="N27" s="99">
        <v>241453297477.63</v>
      </c>
      <c r="O27" s="99">
        <f t="shared" si="56"/>
        <v>-8806</v>
      </c>
      <c r="P27" s="79"/>
    </row>
    <row r="28" spans="1:16" s="50" customFormat="1" ht="36" hidden="1" customHeight="1" x14ac:dyDescent="0.25">
      <c r="A28" s="85">
        <v>45688</v>
      </c>
      <c r="B28" s="75" t="s">
        <v>51</v>
      </c>
      <c r="C28" s="80">
        <f>SUMIFS('3.Ingresos del Contrato'!J:J,'3.Ingresos del Contrato'!H:H,"&lt;="&amp;(EOMONTH($A28,-1)))</f>
        <v>294145282376</v>
      </c>
      <c r="D28" s="77">
        <f>SUMIFS('3.Ingresos del Contrato'!J:J,'3.Ingresos del Contrato'!H:H,"&gt;"&amp;(EOMONTH($A28,-1)),'3.Ingresos del Contrato'!H:H,"&lt;="&amp;(EOMONTH($A28,0)))</f>
        <v>99930804343</v>
      </c>
      <c r="E28" s="99">
        <f t="shared" si="30"/>
        <v>394076086719</v>
      </c>
      <c r="F28" s="166">
        <f>SUMIFS('6.Reportes de Pagos'!N:N,'6.Reportes de Pagos'!H:H,"&lt;="&amp;(EOMONTH($A28,-1)))</f>
        <v>54160839204.099991</v>
      </c>
      <c r="G28" s="166">
        <f>SUMIFS('6.Reportes de Pagos'!N:N,'6.Reportes de Pagos'!H:H,"&gt;"&amp;(EOMONTH($A28,-1)),'6.Reportes de Pagos'!H:H,"&lt;="&amp;(EOMONTH($A28,0)))</f>
        <v>6199086559.6999998</v>
      </c>
      <c r="H28" s="99">
        <f t="shared" si="31"/>
        <v>60359925763.799988</v>
      </c>
      <c r="I28" s="172">
        <f>SUMIFS('7.Rendimientos Financieros'!D:D,'7.Rendimientos Financieros'!A:A,"&lt;="&amp;(EOMONTH($A28,-1)))</f>
        <v>41385424553.510002</v>
      </c>
      <c r="J28" s="172">
        <f>SUMIFS('7.Rendimientos Financieros'!D:D,'7.Rendimientos Financieros'!A:A,"&gt;"&amp;(EOMONTH($A28,-1)),'7.Rendimientos Financieros'!A:A,"&lt;="&amp;(EOMONTH($A28,0)))</f>
        <v>1850181513.6500001</v>
      </c>
      <c r="K28" s="172">
        <f>SUMIFS('7.Rendimientos Financieros'!F:F,'7.Rendimientos Financieros'!E:E,"&lt;="&amp;(EOMONTH($A28,0)))</f>
        <v>41346160832.769997</v>
      </c>
      <c r="L28" s="99">
        <f t="shared" si="32"/>
        <v>1889445234.390007</v>
      </c>
      <c r="M28" s="142">
        <f t="shared" si="33"/>
        <v>335605606189.59003</v>
      </c>
      <c r="N28" s="99">
        <v>335605597383.59003</v>
      </c>
      <c r="O28" s="99">
        <f t="shared" si="56"/>
        <v>-8806</v>
      </c>
      <c r="P28" s="79"/>
    </row>
    <row r="29" spans="1:16" s="50" customFormat="1" ht="36" hidden="1" customHeight="1" x14ac:dyDescent="0.25">
      <c r="A29" s="85">
        <v>45716</v>
      </c>
      <c r="B29" s="75" t="s">
        <v>51</v>
      </c>
      <c r="C29" s="80">
        <f>SUMIFS('3.Ingresos del Contrato'!J:J,'3.Ingresos del Contrato'!H:H,"&lt;="&amp;(EOMONTH($A29,-1)))</f>
        <v>394076086719</v>
      </c>
      <c r="D29" s="77">
        <f>SUMIFS('3.Ingresos del Contrato'!J:J,'3.Ingresos del Contrato'!H:H,"&gt;"&amp;(EOMONTH($A29,-1)),'3.Ingresos del Contrato'!H:H,"&lt;="&amp;(EOMONTH($A29,0)))</f>
        <v>0</v>
      </c>
      <c r="E29" s="99">
        <f t="shared" ref="E29" si="57">SUM(C29:D29)</f>
        <v>394076086719</v>
      </c>
      <c r="F29" s="166">
        <f>SUMIFS('6.Reportes de Pagos'!N:N,'6.Reportes de Pagos'!H:H,"&lt;="&amp;(EOMONTH($A29,-1)))</f>
        <v>60359925763.799988</v>
      </c>
      <c r="G29" s="166">
        <f>SUMIFS('6.Reportes de Pagos'!N:N,'6.Reportes de Pagos'!H:H,"&gt;"&amp;(EOMONTH($A29,-1)),'6.Reportes de Pagos'!H:H,"&lt;="&amp;(EOMONTH($A29,0)))</f>
        <v>7419032190.9600029</v>
      </c>
      <c r="H29" s="99">
        <f t="shared" ref="H29" si="58">SUM(F29:G29)</f>
        <v>67778957954.759995</v>
      </c>
      <c r="I29" s="172">
        <f>SUMIFS('7.Rendimientos Financieros'!D:D,'7.Rendimientos Financieros'!A:A,"&lt;="&amp;(EOMONTH($A29,-1)))</f>
        <v>43235606067.160004</v>
      </c>
      <c r="J29" s="172">
        <f>SUMIFS('7.Rendimientos Financieros'!D:D,'7.Rendimientos Financieros'!A:A,"&gt;"&amp;(EOMONTH($A29,-1)),'7.Rendimientos Financieros'!A:A,"&lt;="&amp;(EOMONTH($A29,0)))</f>
        <v>1971329860.1299996</v>
      </c>
      <c r="K29" s="172">
        <f>SUMIFS('7.Rendimientos Financieros'!F:F,'7.Rendimientos Financieros'!E:E,"&lt;="&amp;(EOMONTH($A29,0)))</f>
        <v>43235606067.159996</v>
      </c>
      <c r="L29" s="99">
        <f t="shared" ref="L29" si="59">SUM(I29:J29)-SUM(K29)</f>
        <v>1971329860.1300049</v>
      </c>
      <c r="M29" s="142">
        <f t="shared" ref="M29" si="60">+E29-H29+L29</f>
        <v>328268458624.37</v>
      </c>
      <c r="N29" s="99">
        <v>328268449818.37</v>
      </c>
      <c r="O29" s="99">
        <f t="shared" si="56"/>
        <v>-8806</v>
      </c>
      <c r="P29" s="79"/>
    </row>
    <row r="30" spans="1:16" s="50" customFormat="1" ht="36" hidden="1" customHeight="1" x14ac:dyDescent="0.25">
      <c r="A30" s="85">
        <v>45747</v>
      </c>
      <c r="B30" s="75" t="s">
        <v>51</v>
      </c>
      <c r="C30" s="80">
        <f>SUMIFS('3.Ingresos del Contrato'!J:J,'3.Ingresos del Contrato'!H:H,"&lt;="&amp;(EOMONTH($A30,-1)))</f>
        <v>394076086719</v>
      </c>
      <c r="D30" s="77">
        <f>SUMIFS('3.Ingresos del Contrato'!J:J,'3.Ingresos del Contrato'!H:H,"&gt;"&amp;(EOMONTH($A30,-1)),'3.Ingresos del Contrato'!H:H,"&lt;="&amp;(EOMONTH($A30,0)))</f>
        <v>0</v>
      </c>
      <c r="E30" s="99">
        <f t="shared" ref="E30" si="61">SUM(C30:D30)</f>
        <v>394076086719</v>
      </c>
      <c r="F30" s="166">
        <f>SUMIFS('6.Reportes de Pagos'!N:N,'6.Reportes de Pagos'!H:H,"&lt;="&amp;(EOMONTH($A30,-1)))</f>
        <v>67778957954.759972</v>
      </c>
      <c r="G30" s="166">
        <f>SUMIFS('6.Reportes de Pagos'!N:N,'6.Reportes de Pagos'!H:H,"&gt;"&amp;(EOMONTH($A30,-1)),'6.Reportes de Pagos'!H:H,"&lt;="&amp;(EOMONTH($A30,0)))</f>
        <v>10934955978.17</v>
      </c>
      <c r="H30" s="99">
        <f t="shared" ref="H30" si="62">SUM(F30:G30)</f>
        <v>78713913932.929977</v>
      </c>
      <c r="I30" s="172">
        <f>SUMIFS('7.Rendimientos Financieros'!D:D,'7.Rendimientos Financieros'!A:A,"&lt;="&amp;(EOMONTH($A30,-1)))</f>
        <v>45206935927.290001</v>
      </c>
      <c r="J30" s="172">
        <f>SUMIFS('7.Rendimientos Financieros'!D:D,'7.Rendimientos Financieros'!A:A,"&gt;"&amp;(EOMONTH($A30,-1)),'7.Rendimientos Financieros'!A:A,"&lt;="&amp;(EOMONTH($A30,0)))</f>
        <v>2083753038</v>
      </c>
      <c r="K30" s="172">
        <f>SUMIFS('7.Rendimientos Financieros'!F:F,'7.Rendimientos Financieros'!E:E,"&lt;="&amp;(EOMONTH($A30,0)))</f>
        <v>45206935927.289993</v>
      </c>
      <c r="L30" s="99">
        <f t="shared" ref="L30" si="63">SUM(I30:J30)-SUM(K30)</f>
        <v>2083753038.0000076</v>
      </c>
      <c r="M30" s="142">
        <f t="shared" ref="M30" si="64">+E30-H30+L30</f>
        <v>317445925824.07001</v>
      </c>
      <c r="N30" s="99">
        <f>63508039429.96+253937769179.11</f>
        <v>317445808609.07001</v>
      </c>
      <c r="O30" s="99">
        <f t="shared" si="56"/>
        <v>-117215</v>
      </c>
      <c r="P30" s="79"/>
    </row>
    <row r="31" spans="1:16" s="50" customFormat="1" ht="36" hidden="1" customHeight="1" x14ac:dyDescent="0.25">
      <c r="A31" s="85">
        <v>45777</v>
      </c>
      <c r="B31" s="75" t="s">
        <v>51</v>
      </c>
      <c r="C31" s="80">
        <f>SUMIFS('3.Ingresos del Contrato'!J:J,'3.Ingresos del Contrato'!H:H,"&lt;="&amp;(EOMONTH($A31,-1)))</f>
        <v>394076086719</v>
      </c>
      <c r="D31" s="77">
        <f>SUMIFS('3.Ingresos del Contrato'!J:J,'3.Ingresos del Contrato'!H:H,"&gt;"&amp;(EOMONTH($A31,-1)),'3.Ingresos del Contrato'!H:H,"&lt;="&amp;(EOMONTH($A31,0)))</f>
        <v>0</v>
      </c>
      <c r="E31" s="99">
        <f t="shared" ref="E31" si="65">SUM(C31:D31)</f>
        <v>394076086719</v>
      </c>
      <c r="F31" s="166">
        <f>SUMIFS('6.Reportes de Pagos'!N:N,'6.Reportes de Pagos'!H:H,"&lt;="&amp;(EOMONTH($A31,-1)))</f>
        <v>78713913932.930008</v>
      </c>
      <c r="G31" s="166">
        <f>SUMIFS('6.Reportes de Pagos'!N:N,'6.Reportes de Pagos'!H:H,"&gt;"&amp;(EOMONTH($A31,-1)),'6.Reportes de Pagos'!H:H,"&lt;="&amp;(EOMONTH($A31,0)))</f>
        <v>10102579983.83</v>
      </c>
      <c r="H31" s="99">
        <f t="shared" ref="H31" si="66">SUM(F31:G31)</f>
        <v>88816493916.76001</v>
      </c>
      <c r="I31" s="172">
        <f>SUMIFS('7.Rendimientos Financieros'!D:D,'7.Rendimientos Financieros'!A:A,"&lt;="&amp;(EOMONTH($A31,-1)))</f>
        <v>47290688965.290001</v>
      </c>
      <c r="J31" s="172">
        <f>SUMIFS('7.Rendimientos Financieros'!D:D,'7.Rendimientos Financieros'!A:A,"&gt;"&amp;(EOMONTH($A31,-1)),'7.Rendimientos Financieros'!A:A,"&lt;="&amp;(EOMONTH($A31,0)))</f>
        <v>2008501965.49</v>
      </c>
      <c r="K31" s="172">
        <f>SUMIFS('7.Rendimientos Financieros'!F:F,'7.Rendimientos Financieros'!E:E,"&lt;="&amp;(EOMONTH($A31,0)))</f>
        <v>47284356609.619995</v>
      </c>
      <c r="L31" s="99">
        <f t="shared" ref="L31" si="67">SUM(I31:J31)-SUM(K31)</f>
        <v>2014834321.1600037</v>
      </c>
      <c r="M31" s="142">
        <f t="shared" ref="M31" si="68">+E31-H31+L31</f>
        <v>307274427123.40002</v>
      </c>
      <c r="N31" s="99">
        <f>61458531935.91+245815792972.49</f>
        <v>307274324908.40002</v>
      </c>
      <c r="O31" s="99">
        <f t="shared" si="56"/>
        <v>-102215</v>
      </c>
      <c r="P31" s="79"/>
    </row>
    <row r="32" spans="1:16" s="50" customFormat="1" ht="36" hidden="1" customHeight="1" x14ac:dyDescent="0.25">
      <c r="A32" s="85">
        <v>45808</v>
      </c>
      <c r="B32" s="75" t="s">
        <v>51</v>
      </c>
      <c r="C32" s="80">
        <f>SUMIFS('3.Ingresos del Contrato'!J:J,'3.Ingresos del Contrato'!H:H,"&lt;="&amp;(EOMONTH($A32,-1)))</f>
        <v>394076086719</v>
      </c>
      <c r="D32" s="77">
        <f>SUMIFS('3.Ingresos del Contrato'!J:J,'3.Ingresos del Contrato'!H:H,"&gt;"&amp;(EOMONTH($A32,-1)),'3.Ingresos del Contrato'!H:H,"&lt;="&amp;(EOMONTH($A32,0)))</f>
        <v>0</v>
      </c>
      <c r="E32" s="99">
        <f t="shared" ref="E32:E33" si="69">SUM(C32:D32)</f>
        <v>394076086719</v>
      </c>
      <c r="F32" s="166">
        <f>SUMIFS('6.Reportes de Pagos'!N:N,'6.Reportes de Pagos'!H:H,"&lt;="&amp;(EOMONTH($A32,-1)))</f>
        <v>88816493916.76001</v>
      </c>
      <c r="G32" s="166">
        <f>SUMIFS('6.Reportes de Pagos'!N:N,'6.Reportes de Pagos'!H:H,"&gt;"&amp;(EOMONTH($A32,-1)),'6.Reportes de Pagos'!H:H,"&lt;="&amp;(EOMONTH($A32,0)))</f>
        <v>9613256122.8099995</v>
      </c>
      <c r="H32" s="99">
        <f t="shared" ref="H32:H33" si="70">SUM(F32:G32)</f>
        <v>98429750039.570007</v>
      </c>
      <c r="I32" s="172">
        <f>SUMIFS('7.Rendimientos Financieros'!D:D,'7.Rendimientos Financieros'!A:A,"&lt;="&amp;(EOMONTH($A32,-1)))</f>
        <v>49299190930.779999</v>
      </c>
      <c r="J32" s="172">
        <f>SUMIFS('7.Rendimientos Financieros'!D:D,'7.Rendimientos Financieros'!A:A,"&gt;"&amp;(EOMONTH($A32,-1)),'7.Rendimientos Financieros'!A:A,"&lt;="&amp;(EOMONTH($A32,0)))</f>
        <v>1949007538.1700001</v>
      </c>
      <c r="K32" s="172">
        <f>SUMIFS('7.Rendimientos Financieros'!F:F,'7.Rendimientos Financieros'!E:E,"&lt;="&amp;(EOMONTH($A32,0)))</f>
        <v>49299190930.779999</v>
      </c>
      <c r="L32" s="99">
        <f t="shared" ref="L32:L33" si="71">SUM(I32:J32)-SUM(K32)</f>
        <v>1949007538.1699982</v>
      </c>
      <c r="M32" s="142">
        <f t="shared" ref="M32:M33" si="72">+E32-H32+L32</f>
        <v>297595344217.59998</v>
      </c>
      <c r="N32" s="99">
        <f>59514570417.85+238080656584.75</f>
        <v>297595227002.59998</v>
      </c>
      <c r="O32" s="99">
        <f t="shared" ref="O32:O33" si="73">+N32-M32</f>
        <v>-117215</v>
      </c>
      <c r="P32" s="79"/>
    </row>
    <row r="33" spans="1:16" s="50" customFormat="1" ht="36" hidden="1" customHeight="1" x14ac:dyDescent="0.25">
      <c r="A33" s="85">
        <v>45838</v>
      </c>
      <c r="B33" s="75" t="s">
        <v>51</v>
      </c>
      <c r="C33" s="80">
        <f>SUMIFS('3.Ingresos del Contrato'!J:J,'3.Ingresos del Contrato'!H:H,"&lt;="&amp;(EOMONTH($A33,-1)))</f>
        <v>394076086719</v>
      </c>
      <c r="D33" s="77">
        <f>SUMIFS('3.Ingresos del Contrato'!J:J,'3.Ingresos del Contrato'!H:H,"&gt;"&amp;(EOMONTH($A33,-1)),'3.Ingresos del Contrato'!H:H,"&lt;="&amp;(EOMONTH($A33,0)))</f>
        <v>0</v>
      </c>
      <c r="E33" s="99">
        <f t="shared" si="69"/>
        <v>394076086719</v>
      </c>
      <c r="F33" s="166">
        <f>SUMIFS('6.Reportes de Pagos'!N:N,'6.Reportes de Pagos'!H:H,"&lt;="&amp;(EOMONTH($A33,-1)))</f>
        <v>98429750039.569992</v>
      </c>
      <c r="G33" s="166">
        <f>SUMIFS('6.Reportes de Pagos'!N:N,'6.Reportes de Pagos'!H:H,"&gt;"&amp;(EOMONTH($A33,-1)),'6.Reportes de Pagos'!H:H,"&lt;="&amp;(EOMONTH($A33,0)))</f>
        <v>6257111678.7799988</v>
      </c>
      <c r="H33" s="99">
        <f t="shared" si="70"/>
        <v>104686861718.34999</v>
      </c>
      <c r="I33" s="172">
        <f>SUMIFS('7.Rendimientos Financieros'!D:D,'7.Rendimientos Financieros'!A:A,"&lt;="&amp;(EOMONTH($A33,-1)))</f>
        <v>51248198468.949997</v>
      </c>
      <c r="J33" s="172">
        <f>SUMIFS('7.Rendimientos Financieros'!D:D,'7.Rendimientos Financieros'!A:A,"&gt;"&amp;(EOMONTH($A33,-1)),'7.Rendimientos Financieros'!A:A,"&lt;="&amp;(EOMONTH($A33,0)))</f>
        <v>1688206263.25</v>
      </c>
      <c r="K33" s="172">
        <f>SUMIFS('7.Rendimientos Financieros'!F:F,'7.Rendimientos Financieros'!E:E,"&lt;="&amp;(EOMONTH($A33,0)))</f>
        <v>51248198468.949997</v>
      </c>
      <c r="L33" s="99">
        <f t="shared" si="71"/>
        <v>1688206263.25</v>
      </c>
      <c r="M33" s="142">
        <f t="shared" si="72"/>
        <v>291077431263.90002</v>
      </c>
      <c r="N33" s="99">
        <f>232857657218.42+58219774045.48</f>
        <v>291077431263.90002</v>
      </c>
      <c r="O33" s="99">
        <f t="shared" si="73"/>
        <v>0</v>
      </c>
      <c r="P33" s="79"/>
    </row>
    <row r="34" spans="1:16" s="50" customFormat="1" ht="36" customHeight="1" x14ac:dyDescent="0.25">
      <c r="A34" s="85">
        <f>FECHA</f>
        <v>45869</v>
      </c>
      <c r="B34" s="75" t="s">
        <v>51</v>
      </c>
      <c r="C34" s="80">
        <f>SUMIFS('3.Ingresos del Contrato'!J:J,'3.Ingresos del Contrato'!H:H,"&lt;="&amp;(EOMONTH($A34,-1)))</f>
        <v>394076086719</v>
      </c>
      <c r="D34" s="77">
        <f>SUMIFS('3.Ingresos del Contrato'!J:J,'3.Ingresos del Contrato'!H:H,"&gt;"&amp;(EOMONTH($A34,-1)),'3.Ingresos del Contrato'!H:H,"&lt;="&amp;(EOMONTH($A34,0)))</f>
        <v>0</v>
      </c>
      <c r="E34" s="99">
        <f t="shared" ref="E34" si="74">SUM(C34:D34)</f>
        <v>394076086719</v>
      </c>
      <c r="F34" s="166">
        <f>SUMIFS('6.Reportes de Pagos'!N:N,'6.Reportes de Pagos'!H:H,"&lt;="&amp;(EOMONTH($A34,-1)))</f>
        <v>104686861718.34996</v>
      </c>
      <c r="G34" s="166">
        <f>SUMIFS('6.Reportes de Pagos'!N:N,'6.Reportes de Pagos'!H:H,"&gt;"&amp;(EOMONTH($A34,-1)),'6.Reportes de Pagos'!H:H,"&lt;="&amp;(EOMONTH($A34,0)))</f>
        <v>6243183740.7300005</v>
      </c>
      <c r="H34" s="99">
        <f t="shared" ref="H34" si="75">SUM(F34:G34)</f>
        <v>110930045459.07996</v>
      </c>
      <c r="I34" s="172">
        <f>SUMIFS('7.Rendimientos Financieros'!D:D,'7.Rendimientos Financieros'!A:A,"&lt;="&amp;(EOMONTH($A34,-1)))</f>
        <v>52936404732.199997</v>
      </c>
      <c r="J34" s="172">
        <f>SUMIFS('7.Rendimientos Financieros'!D:D,'7.Rendimientos Financieros'!A:A,"&gt;"&amp;(EOMONTH($A34,-1)),'7.Rendimientos Financieros'!A:A,"&lt;="&amp;(EOMONTH($A34,0)))</f>
        <v>1837641925.0401211</v>
      </c>
      <c r="K34" s="172">
        <f>SUMIFS('7.Rendimientos Financieros'!F:F,'7.Rendimientos Financieros'!E:E,"&lt;="&amp;(EOMONTH($A34,0)))</f>
        <v>52936404732.199997</v>
      </c>
      <c r="L34" s="99">
        <f t="shared" ref="L34" si="76">SUM(I34:J34)-SUM(K34)</f>
        <v>1837641925.040123</v>
      </c>
      <c r="M34" s="142">
        <f t="shared" ref="M34" si="77">+E34-H34+L34</f>
        <v>284983683184.96014</v>
      </c>
      <c r="N34" s="99">
        <f>57002364272.86+227981318912.1</f>
        <v>284983683184.96002</v>
      </c>
      <c r="O34" s="99">
        <f t="shared" ref="O34" si="78">+N34-M34</f>
        <v>0</v>
      </c>
      <c r="P34" s="79"/>
    </row>
    <row r="36" spans="1:16" x14ac:dyDescent="0.25">
      <c r="A36" s="276" t="s">
        <v>1473</v>
      </c>
      <c r="B36" s="276"/>
      <c r="C36" s="276"/>
      <c r="D36" s="276"/>
      <c r="E36" s="276"/>
      <c r="F36" s="276"/>
      <c r="G36" s="276"/>
      <c r="H36" s="276"/>
      <c r="I36" s="276"/>
      <c r="J36" s="276"/>
      <c r="K36" s="276"/>
      <c r="L36" s="276"/>
      <c r="M36" s="276"/>
      <c r="N36" s="276"/>
      <c r="O36" s="276"/>
    </row>
    <row r="37" spans="1:16" ht="28.5" customHeight="1" x14ac:dyDescent="0.25">
      <c r="A37" s="276"/>
      <c r="B37" s="276"/>
      <c r="C37" s="276"/>
      <c r="D37" s="276"/>
      <c r="E37" s="276"/>
      <c r="F37" s="276"/>
      <c r="G37" s="276"/>
      <c r="H37" s="276"/>
      <c r="I37" s="276"/>
      <c r="J37" s="276"/>
      <c r="K37" s="276"/>
      <c r="L37" s="276"/>
      <c r="M37" s="276"/>
      <c r="N37" s="276"/>
      <c r="O37" s="276"/>
    </row>
    <row r="38" spans="1:16" x14ac:dyDescent="0.25">
      <c r="F38" s="165"/>
      <c r="G38" s="36"/>
      <c r="J38" s="272"/>
      <c r="K38" s="273"/>
      <c r="L38" s="273"/>
      <c r="M38" s="273"/>
      <c r="N38" s="273"/>
      <c r="O38" s="273"/>
    </row>
    <row r="39" spans="1:16" x14ac:dyDescent="0.25">
      <c r="F39" s="36"/>
      <c r="J39" s="273"/>
      <c r="K39" s="273"/>
      <c r="L39" s="273"/>
      <c r="M39" s="273"/>
      <c r="N39" s="273"/>
      <c r="O39" s="273"/>
    </row>
    <row r="40" spans="1:16" ht="15" customHeight="1" thickBot="1" x14ac:dyDescent="0.3">
      <c r="F40" s="141" t="s">
        <v>675</v>
      </c>
      <c r="G40" s="277" t="s">
        <v>676</v>
      </c>
      <c r="H40" s="278"/>
      <c r="I40" s="279"/>
      <c r="J40" s="280" t="s">
        <v>939</v>
      </c>
      <c r="M40" s="36"/>
      <c r="N40" s="100"/>
    </row>
    <row r="41" spans="1:16" ht="27.6" customHeight="1" x14ac:dyDescent="0.25">
      <c r="F41" s="197">
        <f>+N34</f>
        <v>284983683184.96002</v>
      </c>
      <c r="G41" s="283" t="s">
        <v>677</v>
      </c>
      <c r="H41" s="284"/>
      <c r="I41" s="284"/>
      <c r="J41" s="281"/>
      <c r="L41" s="216"/>
      <c r="O41" s="36"/>
    </row>
    <row r="42" spans="1:16" x14ac:dyDescent="0.25">
      <c r="F42" s="198">
        <f>57588.73</f>
        <v>57588.73</v>
      </c>
      <c r="G42" s="285" t="s">
        <v>928</v>
      </c>
      <c r="H42" s="286"/>
      <c r="I42" s="286"/>
      <c r="J42" s="281"/>
      <c r="K42" s="100"/>
      <c r="L42" s="216"/>
      <c r="O42" s="36"/>
    </row>
    <row r="43" spans="1:16" x14ac:dyDescent="0.25">
      <c r="F43" s="198">
        <v>1087200.92</v>
      </c>
      <c r="G43" s="285" t="s">
        <v>1408</v>
      </c>
      <c r="H43" s="286"/>
      <c r="I43" s="286"/>
      <c r="J43" s="281"/>
      <c r="K43" s="100"/>
      <c r="L43" s="216"/>
      <c r="O43" s="36"/>
    </row>
    <row r="44" spans="1:16" x14ac:dyDescent="0.25">
      <c r="F44" s="198">
        <f>+'7.Rendimientos Financieros'!H33</f>
        <v>1837641925.040123</v>
      </c>
      <c r="G44" s="285" t="s">
        <v>678</v>
      </c>
      <c r="H44" s="286"/>
      <c r="I44" s="286"/>
      <c r="J44" s="281"/>
      <c r="L44" s="216"/>
    </row>
    <row r="45" spans="1:16" ht="29.45" customHeight="1" x14ac:dyDescent="0.25">
      <c r="F45" s="198">
        <f>978851131.85-74159684.75</f>
        <v>904691447.10000002</v>
      </c>
      <c r="G45" s="289" t="s">
        <v>1326</v>
      </c>
      <c r="H45" s="290"/>
      <c r="I45" s="290"/>
      <c r="J45" s="281"/>
      <c r="K45" s="216"/>
      <c r="L45" s="216"/>
    </row>
    <row r="46" spans="1:16" x14ac:dyDescent="0.25">
      <c r="F46" s="198">
        <f>113159752.7</f>
        <v>113159752.7</v>
      </c>
      <c r="G46" s="285" t="s">
        <v>679</v>
      </c>
      <c r="H46" s="286"/>
      <c r="I46" s="286"/>
      <c r="J46" s="281"/>
      <c r="L46" s="216"/>
    </row>
    <row r="47" spans="1:16" x14ac:dyDescent="0.25">
      <c r="D47" s="36"/>
      <c r="F47" s="203">
        <f>+'6.Reportes de Pagos'!K928-'6.Reportes de Pagos'!I926+57588.73+11723376.19-0.15</f>
        <v>452592872.91000134</v>
      </c>
      <c r="G47" s="285" t="s">
        <v>680</v>
      </c>
      <c r="H47" s="286"/>
      <c r="I47" s="286"/>
      <c r="J47" s="281"/>
      <c r="K47" s="165"/>
      <c r="L47" s="100"/>
      <c r="N47" s="100"/>
    </row>
    <row r="48" spans="1:16" ht="15.75" thickBot="1" x14ac:dyDescent="0.3">
      <c r="F48" s="198">
        <f>+VRRTEGTIACTO+13875903.21</f>
        <v>7999843841.5499992</v>
      </c>
      <c r="G48" s="287" t="s">
        <v>681</v>
      </c>
      <c r="H48" s="288"/>
      <c r="I48" s="288"/>
      <c r="J48" s="282"/>
      <c r="L48" s="39"/>
      <c r="N48" s="36"/>
    </row>
    <row r="49" spans="4:14" x14ac:dyDescent="0.25">
      <c r="D49" s="36"/>
      <c r="F49" s="196">
        <f>+F41+F42-F44-F46-F47-F48-F45-F43</f>
        <v>273674723733.46991</v>
      </c>
      <c r="G49" s="277"/>
      <c r="H49" s="278"/>
      <c r="I49" s="279"/>
      <c r="J49" s="196">
        <f>+F49</f>
        <v>273674723733.46991</v>
      </c>
      <c r="K49" s="212"/>
      <c r="L49" s="212"/>
      <c r="N49" s="36"/>
    </row>
    <row r="50" spans="4:14" x14ac:dyDescent="0.25">
      <c r="J50" s="165"/>
    </row>
    <row r="51" spans="4:14" x14ac:dyDescent="0.25">
      <c r="J51" s="36"/>
    </row>
    <row r="52" spans="4:14" x14ac:dyDescent="0.25">
      <c r="F52" s="216"/>
    </row>
    <row r="53" spans="4:14" x14ac:dyDescent="0.25">
      <c r="F53" s="36"/>
    </row>
    <row r="55" spans="4:14" x14ac:dyDescent="0.25">
      <c r="G55" s="36"/>
    </row>
  </sheetData>
  <sheetProtection algorithmName="SHA-512" hashValue="wVsYlx570xzKSzdLOMJ2g/gFa6/5yYby2mGFrS8FEpEL3FO2g5fJyDxecCZ4d+EPm8zYJ2g4NQj8J6NzCeRrcw==" saltValue="oRuSVEbuc6X0xZngr7v7NQ==" spinCount="100000" sheet="1" objects="1" scenarios="1"/>
  <mergeCells count="26">
    <mergeCell ref="G49:I49"/>
    <mergeCell ref="G40:I40"/>
    <mergeCell ref="J40:J48"/>
    <mergeCell ref="G41:I41"/>
    <mergeCell ref="G42:I42"/>
    <mergeCell ref="G44:I44"/>
    <mergeCell ref="G46:I46"/>
    <mergeCell ref="G47:I47"/>
    <mergeCell ref="G48:I48"/>
    <mergeCell ref="G45:I45"/>
    <mergeCell ref="G43:I43"/>
    <mergeCell ref="J38:O39"/>
    <mergeCell ref="A3:N3"/>
    <mergeCell ref="A2:N2"/>
    <mergeCell ref="A1:N1"/>
    <mergeCell ref="A4:N4"/>
    <mergeCell ref="A5:N5"/>
    <mergeCell ref="O7:O8"/>
    <mergeCell ref="A7:A8"/>
    <mergeCell ref="M7:M8"/>
    <mergeCell ref="N7:N8"/>
    <mergeCell ref="B7:B8"/>
    <mergeCell ref="C7:E7"/>
    <mergeCell ref="F7:H7"/>
    <mergeCell ref="I7:L7"/>
    <mergeCell ref="A36:O37"/>
  </mergeCells>
  <pageMargins left="0.70866141732283472" right="0.70866141732283472" top="0.74803149606299213" bottom="0.74803149606299213" header="0.31496062992125984" footer="0.31496062992125984"/>
  <pageSetup scale="4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20"/>
  <sheetViews>
    <sheetView showGridLines="0" view="pageBreakPreview" topLeftCell="L1" zoomScale="70" zoomScaleNormal="100" zoomScaleSheetLayoutView="70" workbookViewId="0">
      <selection activeCell="P21" sqref="P21"/>
    </sheetView>
  </sheetViews>
  <sheetFormatPr baseColWidth="10" defaultColWidth="11.42578125" defaultRowHeight="15" x14ac:dyDescent="0.25"/>
  <cols>
    <col min="1" max="1" width="12.85546875" style="27" bestFit="1" customWidth="1"/>
    <col min="2" max="2" width="18.5703125" bestFit="1" customWidth="1"/>
    <col min="3" max="3" width="21.85546875" bestFit="1" customWidth="1"/>
    <col min="4" max="4" width="17.28515625" bestFit="1" customWidth="1"/>
    <col min="5" max="5" width="24.85546875" bestFit="1" customWidth="1"/>
    <col min="6" max="6" width="15.28515625" bestFit="1" customWidth="1"/>
    <col min="7" max="7" width="20.5703125" bestFit="1" customWidth="1"/>
    <col min="8" max="8" width="23.5703125" bestFit="1" customWidth="1"/>
    <col min="9" max="9" width="24.140625" bestFit="1" customWidth="1"/>
    <col min="10" max="10" width="25.140625" bestFit="1" customWidth="1"/>
    <col min="11" max="11" width="34.5703125" bestFit="1" customWidth="1"/>
    <col min="12" max="12" width="22.140625" bestFit="1" customWidth="1"/>
    <col min="13" max="14" width="24.5703125" bestFit="1" customWidth="1"/>
    <col min="15" max="15" width="31.140625" bestFit="1" customWidth="1"/>
    <col min="16" max="16" width="25.140625" bestFit="1" customWidth="1"/>
    <col min="17" max="17" width="32.7109375" bestFit="1" customWidth="1"/>
    <col min="18" max="18" width="24" customWidth="1"/>
    <col min="19" max="19" width="20.5703125" customWidth="1"/>
    <col min="20" max="20" width="17.5703125" customWidth="1"/>
  </cols>
  <sheetData>
    <row r="1" spans="1:20" s="22" customFormat="1" ht="15.95" customHeight="1" x14ac:dyDescent="0.25">
      <c r="A1" s="274" t="str">
        <f>CONTRATO</f>
        <v>Contrato Interadministrativo No. CO1.PCCNTR.5090635</v>
      </c>
      <c r="B1" s="274"/>
      <c r="C1" s="274"/>
      <c r="D1" s="274"/>
      <c r="E1" s="274"/>
      <c r="F1" s="274"/>
      <c r="G1" s="274"/>
      <c r="H1" s="274"/>
      <c r="I1" s="274"/>
      <c r="J1" s="274"/>
      <c r="K1" s="274"/>
      <c r="L1" s="274"/>
      <c r="M1" s="274"/>
      <c r="N1" s="274"/>
      <c r="O1" s="274"/>
      <c r="P1" s="274"/>
      <c r="Q1" s="274"/>
    </row>
    <row r="2" spans="1:20" s="22" customFormat="1" ht="15.95" customHeight="1" x14ac:dyDescent="0.25">
      <c r="A2" s="274" t="s">
        <v>6</v>
      </c>
      <c r="B2" s="274"/>
      <c r="C2" s="274"/>
      <c r="D2" s="274"/>
      <c r="E2" s="274"/>
      <c r="F2" s="274"/>
      <c r="G2" s="274"/>
      <c r="H2" s="274"/>
      <c r="I2" s="274"/>
      <c r="J2" s="274"/>
      <c r="K2" s="274"/>
      <c r="L2" s="274"/>
      <c r="M2" s="274"/>
      <c r="N2" s="274"/>
      <c r="O2" s="274"/>
      <c r="P2" s="274"/>
      <c r="Q2" s="274"/>
    </row>
    <row r="3" spans="1:20" s="22" customFormat="1" ht="15.95" customHeight="1" x14ac:dyDescent="0.25">
      <c r="A3" s="274" t="s">
        <v>17</v>
      </c>
      <c r="B3" s="274"/>
      <c r="C3" s="274"/>
      <c r="D3" s="274"/>
      <c r="E3" s="274"/>
      <c r="F3" s="274"/>
      <c r="G3" s="274"/>
      <c r="H3" s="274"/>
      <c r="I3" s="274"/>
      <c r="J3" s="274"/>
      <c r="K3" s="274"/>
      <c r="L3" s="274"/>
      <c r="M3" s="274"/>
      <c r="N3" s="274"/>
      <c r="O3" s="274"/>
      <c r="P3" s="274"/>
      <c r="Q3" s="274"/>
    </row>
    <row r="4" spans="1:20" s="22" customFormat="1" ht="15.95" customHeight="1" x14ac:dyDescent="0.3">
      <c r="A4" s="271" t="s">
        <v>79</v>
      </c>
      <c r="B4" s="271"/>
      <c r="C4" s="271"/>
      <c r="D4" s="271"/>
      <c r="E4" s="271"/>
      <c r="F4" s="271"/>
      <c r="G4" s="271"/>
      <c r="H4" s="271"/>
      <c r="I4" s="271"/>
      <c r="J4" s="271"/>
      <c r="K4" s="271"/>
      <c r="L4" s="271"/>
      <c r="M4" s="271"/>
      <c r="N4" s="271"/>
      <c r="O4" s="271"/>
      <c r="P4" s="271"/>
      <c r="Q4" s="271"/>
    </row>
    <row r="5" spans="1:20" s="22" customFormat="1" ht="15.95" customHeight="1" x14ac:dyDescent="0.25">
      <c r="A5" s="293" t="str">
        <f>periodo</f>
        <v>01 de julio al 31 de julio de 2025</v>
      </c>
      <c r="B5" s="293"/>
      <c r="C5" s="293"/>
      <c r="D5" s="293"/>
      <c r="E5" s="293"/>
      <c r="F5" s="293"/>
      <c r="G5" s="293"/>
      <c r="H5" s="293"/>
      <c r="I5" s="293"/>
      <c r="J5" s="293"/>
      <c r="K5" s="293"/>
      <c r="L5" s="293"/>
      <c r="M5" s="293"/>
      <c r="N5" s="293"/>
      <c r="O5" s="293"/>
      <c r="P5" s="293"/>
      <c r="Q5" s="293"/>
    </row>
    <row r="6" spans="1:20" s="27" customFormat="1" x14ac:dyDescent="0.25">
      <c r="E6" s="106"/>
      <c r="F6" s="19"/>
      <c r="G6" s="19"/>
      <c r="H6" s="19"/>
      <c r="I6" s="19"/>
      <c r="J6" s="19"/>
      <c r="K6" s="19"/>
      <c r="L6" s="19"/>
      <c r="M6" s="19"/>
      <c r="N6" s="19"/>
      <c r="O6" s="19"/>
      <c r="P6" s="19"/>
      <c r="Q6" s="19"/>
    </row>
    <row r="7" spans="1:20" ht="85.5" customHeight="1" thickBot="1" x14ac:dyDescent="0.3">
      <c r="A7" s="230" t="s">
        <v>80</v>
      </c>
      <c r="B7" s="230" t="s">
        <v>81</v>
      </c>
      <c r="C7" s="230" t="s">
        <v>82</v>
      </c>
      <c r="D7" s="230" t="s">
        <v>83</v>
      </c>
      <c r="E7" s="230" t="s">
        <v>84</v>
      </c>
      <c r="F7" s="231" t="s">
        <v>85</v>
      </c>
      <c r="G7" s="231" t="s">
        <v>86</v>
      </c>
      <c r="H7" s="231" t="s">
        <v>87</v>
      </c>
      <c r="I7" s="230" t="s">
        <v>88</v>
      </c>
      <c r="J7" s="230" t="s">
        <v>89</v>
      </c>
      <c r="K7" s="230" t="s">
        <v>983</v>
      </c>
      <c r="L7" s="230" t="s">
        <v>992</v>
      </c>
      <c r="M7" s="230" t="s">
        <v>993</v>
      </c>
      <c r="N7" s="230" t="s">
        <v>984</v>
      </c>
      <c r="O7" s="230" t="s">
        <v>985</v>
      </c>
      <c r="P7" s="230" t="s">
        <v>986</v>
      </c>
      <c r="Q7" s="230" t="s">
        <v>987</v>
      </c>
      <c r="R7" s="230" t="s">
        <v>1474</v>
      </c>
    </row>
    <row r="8" spans="1:20" ht="57.75" customHeight="1" x14ac:dyDescent="0.25">
      <c r="A8" s="232">
        <v>87123</v>
      </c>
      <c r="B8" s="233">
        <v>2023</v>
      </c>
      <c r="C8" s="234">
        <v>294145282376</v>
      </c>
      <c r="D8" s="234">
        <v>0</v>
      </c>
      <c r="E8" s="235">
        <f>SUM(C8:D8)</f>
        <v>294145282376</v>
      </c>
      <c r="F8" s="236" t="s">
        <v>90</v>
      </c>
      <c r="G8" s="236">
        <v>10</v>
      </c>
      <c r="H8" s="237">
        <v>294145282376</v>
      </c>
      <c r="I8" s="238">
        <v>0</v>
      </c>
      <c r="J8" s="239">
        <f>VRFINDETER</f>
        <v>15746080000</v>
      </c>
      <c r="K8" s="239">
        <f>+SUMIFS('4.E.F. Contratación Derivada'!H:H,'4.E.F. Contratación Derivada'!C:C,'2.Resumen Presupuestal'!A8)</f>
        <v>247705516930.39999</v>
      </c>
      <c r="L8" s="239">
        <f>VRCONTRATOS-'4.E.F. Contratación Derivada'!Y112</f>
        <v>238843359190.44</v>
      </c>
      <c r="M8" s="239">
        <v>412040770</v>
      </c>
      <c r="N8" s="239">
        <f>VRLIBERACIONES</f>
        <v>1190965331.25</v>
      </c>
      <c r="O8" s="240">
        <f>E8-J8-K8+M8+N8</f>
        <v>32296691546.850006</v>
      </c>
      <c r="P8" s="238">
        <f>VRFACT+(VRPAGOSCTOS-VRRTEGTIACTO)</f>
        <v>112349705337.39999</v>
      </c>
      <c r="Q8" s="241">
        <f>(L8+J8)-(P8+N8)</f>
        <v>141048768521.79001</v>
      </c>
      <c r="R8" s="239">
        <f>+'4.E.F. Contratación Derivada'!AJ112</f>
        <v>158895414</v>
      </c>
      <c r="S8" s="36"/>
      <c r="T8" s="36"/>
    </row>
    <row r="9" spans="1:20" ht="57.75" customHeight="1" x14ac:dyDescent="0.25">
      <c r="A9" s="242">
        <v>11424</v>
      </c>
      <c r="B9" s="109">
        <v>2024</v>
      </c>
      <c r="C9" s="110">
        <v>41100000000</v>
      </c>
      <c r="D9" s="110">
        <v>0</v>
      </c>
      <c r="E9" s="111">
        <f t="shared" ref="E9:E11" si="0">SUM(C9:D9)</f>
        <v>41100000000</v>
      </c>
      <c r="F9" s="90" t="s">
        <v>90</v>
      </c>
      <c r="G9" s="90">
        <v>10</v>
      </c>
      <c r="H9" s="112">
        <v>41100000000</v>
      </c>
      <c r="I9" s="81">
        <f>+E9</f>
        <v>41100000000</v>
      </c>
      <c r="J9" s="80">
        <v>7307943705</v>
      </c>
      <c r="K9" s="80">
        <f>+SUMIFS('4.E.F. Contratación Derivada'!H:H,'4.E.F. Contratación Derivada'!C:C,'2.Resumen Presupuestal'!A9)</f>
        <v>3302124805.6700001</v>
      </c>
      <c r="L9" s="80"/>
      <c r="M9" s="80"/>
      <c r="N9" s="80"/>
      <c r="O9" s="114">
        <f>+E9-J9-K9-M9+N9</f>
        <v>30489931489.330002</v>
      </c>
      <c r="P9" s="81">
        <v>0</v>
      </c>
      <c r="Q9" s="243">
        <f>(L9+J9)-(P9+N9)</f>
        <v>7307943705</v>
      </c>
      <c r="R9" s="80"/>
      <c r="S9" s="36"/>
      <c r="T9" s="36"/>
    </row>
    <row r="10" spans="1:20" ht="57.75" customHeight="1" x14ac:dyDescent="0.25">
      <c r="A10" s="242">
        <v>11524</v>
      </c>
      <c r="B10" s="109">
        <v>2024</v>
      </c>
      <c r="C10" s="110">
        <v>33010746802</v>
      </c>
      <c r="D10" s="110">
        <v>0</v>
      </c>
      <c r="E10" s="111">
        <f t="shared" si="0"/>
        <v>33010746802</v>
      </c>
      <c r="F10" s="90" t="s">
        <v>90</v>
      </c>
      <c r="G10" s="90">
        <v>10</v>
      </c>
      <c r="H10" s="112">
        <v>33010746802</v>
      </c>
      <c r="I10" s="81">
        <f t="shared" ref="I10:I11" si="1">+E10</f>
        <v>33010746802</v>
      </c>
      <c r="J10" s="80"/>
      <c r="K10" s="80">
        <f>+SUMIFS('4.E.F. Contratación Derivada'!H:H,'4.E.F. Contratación Derivada'!C:C,'2.Resumen Presupuestal'!A10)</f>
        <v>0</v>
      </c>
      <c r="L10" s="80"/>
      <c r="M10" s="80"/>
      <c r="N10" s="80"/>
      <c r="O10" s="114">
        <f>+E10-J10-K10-M10+N10</f>
        <v>33010746802</v>
      </c>
      <c r="P10" s="81">
        <v>0</v>
      </c>
      <c r="Q10" s="243">
        <f>(L10+J10)-(P10+N10)</f>
        <v>0</v>
      </c>
      <c r="R10" s="80"/>
      <c r="S10" s="36"/>
      <c r="T10" s="36"/>
    </row>
    <row r="11" spans="1:20" ht="57.75" customHeight="1" x14ac:dyDescent="0.25">
      <c r="A11" s="242">
        <v>11624</v>
      </c>
      <c r="B11" s="109">
        <v>2024</v>
      </c>
      <c r="C11" s="110">
        <v>25820057541</v>
      </c>
      <c r="D11" s="110"/>
      <c r="E11" s="111">
        <f t="shared" si="0"/>
        <v>25820057541</v>
      </c>
      <c r="F11" s="90" t="s">
        <v>90</v>
      </c>
      <c r="G11" s="90">
        <v>10</v>
      </c>
      <c r="H11" s="112">
        <v>25820057541</v>
      </c>
      <c r="I11" s="81">
        <f t="shared" si="1"/>
        <v>25820057541</v>
      </c>
      <c r="J11" s="80"/>
      <c r="K11" s="80">
        <f>+SUMIFS('4.E.F. Contratación Derivada'!H:H,'4.E.F. Contratación Derivada'!C:C,'2.Resumen Presupuestal'!A11)</f>
        <v>0</v>
      </c>
      <c r="L11" s="80"/>
      <c r="M11" s="80"/>
      <c r="N11" s="80"/>
      <c r="O11" s="114">
        <f>+E11-J11-K11-M11+N11</f>
        <v>25820057541</v>
      </c>
      <c r="P11" s="81">
        <v>0</v>
      </c>
      <c r="Q11" s="243">
        <f>(L11+J11)-(P11+N11)</f>
        <v>0</v>
      </c>
      <c r="R11" s="80"/>
      <c r="S11" s="36"/>
      <c r="T11" s="36"/>
    </row>
    <row r="12" spans="1:20" s="2" customFormat="1" ht="57.6" customHeight="1" thickBot="1" x14ac:dyDescent="0.3">
      <c r="A12" s="291" t="s">
        <v>91</v>
      </c>
      <c r="B12" s="292"/>
      <c r="C12" s="244">
        <f>SUM(C8:C11)</f>
        <v>394076086719</v>
      </c>
      <c r="D12" s="244">
        <f>SUM(D8:D11)</f>
        <v>0</v>
      </c>
      <c r="E12" s="244">
        <f>SUM(E8:E11)</f>
        <v>394076086719</v>
      </c>
      <c r="F12" s="245"/>
      <c r="G12" s="245"/>
      <c r="H12" s="244">
        <f t="shared" ref="H12:Q12" si="2">SUM(H8:H11)</f>
        <v>394076086719</v>
      </c>
      <c r="I12" s="244">
        <f t="shared" ref="I12:N12" si="3">SUM(I8:I11)</f>
        <v>99930804343</v>
      </c>
      <c r="J12" s="244">
        <f t="shared" si="3"/>
        <v>23054023705</v>
      </c>
      <c r="K12" s="247">
        <f t="shared" si="3"/>
        <v>251007641736.07001</v>
      </c>
      <c r="L12" s="247">
        <f t="shared" si="3"/>
        <v>238843359190.44</v>
      </c>
      <c r="M12" s="244">
        <f>SUM(M8:M11)</f>
        <v>412040770</v>
      </c>
      <c r="N12" s="244">
        <f t="shared" si="3"/>
        <v>1190965331.25</v>
      </c>
      <c r="O12" s="244">
        <f t="shared" si="2"/>
        <v>121617427379.18001</v>
      </c>
      <c r="P12" s="244">
        <f t="shared" si="2"/>
        <v>112349705337.39999</v>
      </c>
      <c r="Q12" s="246">
        <f t="shared" si="2"/>
        <v>148356712226.79001</v>
      </c>
      <c r="R12" s="244">
        <f t="shared" ref="R12" si="4">SUM(R8:R11)</f>
        <v>158895414</v>
      </c>
    </row>
    <row r="13" spans="1:20" s="22" customFormat="1" ht="20.100000000000001" hidden="1" customHeight="1" x14ac:dyDescent="0.25">
      <c r="A13" s="24"/>
      <c r="J13" s="25"/>
      <c r="K13" s="248" t="s">
        <v>1367</v>
      </c>
      <c r="L13" s="249">
        <f>+E12</f>
        <v>394076086719</v>
      </c>
      <c r="M13" s="25"/>
      <c r="N13" s="25"/>
      <c r="O13" s="26">
        <f>+H12-L12-J12</f>
        <v>132178703823.56</v>
      </c>
    </row>
    <row r="14" spans="1:20" s="22" customFormat="1" ht="20.25" hidden="1" customHeight="1" x14ac:dyDescent="0.25">
      <c r="A14" s="24"/>
      <c r="K14" s="250" t="s">
        <v>1368</v>
      </c>
      <c r="L14" s="251">
        <f>+L12</f>
        <v>238843359190.44</v>
      </c>
      <c r="M14" s="105"/>
      <c r="N14" s="105"/>
      <c r="O14" s="26"/>
    </row>
    <row r="15" spans="1:20" s="22" customFormat="1" hidden="1" x14ac:dyDescent="0.25">
      <c r="A15" s="24"/>
      <c r="K15" s="250" t="s">
        <v>1369</v>
      </c>
      <c r="L15" s="251">
        <f>+J12</f>
        <v>23054023705</v>
      </c>
      <c r="M15" s="105"/>
      <c r="N15" s="105"/>
      <c r="O15" s="26"/>
      <c r="R15"/>
    </row>
    <row r="16" spans="1:20" s="22" customFormat="1" hidden="1" x14ac:dyDescent="0.25">
      <c r="A16" s="24"/>
      <c r="K16" s="250" t="s">
        <v>1370</v>
      </c>
      <c r="L16" s="251">
        <f>+L14+L15</f>
        <v>261897382895.44</v>
      </c>
      <c r="O16" s="26"/>
      <c r="Q16" s="42"/>
    </row>
    <row r="17" spans="1:17" s="22" customFormat="1" hidden="1" x14ac:dyDescent="0.25">
      <c r="A17" s="24"/>
      <c r="K17" s="250" t="s">
        <v>1371</v>
      </c>
      <c r="L17" s="252">
        <f>+L16/L13</f>
        <v>0.66458582928983612</v>
      </c>
      <c r="M17" s="105"/>
      <c r="O17" s="26"/>
      <c r="Q17" s="42"/>
    </row>
    <row r="18" spans="1:17" hidden="1" x14ac:dyDescent="0.25"/>
    <row r="19" spans="1:17" hidden="1" x14ac:dyDescent="0.25"/>
    <row r="20" spans="1:17" hidden="1" x14ac:dyDescent="0.25"/>
  </sheetData>
  <sheetProtection algorithmName="SHA-512" hashValue="VXgnnbVzGouMrdwwGNmLkglGKAsNQbngTr9dqTPfgSZdG57tEKe5OT+uvtMdk5MLfn1utYho8MtD4o8pgqd+GQ==" saltValue="QwAwdTUkVXpLfbLtlnIcMQ==" spinCount="100000" sheet="1" objects="1" scenarios="1"/>
  <mergeCells count="6">
    <mergeCell ref="A12:B12"/>
    <mergeCell ref="A1:Q1"/>
    <mergeCell ref="A2:Q2"/>
    <mergeCell ref="A3:Q3"/>
    <mergeCell ref="A4:Q4"/>
    <mergeCell ref="A5:Q5"/>
  </mergeCells>
  <conditionalFormatting sqref="A8:A11">
    <cfRule type="duplicateValues" dxfId="2" priority="1"/>
  </conditionalFormatting>
  <pageMargins left="0.70866141732283472" right="0.70866141732283472" top="0.74803149606299213" bottom="0.74803149606299213" header="0.31496062992125984" footer="0.31496062992125984"/>
  <pageSetup scale="2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18"/>
  <sheetViews>
    <sheetView showGridLines="0" view="pageBreakPreview" topLeftCell="E1" zoomScale="85" zoomScaleNormal="85" zoomScaleSheetLayoutView="85" workbookViewId="0">
      <selection activeCell="M7" sqref="M7"/>
    </sheetView>
  </sheetViews>
  <sheetFormatPr baseColWidth="10" defaultColWidth="11.42578125" defaultRowHeight="15" x14ac:dyDescent="0.25"/>
  <cols>
    <col min="1" max="2" width="11.5703125" customWidth="1"/>
    <col min="3" max="8" width="22" customWidth="1"/>
    <col min="9" max="9" width="41.5703125" customWidth="1"/>
    <col min="10" max="11" width="22" customWidth="1"/>
  </cols>
  <sheetData>
    <row r="1" spans="1:11" ht="15.75" customHeight="1" x14ac:dyDescent="0.25">
      <c r="A1" s="274" t="str">
        <f>CONTRATO</f>
        <v>Contrato Interadministrativo No. CO1.PCCNTR.5090635</v>
      </c>
      <c r="B1" s="274"/>
      <c r="C1" s="274"/>
      <c r="D1" s="274"/>
      <c r="E1" s="274"/>
      <c r="F1" s="274"/>
      <c r="G1" s="274"/>
      <c r="H1" s="274"/>
      <c r="I1" s="274"/>
      <c r="J1" s="274"/>
      <c r="K1" s="274"/>
    </row>
    <row r="2" spans="1:11" ht="15.75" x14ac:dyDescent="0.25">
      <c r="A2" s="274" t="s">
        <v>6</v>
      </c>
      <c r="B2" s="274"/>
      <c r="C2" s="274"/>
      <c r="D2" s="274"/>
      <c r="E2" s="274"/>
      <c r="F2" s="274"/>
      <c r="G2" s="274"/>
      <c r="H2" s="274"/>
      <c r="I2" s="274"/>
      <c r="J2" s="274"/>
      <c r="K2" s="274"/>
    </row>
    <row r="3" spans="1:11" ht="15.75" customHeight="1" x14ac:dyDescent="0.25">
      <c r="A3" s="274" t="s">
        <v>17</v>
      </c>
      <c r="B3" s="274"/>
      <c r="C3" s="274"/>
      <c r="D3" s="274"/>
      <c r="E3" s="274"/>
      <c r="F3" s="274"/>
      <c r="G3" s="274"/>
      <c r="H3" s="274"/>
      <c r="I3" s="274"/>
      <c r="J3" s="274"/>
      <c r="K3" s="274"/>
    </row>
    <row r="4" spans="1:11" ht="15.75" customHeight="1" x14ac:dyDescent="0.3">
      <c r="A4" s="271" t="s">
        <v>92</v>
      </c>
      <c r="B4" s="271"/>
      <c r="C4" s="271"/>
      <c r="D4" s="271"/>
      <c r="E4" s="271"/>
      <c r="F4" s="271"/>
      <c r="G4" s="271"/>
      <c r="H4" s="271"/>
      <c r="I4" s="271"/>
      <c r="J4" s="271"/>
      <c r="K4" s="271"/>
    </row>
    <row r="5" spans="1:11" ht="15.75" customHeight="1" x14ac:dyDescent="0.25">
      <c r="A5" s="293" t="str">
        <f>periodo</f>
        <v>01 de julio al 31 de julio de 2025</v>
      </c>
      <c r="B5" s="293"/>
      <c r="C5" s="293"/>
      <c r="D5" s="293"/>
      <c r="E5" s="293"/>
      <c r="F5" s="293"/>
      <c r="G5" s="293"/>
      <c r="H5" s="293"/>
      <c r="I5" s="293"/>
      <c r="J5" s="293"/>
      <c r="K5" s="293"/>
    </row>
    <row r="6" spans="1:11" x14ac:dyDescent="0.25">
      <c r="F6" s="4"/>
      <c r="G6" s="2"/>
      <c r="H6" s="2"/>
      <c r="I6" s="2"/>
    </row>
    <row r="7" spans="1:11" ht="56.25" customHeight="1" x14ac:dyDescent="0.25">
      <c r="A7" s="131" t="s">
        <v>80</v>
      </c>
      <c r="B7" s="131" t="s">
        <v>81</v>
      </c>
      <c r="C7" s="131" t="s">
        <v>82</v>
      </c>
      <c r="D7" s="131" t="s">
        <v>93</v>
      </c>
      <c r="E7" s="131" t="s">
        <v>94</v>
      </c>
      <c r="F7" s="141" t="s">
        <v>85</v>
      </c>
      <c r="G7" s="131" t="s">
        <v>95</v>
      </c>
      <c r="H7" s="131" t="s">
        <v>62</v>
      </c>
      <c r="I7" s="131" t="s">
        <v>96</v>
      </c>
      <c r="J7" s="131" t="s">
        <v>97</v>
      </c>
      <c r="K7" s="131" t="s">
        <v>98</v>
      </c>
    </row>
    <row r="8" spans="1:11" ht="42.75" customHeight="1" x14ac:dyDescent="0.25">
      <c r="A8" s="151">
        <v>87123</v>
      </c>
      <c r="B8" s="151">
        <v>2023</v>
      </c>
      <c r="C8" s="152">
        <v>294145282376</v>
      </c>
      <c r="D8" s="152">
        <v>0</v>
      </c>
      <c r="E8" s="153">
        <f>SUM(C8:D8)</f>
        <v>294145282376</v>
      </c>
      <c r="F8" s="154" t="s">
        <v>90</v>
      </c>
      <c r="G8" s="155">
        <f>+E8</f>
        <v>294145282376</v>
      </c>
      <c r="H8" s="127">
        <v>45118</v>
      </c>
      <c r="I8" s="128" t="s">
        <v>559</v>
      </c>
      <c r="J8" s="129">
        <v>294145282376</v>
      </c>
      <c r="K8" s="150">
        <f>+E8-SUM(J8:J8)</f>
        <v>0</v>
      </c>
    </row>
    <row r="9" spans="1:11" ht="42.75" customHeight="1" x14ac:dyDescent="0.25">
      <c r="A9" s="151">
        <v>11424</v>
      </c>
      <c r="B9" s="151">
        <v>2024</v>
      </c>
      <c r="C9" s="152">
        <v>41100000000</v>
      </c>
      <c r="D9" s="152">
        <v>0</v>
      </c>
      <c r="E9" s="153">
        <f t="shared" ref="E9:E11" si="0">SUM(C9:D9)</f>
        <v>41100000000</v>
      </c>
      <c r="F9" s="154" t="s">
        <v>90</v>
      </c>
      <c r="G9" s="155">
        <v>41100000000</v>
      </c>
      <c r="H9" s="127">
        <v>45665</v>
      </c>
      <c r="I9" s="128" t="s">
        <v>559</v>
      </c>
      <c r="J9" s="129">
        <f>+G9</f>
        <v>41100000000</v>
      </c>
      <c r="K9" s="150">
        <f t="shared" ref="K9:K11" si="1">+E9-SUM(J9:J9)</f>
        <v>0</v>
      </c>
    </row>
    <row r="10" spans="1:11" ht="42.75" customHeight="1" x14ac:dyDescent="0.25">
      <c r="A10" s="151">
        <v>11524</v>
      </c>
      <c r="B10" s="151">
        <v>2024</v>
      </c>
      <c r="C10" s="152">
        <v>33010746802</v>
      </c>
      <c r="D10" s="152">
        <v>0</v>
      </c>
      <c r="E10" s="153">
        <f t="shared" si="0"/>
        <v>33010746802</v>
      </c>
      <c r="F10" s="154" t="s">
        <v>90</v>
      </c>
      <c r="G10" s="155">
        <v>33010746802</v>
      </c>
      <c r="H10" s="127">
        <v>45665</v>
      </c>
      <c r="I10" s="128" t="s">
        <v>559</v>
      </c>
      <c r="J10" s="129">
        <f>+G10</f>
        <v>33010746802</v>
      </c>
      <c r="K10" s="150">
        <f t="shared" si="1"/>
        <v>0</v>
      </c>
    </row>
    <row r="11" spans="1:11" ht="42.75" customHeight="1" x14ac:dyDescent="0.25">
      <c r="A11" s="151">
        <v>11624</v>
      </c>
      <c r="B11" s="151">
        <v>2024</v>
      </c>
      <c r="C11" s="152">
        <v>25820057541</v>
      </c>
      <c r="D11" s="152">
        <v>0</v>
      </c>
      <c r="E11" s="153">
        <f t="shared" si="0"/>
        <v>25820057541</v>
      </c>
      <c r="F11" s="154" t="s">
        <v>90</v>
      </c>
      <c r="G11" s="155">
        <v>25820057541</v>
      </c>
      <c r="H11" s="127">
        <v>45665</v>
      </c>
      <c r="I11" s="128" t="s">
        <v>559</v>
      </c>
      <c r="J11" s="129">
        <f>+G11</f>
        <v>25820057541</v>
      </c>
      <c r="K11" s="150">
        <f t="shared" si="1"/>
        <v>0</v>
      </c>
    </row>
    <row r="12" spans="1:11" ht="40.5" customHeight="1" x14ac:dyDescent="0.25">
      <c r="A12" s="294" t="s">
        <v>91</v>
      </c>
      <c r="B12" s="294"/>
      <c r="C12" s="143">
        <f>SUM(C8:C8)</f>
        <v>294145282376</v>
      </c>
      <c r="D12" s="143">
        <f>SUM(D8:D8)</f>
        <v>0</v>
      </c>
      <c r="E12" s="143">
        <f>SUM(E8:E11)</f>
        <v>394076086719</v>
      </c>
      <c r="F12" s="71"/>
      <c r="G12" s="143">
        <f>SUM(G8:G11)</f>
        <v>394076086719</v>
      </c>
      <c r="H12" s="69"/>
      <c r="I12" s="70"/>
      <c r="J12" s="143">
        <f>+SUM(J8:J11)</f>
        <v>394076086719</v>
      </c>
      <c r="K12" s="143">
        <f>SUM(K8:K11)</f>
        <v>0</v>
      </c>
    </row>
    <row r="13" spans="1:11" x14ac:dyDescent="0.25">
      <c r="G13" s="68"/>
      <c r="H13" s="68"/>
      <c r="I13" s="68"/>
      <c r="J13" s="68"/>
      <c r="K13" s="68"/>
    </row>
    <row r="15" spans="1:11" x14ac:dyDescent="0.25">
      <c r="G15" s="68"/>
    </row>
    <row r="16" spans="1:11" x14ac:dyDescent="0.25">
      <c r="G16" s="100"/>
    </row>
    <row r="17" spans="7:7" x14ac:dyDescent="0.25">
      <c r="G17" s="216"/>
    </row>
    <row r="18" spans="7:7" x14ac:dyDescent="0.25">
      <c r="G18" s="216"/>
    </row>
  </sheetData>
  <sheetProtection algorithmName="SHA-512" hashValue="AQp9qUzwWiwnov9dt2bD+Guh3heApnzUb5Q599tOdXk92lb70+BVr7Ad22LwCmXg2+EVRyoyrRCVEzSU0aJFYw==" saltValue="5fQJ5/Ttt7BBQtFUPKowDA==" spinCount="100000" sheet="1" objects="1" scenarios="1"/>
  <mergeCells count="6">
    <mergeCell ref="A12:B12"/>
    <mergeCell ref="A1:K1"/>
    <mergeCell ref="A2:K2"/>
    <mergeCell ref="A3:K3"/>
    <mergeCell ref="A4:K4"/>
    <mergeCell ref="A5:K5"/>
  </mergeCells>
  <conditionalFormatting sqref="A8:A11">
    <cfRule type="duplicateValues" dxfId="1" priority="3"/>
  </conditionalFormatting>
  <pageMargins left="0.70866141732283472" right="0.70866141732283472" top="0.74803149606299213" bottom="0.74803149606299213" header="0.31496062992125984" footer="0.31496062992125984"/>
  <pageSetup scale="50"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N120"/>
  <sheetViews>
    <sheetView showGridLines="0" view="pageBreakPreview" zoomScale="93" zoomScaleNormal="85" zoomScaleSheetLayoutView="93" zoomScalePageLayoutView="80" workbookViewId="0">
      <pane xSplit="1" ySplit="7" topLeftCell="B108" activePane="bottomRight" state="frozen"/>
      <selection pane="topRight" activeCell="B1" sqref="B1"/>
      <selection pane="bottomLeft" activeCell="A8" sqref="A8"/>
      <selection pane="bottomRight" activeCell="H112" sqref="H112"/>
    </sheetView>
  </sheetViews>
  <sheetFormatPr baseColWidth="10" defaultColWidth="37" defaultRowHeight="12.75" x14ac:dyDescent="0.2"/>
  <cols>
    <col min="1" max="1" width="7.42578125" style="13" customWidth="1"/>
    <col min="2" max="2" width="19.85546875" style="9" customWidth="1"/>
    <col min="3" max="3" width="9" style="11" customWidth="1"/>
    <col min="4" max="4" width="8.42578125" style="7" bestFit="1" customWidth="1"/>
    <col min="5" max="5" width="9.5703125" style="7" bestFit="1" customWidth="1"/>
    <col min="6" max="6" width="7.85546875" style="16" customWidth="1"/>
    <col min="7" max="7" width="11.5703125" style="16" bestFit="1" customWidth="1"/>
    <col min="8" max="8" width="19.5703125" style="16" bestFit="1" customWidth="1"/>
    <col min="9" max="9" width="17" style="16" customWidth="1"/>
    <col min="10" max="10" width="62" style="5" customWidth="1"/>
    <col min="11" max="11" width="25.42578125" style="1" customWidth="1"/>
    <col min="12" max="12" width="25.42578125" style="12" customWidth="1"/>
    <col min="13" max="15" width="18.140625" style="12" customWidth="1"/>
    <col min="16" max="16" width="13.140625" style="12" bestFit="1" customWidth="1"/>
    <col min="17" max="17" width="14.5703125" style="12" customWidth="1"/>
    <col min="18" max="18" width="16.42578125" style="13" customWidth="1"/>
    <col min="19" max="19" width="19.5703125" style="14" bestFit="1" customWidth="1"/>
    <col min="20" max="20" width="30.5703125" style="15" customWidth="1"/>
    <col min="21" max="21" width="12.85546875" style="1" bestFit="1" customWidth="1"/>
    <col min="22" max="22" width="20.42578125" style="58" bestFit="1" customWidth="1"/>
    <col min="23" max="23" width="20.140625" style="58" bestFit="1" customWidth="1"/>
    <col min="24" max="24" width="21.140625" style="56" bestFit="1" customWidth="1"/>
    <col min="25" max="25" width="17.5703125" style="56" bestFit="1" customWidth="1"/>
    <col min="26" max="26" width="20.42578125" style="59" bestFit="1" customWidth="1"/>
    <col min="27" max="27" width="19.5703125" style="55" bestFit="1" customWidth="1"/>
    <col min="28" max="28" width="21.42578125" style="55" bestFit="1" customWidth="1"/>
    <col min="29" max="29" width="20.140625" style="55" bestFit="1" customWidth="1"/>
    <col min="30" max="30" width="21.5703125" style="55" bestFit="1" customWidth="1"/>
    <col min="31" max="31" width="19.42578125" style="55" bestFit="1" customWidth="1"/>
    <col min="32" max="32" width="18.42578125" style="55" bestFit="1" customWidth="1"/>
    <col min="33" max="33" width="19.5703125" style="55" bestFit="1" customWidth="1"/>
    <col min="34" max="34" width="21.42578125" style="55" bestFit="1" customWidth="1"/>
    <col min="35" max="36" width="17.42578125" style="55" bestFit="1" customWidth="1"/>
    <col min="37" max="37" width="22.42578125" style="7" bestFit="1" customWidth="1"/>
    <col min="38" max="38" width="12" style="41" bestFit="1" customWidth="1"/>
    <col min="39" max="39" width="20" style="205" customWidth="1"/>
    <col min="40" max="41" width="0" style="205" hidden="1" customWidth="1"/>
    <col min="42" max="16384" width="37" style="205"/>
  </cols>
  <sheetData>
    <row r="1" spans="1:39" s="22" customFormat="1" ht="15.95" customHeight="1" x14ac:dyDescent="0.25">
      <c r="A1" s="274" t="str">
        <f>CONTRATO</f>
        <v>Contrato Interadministrativo No. CO1.PCCNTR.5090635</v>
      </c>
      <c r="B1" s="274"/>
      <c r="C1" s="274"/>
      <c r="D1" s="274"/>
      <c r="E1" s="274"/>
      <c r="F1" s="274"/>
      <c r="G1" s="274"/>
      <c r="H1" s="274"/>
      <c r="I1" s="274"/>
      <c r="J1" s="274"/>
      <c r="K1" s="274"/>
      <c r="L1" s="274"/>
      <c r="M1" s="274"/>
      <c r="N1" s="274"/>
      <c r="O1" s="274"/>
      <c r="P1" s="274"/>
      <c r="Q1" s="274"/>
      <c r="R1" s="274"/>
      <c r="S1" s="274"/>
      <c r="AA1" s="42"/>
      <c r="AB1" s="42"/>
      <c r="AC1" s="42"/>
      <c r="AD1" s="42"/>
      <c r="AE1" s="42"/>
      <c r="AF1" s="42"/>
      <c r="AG1" s="42"/>
      <c r="AH1" s="42"/>
      <c r="AI1" s="42"/>
      <c r="AJ1" s="42"/>
    </row>
    <row r="2" spans="1:39" s="22" customFormat="1" ht="15.95" customHeight="1" x14ac:dyDescent="0.25">
      <c r="A2" s="274" t="s">
        <v>6</v>
      </c>
      <c r="B2" s="274"/>
      <c r="C2" s="274"/>
      <c r="D2" s="274"/>
      <c r="E2" s="274"/>
      <c r="F2" s="274"/>
      <c r="G2" s="274"/>
      <c r="H2" s="274"/>
      <c r="I2" s="274"/>
      <c r="J2" s="274"/>
      <c r="K2" s="274"/>
      <c r="L2" s="274"/>
      <c r="M2" s="274"/>
      <c r="N2" s="274"/>
      <c r="O2" s="274"/>
      <c r="P2" s="274"/>
      <c r="Q2" s="274"/>
      <c r="R2" s="274"/>
      <c r="S2" s="274"/>
      <c r="AA2" s="42"/>
      <c r="AB2" s="42"/>
      <c r="AC2" s="42"/>
      <c r="AD2" s="42"/>
      <c r="AE2" s="42"/>
      <c r="AF2" s="42"/>
      <c r="AG2" s="42"/>
      <c r="AH2" s="42"/>
      <c r="AI2" s="42"/>
      <c r="AJ2" s="42"/>
    </row>
    <row r="3" spans="1:39" s="22" customFormat="1" ht="15.95" customHeight="1" x14ac:dyDescent="0.25">
      <c r="A3" s="274" t="s">
        <v>17</v>
      </c>
      <c r="B3" s="274"/>
      <c r="C3" s="274"/>
      <c r="D3" s="274"/>
      <c r="E3" s="274"/>
      <c r="F3" s="274"/>
      <c r="G3" s="274"/>
      <c r="H3" s="274"/>
      <c r="I3" s="274"/>
      <c r="J3" s="274"/>
      <c r="K3" s="274"/>
      <c r="L3" s="274"/>
      <c r="M3" s="274"/>
      <c r="N3" s="274"/>
      <c r="O3" s="274"/>
      <c r="P3" s="274"/>
      <c r="Q3" s="274"/>
      <c r="R3" s="274"/>
      <c r="S3" s="274"/>
      <c r="AA3" s="42"/>
      <c r="AB3" s="42"/>
      <c r="AC3" s="42"/>
      <c r="AD3" s="42"/>
      <c r="AE3" s="42"/>
      <c r="AF3" s="42"/>
      <c r="AG3" s="42"/>
      <c r="AH3" s="42"/>
      <c r="AI3" s="42"/>
      <c r="AJ3" s="42"/>
    </row>
    <row r="4" spans="1:39" s="22" customFormat="1" ht="15.95" customHeight="1" x14ac:dyDescent="0.25">
      <c r="A4" s="297" t="s">
        <v>99</v>
      </c>
      <c r="B4" s="297"/>
      <c r="C4" s="297"/>
      <c r="D4" s="297"/>
      <c r="E4" s="297"/>
      <c r="F4" s="297"/>
      <c r="G4" s="297"/>
      <c r="H4" s="297"/>
      <c r="I4" s="297"/>
      <c r="J4" s="297"/>
      <c r="K4" s="297"/>
      <c r="L4" s="297"/>
      <c r="M4" s="297"/>
      <c r="N4" s="297"/>
      <c r="O4" s="297"/>
      <c r="P4" s="297"/>
      <c r="Q4" s="297"/>
      <c r="R4" s="297"/>
      <c r="S4" s="297"/>
      <c r="T4"/>
      <c r="AA4" s="42"/>
      <c r="AB4" s="42"/>
      <c r="AC4" s="42"/>
      <c r="AD4" s="42"/>
      <c r="AE4" s="42"/>
      <c r="AF4" s="42"/>
      <c r="AG4" s="42"/>
      <c r="AH4" s="42"/>
      <c r="AI4" s="42"/>
      <c r="AJ4" s="42"/>
    </row>
    <row r="5" spans="1:39" s="22" customFormat="1" ht="15.95" customHeight="1" x14ac:dyDescent="0.25">
      <c r="A5" s="293" t="str">
        <f>periodo</f>
        <v>01 de julio al 31 de julio de 2025</v>
      </c>
      <c r="B5" s="293"/>
      <c r="C5" s="293"/>
      <c r="D5" s="293"/>
      <c r="E5" s="293"/>
      <c r="F5" s="293"/>
      <c r="G5" s="293"/>
      <c r="H5" s="293"/>
      <c r="I5" s="293"/>
      <c r="J5" s="293"/>
      <c r="K5" s="293"/>
      <c r="L5" s="293"/>
      <c r="M5" s="293"/>
      <c r="N5" s="293"/>
      <c r="O5" s="293"/>
      <c r="P5" s="293"/>
      <c r="Q5" s="293"/>
      <c r="R5" s="293"/>
      <c r="S5" s="293"/>
      <c r="AA5" s="42"/>
      <c r="AB5" s="42"/>
      <c r="AC5" s="42"/>
      <c r="AD5" s="42"/>
      <c r="AE5" s="42"/>
      <c r="AF5" s="42"/>
      <c r="AG5" s="42"/>
      <c r="AH5" s="42"/>
      <c r="AI5" s="42"/>
      <c r="AJ5" s="42"/>
    </row>
    <row r="6" spans="1:39" customFormat="1" ht="15" x14ac:dyDescent="0.25">
      <c r="B6" s="27"/>
      <c r="AA6" s="51"/>
      <c r="AB6" s="51"/>
      <c r="AC6" s="51"/>
      <c r="AD6" s="51"/>
      <c r="AE6" s="51"/>
      <c r="AF6" s="51"/>
      <c r="AG6" s="51"/>
      <c r="AH6" s="51"/>
      <c r="AI6" s="51"/>
      <c r="AJ6" s="51"/>
    </row>
    <row r="7" spans="1:39" s="204" customFormat="1" ht="76.5" customHeight="1" x14ac:dyDescent="0.25">
      <c r="A7" s="136" t="s">
        <v>100</v>
      </c>
      <c r="B7" s="136" t="s">
        <v>63</v>
      </c>
      <c r="C7" s="136" t="s">
        <v>80</v>
      </c>
      <c r="D7" s="136" t="s">
        <v>85</v>
      </c>
      <c r="E7" s="136" t="s">
        <v>81</v>
      </c>
      <c r="F7" s="136" t="s">
        <v>101</v>
      </c>
      <c r="G7" s="136" t="s">
        <v>62</v>
      </c>
      <c r="H7" s="136" t="s">
        <v>94</v>
      </c>
      <c r="I7" s="136" t="s">
        <v>102</v>
      </c>
      <c r="J7" s="136" t="s">
        <v>103</v>
      </c>
      <c r="K7" s="136" t="s">
        <v>104</v>
      </c>
      <c r="L7" s="136" t="s">
        <v>105</v>
      </c>
      <c r="M7" s="136" t="s">
        <v>106</v>
      </c>
      <c r="N7" s="136" t="s">
        <v>107</v>
      </c>
      <c r="O7" s="136" t="s">
        <v>1128</v>
      </c>
      <c r="P7" s="136" t="s">
        <v>108</v>
      </c>
      <c r="Q7" s="136" t="s">
        <v>109</v>
      </c>
      <c r="R7" s="136" t="s">
        <v>110</v>
      </c>
      <c r="S7" s="136" t="s">
        <v>111</v>
      </c>
      <c r="T7" s="136" t="s">
        <v>112</v>
      </c>
      <c r="U7" s="136" t="s">
        <v>113</v>
      </c>
      <c r="V7" s="137" t="s">
        <v>114</v>
      </c>
      <c r="W7" s="137" t="s">
        <v>115</v>
      </c>
      <c r="X7" s="137" t="s">
        <v>116</v>
      </c>
      <c r="Y7" s="137" t="s">
        <v>682</v>
      </c>
      <c r="Z7" s="137" t="s">
        <v>117</v>
      </c>
      <c r="AA7" s="138" t="str">
        <f>"VALOR ACUMULADO PAGADO AL" &amp;CHAR(10)&amp;UPPER(TEXT((EOMONTH(FECHA,-1)),"dd/mmm/yy"))</f>
        <v>VALOR ACUMULADO PAGADO AL
30/JUN/25</v>
      </c>
      <c r="AB7" s="138" t="str">
        <f>"VALOR ACUMULADO RETEGARANTIA AL" &amp;CHAR(10)&amp;UPPER(TEXT((EOMONTH(FECHA,-1)),"dd/mmm/yy"))</f>
        <v>VALOR ACUMULADO RETEGARANTIA AL
30/JUN/25</v>
      </c>
      <c r="AC7" s="138" t="str">
        <f>"VALOR LIBERACIONES ACTA DE LIQUIDACION AL" &amp;CHAR(10)&amp;UPPER(TEXT((EOMONTH(FECHA,-1)),"dd/mmm/yy"))</f>
        <v>VALOR LIBERACIONES ACTA DE LIQUIDACION AL
30/JUN/25</v>
      </c>
      <c r="AD7" s="138" t="str">
        <f>"VALOR PAGADO"&amp;CHAR(10)&amp;UPPER(TEXT(FECHA,"mmmm/yyyy"))</f>
        <v>VALOR PAGADO
JULIO/2025</v>
      </c>
      <c r="AE7" s="138" t="str">
        <f>"VALOR RETEGARANTIA "&amp;CHAR(10)&amp;UPPER(TEXT(FECHA,"mmmm/yyyy"))</f>
        <v>VALOR RETEGARANTIA 
JULIO/2025</v>
      </c>
      <c r="AF7" s="138" t="str">
        <f>"VALOR LIBERACIONES ACTA DE LIQUIDACION "&amp;CHAR(10)&amp;UPPER(TEXT(FECHA,"mmmm/yyyy"))</f>
        <v>VALOR LIBERACIONES ACTA DE LIQUIDACION 
JULIO/2025</v>
      </c>
      <c r="AG7" s="138" t="str">
        <f>"VALOR ACUMULADO PAGADO AL" &amp;CHAR(10)&amp;UPPER(TEXT(FECHA,"dd/mmm/yy"))</f>
        <v>VALOR ACUMULADO PAGADO AL
31/JUL/25</v>
      </c>
      <c r="AH7" s="138" t="str">
        <f>"VALOR ACUMULADO RETEGARANTIA AL"&amp;CHAR(10)&amp;UPPER(TEXT(FECHA,"dd/mmm/yy"))</f>
        <v>VALOR ACUMULADO RETEGARANTIA AL
31/JUL/25</v>
      </c>
      <c r="AI7" s="138" t="str">
        <f>"VALOR LIBERACIONES ACTA DE LIQUIDACION AL"&amp;CHAR(10)&amp;UPPER(TEXT(FECHA,"dd/mmm/yy"))</f>
        <v>VALOR LIBERACIONES ACTA DE LIQUIDACION AL
31/JUL/25</v>
      </c>
      <c r="AJ7" s="138" t="str">
        <f>"APREMIOS RATIFICADOS Y DESCONTADOS AL"&amp;CHAR(10)&amp;UPPER(TEXT(FECHA,"dd/mmm/yy"))</f>
        <v>APREMIOS RATIFICADOS Y DESCONTADOS AL
31/JUL/25</v>
      </c>
      <c r="AK7" s="139" t="s">
        <v>118</v>
      </c>
      <c r="AL7" s="140" t="s">
        <v>119</v>
      </c>
      <c r="AM7" s="140" t="s">
        <v>933</v>
      </c>
    </row>
    <row r="8" spans="1:39" s="204" customFormat="1" ht="135" x14ac:dyDescent="0.25">
      <c r="A8" s="115">
        <v>1</v>
      </c>
      <c r="B8" s="116" t="s">
        <v>51</v>
      </c>
      <c r="C8" s="90">
        <v>87123</v>
      </c>
      <c r="D8" s="117" t="s">
        <v>90</v>
      </c>
      <c r="E8" s="118">
        <v>2023</v>
      </c>
      <c r="F8" s="119">
        <v>45</v>
      </c>
      <c r="G8" s="120">
        <v>45259</v>
      </c>
      <c r="H8" s="215">
        <v>1262766</v>
      </c>
      <c r="I8" s="119" t="s">
        <v>120</v>
      </c>
      <c r="J8" s="76" t="s">
        <v>742</v>
      </c>
      <c r="K8" s="83" t="s">
        <v>60</v>
      </c>
      <c r="L8" s="83" t="s">
        <v>60</v>
      </c>
      <c r="M8" s="119" t="s">
        <v>124</v>
      </c>
      <c r="N8" s="119" t="s">
        <v>124</v>
      </c>
      <c r="O8" s="122" t="s">
        <v>60</v>
      </c>
      <c r="P8" s="144" t="s">
        <v>744</v>
      </c>
      <c r="Q8" s="122" t="s">
        <v>60</v>
      </c>
      <c r="R8" s="120" t="s">
        <v>743</v>
      </c>
      <c r="S8" s="115" t="s">
        <v>127</v>
      </c>
      <c r="T8" s="123" t="s">
        <v>60</v>
      </c>
      <c r="U8" s="119" t="s">
        <v>60</v>
      </c>
      <c r="V8" s="175">
        <v>1262766</v>
      </c>
      <c r="W8" s="175">
        <f>+H8-V8</f>
        <v>0</v>
      </c>
      <c r="X8" s="175"/>
      <c r="Y8" s="175"/>
      <c r="Z8" s="176">
        <f>+V8+X8</f>
        <v>1262766</v>
      </c>
      <c r="AA8" s="177">
        <f>SUMIFS('6.Reportes de Pagos'!I:I,'6.Reportes de Pagos'!H:H,"&lt;="&amp;(EOMONTH(FECHA,-1)),'6.Reportes de Pagos'!D:D,$P8)</f>
        <v>1262766</v>
      </c>
      <c r="AB8" s="177">
        <f>SUMIFS('6.Reportes de Pagos'!J:J,'6.Reportes de Pagos'!H:H,"&lt;="&amp;(EOMONTH(FECHA,-1)),'6.Reportes de Pagos'!D:D,$P8)</f>
        <v>0</v>
      </c>
      <c r="AC8" s="178">
        <v>0</v>
      </c>
      <c r="AD8" s="179">
        <f>SUMIFS('6.Reportes de Pagos'!I:I,'6.Reportes de Pagos'!H:H,"&gt;"&amp;(EOMONTH(FECHA,-1)),'6.Reportes de Pagos'!H:H,"&lt;="&amp;(EOMONTH(FECHA,0)),'6.Reportes de Pagos'!D:D,$P8)</f>
        <v>0</v>
      </c>
      <c r="AE8" s="179">
        <f>SUMIFS('6.Reportes de Pagos'!J:J,'6.Reportes de Pagos'!H:H,"&gt;"&amp;(EOMONTH(FECHA,-1)),'6.Reportes de Pagos'!H:H,"&lt;="&amp;(EOMONTH(FECHA,0)),'6.Reportes de Pagos'!D:D,$P8)</f>
        <v>0</v>
      </c>
      <c r="AF8" s="179">
        <v>0</v>
      </c>
      <c r="AG8" s="177">
        <f>SUMIFS('6.Reportes de Pagos'!I:I,'6.Reportes de Pagos'!H:H,"&lt;="&amp;(EOMONTH(FECHA,0)),'6.Reportes de Pagos'!D:D,$P8)</f>
        <v>1262766</v>
      </c>
      <c r="AH8" s="177">
        <f>SUMIFS('6.Reportes de Pagos'!J:J,'6.Reportes de Pagos'!H:H,"&lt;="&amp;(EOMONTH(FECHA,0)),'6.Reportes de Pagos'!D:D,$P8)</f>
        <v>0</v>
      </c>
      <c r="AI8" s="177">
        <f>+AC8+AF8</f>
        <v>0</v>
      </c>
      <c r="AJ8" s="177"/>
      <c r="AK8" s="180">
        <f t="shared" ref="AK8" si="0">+Z8-(AG8-AH8)-AI8</f>
        <v>0</v>
      </c>
      <c r="AL8" s="182">
        <f t="shared" ref="AL8" si="1">IFERROR(((AG8-AH8+AI8)/Z8),0)</f>
        <v>1</v>
      </c>
      <c r="AM8" s="210" t="s">
        <v>60</v>
      </c>
    </row>
    <row r="9" spans="1:39" s="204" customFormat="1" ht="75" x14ac:dyDescent="0.25">
      <c r="A9" s="115">
        <f>+A8+1</f>
        <v>2</v>
      </c>
      <c r="B9" s="116" t="s">
        <v>51</v>
      </c>
      <c r="C9" s="90">
        <v>87123</v>
      </c>
      <c r="D9" s="117" t="s">
        <v>90</v>
      </c>
      <c r="E9" s="118">
        <v>2023</v>
      </c>
      <c r="F9" s="119" t="s">
        <v>1276</v>
      </c>
      <c r="G9" s="120" t="s">
        <v>1277</v>
      </c>
      <c r="H9" s="121">
        <f>11881579210+201196870</f>
        <v>12082776080</v>
      </c>
      <c r="I9" s="119" t="s">
        <v>120</v>
      </c>
      <c r="J9" s="76" t="s">
        <v>121</v>
      </c>
      <c r="K9" s="83" t="s">
        <v>122</v>
      </c>
      <c r="L9" s="119" t="s">
        <v>123</v>
      </c>
      <c r="M9" s="119" t="s">
        <v>124</v>
      </c>
      <c r="N9" s="119">
        <v>1</v>
      </c>
      <c r="O9" s="119" t="s">
        <v>1129</v>
      </c>
      <c r="P9" s="144" t="s">
        <v>125</v>
      </c>
      <c r="Q9" s="122">
        <v>45308</v>
      </c>
      <c r="R9" s="120" t="s">
        <v>126</v>
      </c>
      <c r="S9" s="115" t="s">
        <v>127</v>
      </c>
      <c r="T9" s="123" t="s">
        <v>128</v>
      </c>
      <c r="U9" s="119">
        <v>900206662</v>
      </c>
      <c r="V9" s="175">
        <v>11406316041</v>
      </c>
      <c r="W9" s="175">
        <f>+H9-V9-201196870</f>
        <v>475263169</v>
      </c>
      <c r="X9" s="175">
        <v>201196870</v>
      </c>
      <c r="Y9" s="175">
        <f>116750900+66917270</f>
        <v>183668170</v>
      </c>
      <c r="Z9" s="176">
        <f>+V9+X9</f>
        <v>11607512911</v>
      </c>
      <c r="AA9" s="177">
        <f>SUMIFS('6.Reportes de Pagos'!I:I,'6.Reportes de Pagos'!H:H,"&lt;="&amp;(EOMONTH(FECHA,-1)),'6.Reportes de Pagos'!D:D,$P9)</f>
        <v>0</v>
      </c>
      <c r="AB9" s="177">
        <f>SUMIFS('6.Reportes de Pagos'!J:J,'6.Reportes de Pagos'!H:H,"&lt;="&amp;(EOMONTH(FECHA,-1)),'6.Reportes de Pagos'!D:D,$P9)</f>
        <v>0</v>
      </c>
      <c r="AC9" s="178">
        <v>0</v>
      </c>
      <c r="AD9" s="179">
        <f>SUMIFS('6.Reportes de Pagos'!I:I,'6.Reportes de Pagos'!H:H,"&gt;"&amp;(EOMONTH(FECHA,-1)),'6.Reportes de Pagos'!H:H,"&lt;="&amp;(EOMONTH(FECHA,0)),'6.Reportes de Pagos'!D:D,$P9)</f>
        <v>0</v>
      </c>
      <c r="AE9" s="179">
        <f>SUMIFS('6.Reportes de Pagos'!J:J,'6.Reportes de Pagos'!H:H,"&gt;"&amp;(EOMONTH(FECHA,-1)),'6.Reportes de Pagos'!H:H,"&lt;="&amp;(EOMONTH(FECHA,0)),'6.Reportes de Pagos'!D:D,$P9)</f>
        <v>0</v>
      </c>
      <c r="AF9" s="179">
        <v>0</v>
      </c>
      <c r="AG9" s="177">
        <f>SUMIFS('6.Reportes de Pagos'!I:I,'6.Reportes de Pagos'!H:H,"&lt;="&amp;(EOMONTH(FECHA,0)),'6.Reportes de Pagos'!D:D,$P9)</f>
        <v>0</v>
      </c>
      <c r="AH9" s="177">
        <f>SUMIFS('6.Reportes de Pagos'!J:J,'6.Reportes de Pagos'!H:H,"&lt;="&amp;(EOMONTH(FECHA,0)),'6.Reportes de Pagos'!D:D,$P9)</f>
        <v>0</v>
      </c>
      <c r="AI9" s="177">
        <f t="shared" ref="AI9" si="2">+AC9+AF9</f>
        <v>0</v>
      </c>
      <c r="AJ9" s="177"/>
      <c r="AK9" s="180">
        <f t="shared" ref="AK9" si="3">+Z9-(AG9-AH9)-AI9</f>
        <v>11607512911</v>
      </c>
      <c r="AL9" s="182">
        <f t="shared" ref="AL9" si="4">IFERROR(((AG9-AH9+AI9)/Z9),0)</f>
        <v>0</v>
      </c>
      <c r="AM9" s="210" t="s">
        <v>1218</v>
      </c>
    </row>
    <row r="10" spans="1:39" s="204" customFormat="1" ht="90" x14ac:dyDescent="0.25">
      <c r="A10" s="115">
        <f t="shared" ref="A10:A76" si="5">+A9+1</f>
        <v>3</v>
      </c>
      <c r="B10" s="116" t="s">
        <v>51</v>
      </c>
      <c r="C10" s="90">
        <v>87123</v>
      </c>
      <c r="D10" s="117" t="s">
        <v>90</v>
      </c>
      <c r="E10" s="118">
        <v>2023</v>
      </c>
      <c r="F10" s="119" t="s">
        <v>1274</v>
      </c>
      <c r="G10" s="120" t="s">
        <v>1275</v>
      </c>
      <c r="H10" s="121">
        <f>1038090820+196922985</f>
        <v>1235013805</v>
      </c>
      <c r="I10" s="119" t="s">
        <v>120</v>
      </c>
      <c r="J10" s="76" t="s">
        <v>129</v>
      </c>
      <c r="K10" s="83" t="s">
        <v>122</v>
      </c>
      <c r="L10" s="119" t="s">
        <v>123</v>
      </c>
      <c r="M10" s="119" t="s">
        <v>124</v>
      </c>
      <c r="N10" s="119">
        <v>1</v>
      </c>
      <c r="O10" s="119" t="s">
        <v>1130</v>
      </c>
      <c r="P10" s="144" t="s">
        <v>130</v>
      </c>
      <c r="Q10" s="122">
        <v>45308</v>
      </c>
      <c r="R10" s="120" t="s">
        <v>131</v>
      </c>
      <c r="S10" s="115" t="s">
        <v>127</v>
      </c>
      <c r="T10" s="123" t="s">
        <v>132</v>
      </c>
      <c r="U10" s="119">
        <v>901786465</v>
      </c>
      <c r="V10" s="175">
        <v>984452667</v>
      </c>
      <c r="W10" s="175">
        <f>+H10-V10-196922985</f>
        <v>53638153</v>
      </c>
      <c r="X10" s="175">
        <f>116750900+196922985+66917270</f>
        <v>380591155</v>
      </c>
      <c r="Y10" s="175"/>
      <c r="Z10" s="176">
        <f>+V10+X10</f>
        <v>1365043822</v>
      </c>
      <c r="AA10" s="177">
        <f>SUMIFS('6.Reportes de Pagos'!I:I,'6.Reportes de Pagos'!H:H,"&lt;="&amp;(EOMONTH(FECHA,-1)),'6.Reportes de Pagos'!D:D,$P10)</f>
        <v>0</v>
      </c>
      <c r="AB10" s="177">
        <f>SUMIFS('6.Reportes de Pagos'!J:J,'6.Reportes de Pagos'!H:H,"&lt;="&amp;(EOMONTH(FECHA,-1)),'6.Reportes de Pagos'!D:D,$P10)</f>
        <v>0</v>
      </c>
      <c r="AC10" s="178">
        <v>0</v>
      </c>
      <c r="AD10" s="179">
        <f>SUMIFS('6.Reportes de Pagos'!I:I,'6.Reportes de Pagos'!H:H,"&gt;"&amp;(EOMONTH(FECHA,-1)),'6.Reportes de Pagos'!H:H,"&lt;="&amp;(EOMONTH(FECHA,0)),'6.Reportes de Pagos'!D:D,$P10)</f>
        <v>0</v>
      </c>
      <c r="AE10" s="179">
        <f>SUMIFS('6.Reportes de Pagos'!J:J,'6.Reportes de Pagos'!H:H,"&gt;"&amp;(EOMONTH(FECHA,-1)),'6.Reportes de Pagos'!H:H,"&lt;="&amp;(EOMONTH(FECHA,0)),'6.Reportes de Pagos'!D:D,$P10)</f>
        <v>0</v>
      </c>
      <c r="AF10" s="179">
        <v>0</v>
      </c>
      <c r="AG10" s="177">
        <f>SUMIFS('6.Reportes de Pagos'!I:I,'6.Reportes de Pagos'!H:H,"&lt;="&amp;(EOMONTH(FECHA,0)),'6.Reportes de Pagos'!D:D,$P10)</f>
        <v>0</v>
      </c>
      <c r="AH10" s="177">
        <f>SUMIFS('6.Reportes de Pagos'!J:J,'6.Reportes de Pagos'!H:H,"&lt;="&amp;(EOMONTH(FECHA,0)),'6.Reportes de Pagos'!D:D,$P10)</f>
        <v>0</v>
      </c>
      <c r="AI10" s="177">
        <f t="shared" ref="AI10:AI75" si="6">+AC10+AF10</f>
        <v>0</v>
      </c>
      <c r="AJ10" s="177"/>
      <c r="AK10" s="180">
        <f t="shared" ref="AK10:AK75" si="7">+Z10-(AG10-AH10)-AI10</f>
        <v>1365043822</v>
      </c>
      <c r="AL10" s="182">
        <f t="shared" ref="AL10:AL75" si="8">IFERROR(((AG10-AH10+AI10)/Z10),0)</f>
        <v>0</v>
      </c>
      <c r="AM10" s="210" t="s">
        <v>1218</v>
      </c>
    </row>
    <row r="11" spans="1:39" s="204" customFormat="1" ht="45" x14ac:dyDescent="0.25">
      <c r="A11" s="115">
        <f t="shared" si="5"/>
        <v>4</v>
      </c>
      <c r="B11" s="116" t="s">
        <v>51</v>
      </c>
      <c r="C11" s="90">
        <v>87123</v>
      </c>
      <c r="D11" s="117" t="s">
        <v>90</v>
      </c>
      <c r="E11" s="118">
        <v>2023</v>
      </c>
      <c r="F11" s="119">
        <v>49</v>
      </c>
      <c r="G11" s="120">
        <v>45274</v>
      </c>
      <c r="H11" s="121">
        <v>16809507226</v>
      </c>
      <c r="I11" s="119" t="s">
        <v>120</v>
      </c>
      <c r="J11" s="76" t="s">
        <v>133</v>
      </c>
      <c r="K11" s="83" t="s">
        <v>134</v>
      </c>
      <c r="L11" s="119" t="s">
        <v>135</v>
      </c>
      <c r="M11" s="119" t="s">
        <v>124</v>
      </c>
      <c r="N11" s="119">
        <v>1</v>
      </c>
      <c r="O11" s="119" t="s">
        <v>1131</v>
      </c>
      <c r="P11" s="144" t="s">
        <v>136</v>
      </c>
      <c r="Q11" s="122">
        <v>45397</v>
      </c>
      <c r="R11" s="120" t="s">
        <v>126</v>
      </c>
      <c r="S11" s="115" t="s">
        <v>127</v>
      </c>
      <c r="T11" s="123" t="s">
        <v>137</v>
      </c>
      <c r="U11" s="119">
        <v>901811721</v>
      </c>
      <c r="V11" s="175">
        <v>16014417534</v>
      </c>
      <c r="W11" s="175">
        <f t="shared" ref="W11:W81" si="9">+H11-V11</f>
        <v>795089692</v>
      </c>
      <c r="X11" s="175"/>
      <c r="Y11" s="175"/>
      <c r="Z11" s="176">
        <f t="shared" ref="Z11:Z75" si="10">+V11+X11</f>
        <v>16014417534</v>
      </c>
      <c r="AA11" s="177">
        <f>SUMIFS('6.Reportes de Pagos'!I:I,'6.Reportes de Pagos'!H:H,"&lt;="&amp;(EOMONTH(FECHA,-1)),'6.Reportes de Pagos'!D:D,$P11)</f>
        <v>10822448177</v>
      </c>
      <c r="AB11" s="177">
        <f>SUMIFS('6.Reportes de Pagos'!J:J,'6.Reportes de Pagos'!H:H,"&lt;="&amp;(EOMONTH(FECHA,-1)),'6.Reportes de Pagos'!D:D,$P11)</f>
        <v>1082244817</v>
      </c>
      <c r="AC11" s="178">
        <v>0</v>
      </c>
      <c r="AD11" s="179">
        <f>SUMIFS('6.Reportes de Pagos'!I:I,'6.Reportes de Pagos'!H:H,"&gt;"&amp;(EOMONTH(FECHA,-1)),'6.Reportes de Pagos'!H:H,"&lt;="&amp;(EOMONTH(FECHA,0)),'6.Reportes de Pagos'!D:D,$P11)</f>
        <v>0</v>
      </c>
      <c r="AE11" s="179">
        <f>SUMIFS('6.Reportes de Pagos'!J:J,'6.Reportes de Pagos'!H:H,"&gt;"&amp;(EOMONTH(FECHA,-1)),'6.Reportes de Pagos'!H:H,"&lt;="&amp;(EOMONTH(FECHA,0)),'6.Reportes de Pagos'!D:D,$P11)</f>
        <v>0</v>
      </c>
      <c r="AF11" s="179">
        <v>0</v>
      </c>
      <c r="AG11" s="177">
        <f>SUMIFS('6.Reportes de Pagos'!I:I,'6.Reportes de Pagos'!H:H,"&lt;="&amp;(EOMONTH(FECHA,0)),'6.Reportes de Pagos'!D:D,$P11)</f>
        <v>10822448177</v>
      </c>
      <c r="AH11" s="177">
        <f>SUMIFS('6.Reportes de Pagos'!J:J,'6.Reportes de Pagos'!H:H,"&lt;="&amp;(EOMONTH(FECHA,0)),'6.Reportes de Pagos'!D:D,$P11)</f>
        <v>1082244817</v>
      </c>
      <c r="AI11" s="177">
        <f t="shared" si="6"/>
        <v>0</v>
      </c>
      <c r="AJ11" s="177"/>
      <c r="AK11" s="180">
        <f t="shared" si="7"/>
        <v>6274214174</v>
      </c>
      <c r="AL11" s="182">
        <f t="shared" si="8"/>
        <v>0.60821465028751132</v>
      </c>
      <c r="AM11" s="210" t="s">
        <v>1218</v>
      </c>
    </row>
    <row r="12" spans="1:39" s="204" customFormat="1" ht="60" x14ac:dyDescent="0.25">
      <c r="A12" s="115">
        <f t="shared" si="5"/>
        <v>5</v>
      </c>
      <c r="B12" s="116" t="s">
        <v>51</v>
      </c>
      <c r="C12" s="90">
        <v>87123</v>
      </c>
      <c r="D12" s="117" t="s">
        <v>90</v>
      </c>
      <c r="E12" s="118">
        <v>2023</v>
      </c>
      <c r="F12" s="119" t="s">
        <v>564</v>
      </c>
      <c r="G12" s="120" t="s">
        <v>565</v>
      </c>
      <c r="H12" s="121">
        <f>1320560410+65049428</f>
        <v>1385609838</v>
      </c>
      <c r="I12" s="119" t="s">
        <v>120</v>
      </c>
      <c r="J12" s="76" t="s">
        <v>138</v>
      </c>
      <c r="K12" s="83" t="s">
        <v>134</v>
      </c>
      <c r="L12" s="119" t="s">
        <v>135</v>
      </c>
      <c r="M12" s="119" t="s">
        <v>124</v>
      </c>
      <c r="N12" s="119">
        <v>1</v>
      </c>
      <c r="O12" s="119" t="s">
        <v>1132</v>
      </c>
      <c r="P12" s="144" t="s">
        <v>139</v>
      </c>
      <c r="Q12" s="122">
        <v>45398</v>
      </c>
      <c r="R12" s="120" t="s">
        <v>131</v>
      </c>
      <c r="S12" s="115" t="s">
        <v>127</v>
      </c>
      <c r="T12" s="123" t="s">
        <v>140</v>
      </c>
      <c r="U12" s="119">
        <v>901808808</v>
      </c>
      <c r="V12" s="175">
        <v>1204351093</v>
      </c>
      <c r="W12" s="175">
        <f>+H12-V12-65049428</f>
        <v>116209317</v>
      </c>
      <c r="X12" s="175">
        <v>65049428</v>
      </c>
      <c r="Y12" s="175"/>
      <c r="Z12" s="176">
        <f t="shared" si="10"/>
        <v>1269400521</v>
      </c>
      <c r="AA12" s="177">
        <f>SUMIFS('6.Reportes de Pagos'!I:I,'6.Reportes de Pagos'!H:H,"&lt;="&amp;(EOMONTH(FECHA,-1)),'6.Reportes de Pagos'!D:D,$P12)</f>
        <v>899817548.90999997</v>
      </c>
      <c r="AB12" s="177">
        <f>SUMIFS('6.Reportes de Pagos'!J:J,'6.Reportes de Pagos'!H:H,"&lt;="&amp;(EOMONTH(FECHA,-1)),'6.Reportes de Pagos'!D:D,$P12)</f>
        <v>89981755.599999994</v>
      </c>
      <c r="AC12" s="178">
        <v>0</v>
      </c>
      <c r="AD12" s="179">
        <f>SUMIFS('6.Reportes de Pagos'!I:I,'6.Reportes de Pagos'!H:H,"&gt;"&amp;(EOMONTH(FECHA,-1)),'6.Reportes de Pagos'!H:H,"&lt;="&amp;(EOMONTH(FECHA,0)),'6.Reportes de Pagos'!D:D,$P12)</f>
        <v>0</v>
      </c>
      <c r="AE12" s="179">
        <f>SUMIFS('6.Reportes de Pagos'!J:J,'6.Reportes de Pagos'!H:H,"&gt;"&amp;(EOMONTH(FECHA,-1)),'6.Reportes de Pagos'!H:H,"&lt;="&amp;(EOMONTH(FECHA,0)),'6.Reportes de Pagos'!D:D,$P12)</f>
        <v>0</v>
      </c>
      <c r="AF12" s="179">
        <v>0</v>
      </c>
      <c r="AG12" s="177">
        <f>SUMIFS('6.Reportes de Pagos'!I:I,'6.Reportes de Pagos'!H:H,"&lt;="&amp;(EOMONTH(FECHA,0)),'6.Reportes de Pagos'!D:D,$P12)</f>
        <v>899817548.90999997</v>
      </c>
      <c r="AH12" s="177">
        <f>SUMIFS('6.Reportes de Pagos'!J:J,'6.Reportes de Pagos'!H:H,"&lt;="&amp;(EOMONTH(FECHA,0)),'6.Reportes de Pagos'!D:D,$P12)</f>
        <v>89981755.599999994</v>
      </c>
      <c r="AI12" s="177">
        <f t="shared" si="6"/>
        <v>0</v>
      </c>
      <c r="AJ12" s="177"/>
      <c r="AK12" s="180">
        <f t="shared" si="7"/>
        <v>459564727.69000006</v>
      </c>
      <c r="AL12" s="182">
        <f t="shared" si="8"/>
        <v>0.63796711905556236</v>
      </c>
      <c r="AM12" s="210" t="s">
        <v>1218</v>
      </c>
    </row>
    <row r="13" spans="1:39" s="204" customFormat="1" ht="75" x14ac:dyDescent="0.25">
      <c r="A13" s="115">
        <f t="shared" si="5"/>
        <v>6</v>
      </c>
      <c r="B13" s="116" t="s">
        <v>51</v>
      </c>
      <c r="C13" s="90">
        <v>87123</v>
      </c>
      <c r="D13" s="117" t="s">
        <v>90</v>
      </c>
      <c r="E13" s="118">
        <v>2023</v>
      </c>
      <c r="F13" s="119" t="s">
        <v>566</v>
      </c>
      <c r="G13" s="120" t="s">
        <v>567</v>
      </c>
      <c r="H13" s="215">
        <f>6061878367+206479290</f>
        <v>6268357657</v>
      </c>
      <c r="I13" s="119" t="s">
        <v>141</v>
      </c>
      <c r="J13" s="76" t="s">
        <v>142</v>
      </c>
      <c r="K13" s="83" t="s">
        <v>143</v>
      </c>
      <c r="L13" s="119" t="s">
        <v>135</v>
      </c>
      <c r="M13" s="119">
        <v>1</v>
      </c>
      <c r="N13" s="119">
        <v>32</v>
      </c>
      <c r="O13" s="119" t="s">
        <v>1133</v>
      </c>
      <c r="P13" s="144" t="s">
        <v>144</v>
      </c>
      <c r="Q13" s="122">
        <v>45307</v>
      </c>
      <c r="R13" s="120" t="s">
        <v>126</v>
      </c>
      <c r="S13" s="115" t="s">
        <v>127</v>
      </c>
      <c r="T13" s="123" t="s">
        <v>145</v>
      </c>
      <c r="U13" s="119">
        <v>900584208</v>
      </c>
      <c r="V13" s="175">
        <v>5849106437</v>
      </c>
      <c r="W13" s="175">
        <f>+H13-V13-206479290-212771930</f>
        <v>0</v>
      </c>
      <c r="X13" s="175">
        <v>206479290</v>
      </c>
      <c r="Y13" s="175"/>
      <c r="Z13" s="176">
        <f t="shared" si="10"/>
        <v>6055585727</v>
      </c>
      <c r="AA13" s="177">
        <f>SUMIFS('6.Reportes de Pagos'!I:I,'6.Reportes de Pagos'!H:H,"&lt;="&amp;(EOMONTH(FECHA,-1)),'6.Reportes de Pagos'!D:D,$P13)</f>
        <v>6055585727</v>
      </c>
      <c r="AB13" s="177">
        <f>SUMIFS('6.Reportes de Pagos'!J:J,'6.Reportes de Pagos'!H:H,"&lt;="&amp;(EOMONTH(FECHA,-1)),'6.Reportes de Pagos'!D:D,$P13)</f>
        <v>0</v>
      </c>
      <c r="AC13" s="178">
        <v>0</v>
      </c>
      <c r="AD13" s="179">
        <f>SUMIFS('6.Reportes de Pagos'!I:I,'6.Reportes de Pagos'!H:H,"&gt;"&amp;(EOMONTH(FECHA,-1)),'6.Reportes de Pagos'!H:H,"&lt;="&amp;(EOMONTH(FECHA,0)),'6.Reportes de Pagos'!D:D,$P13)</f>
        <v>0</v>
      </c>
      <c r="AE13" s="179">
        <f>SUMIFS('6.Reportes de Pagos'!J:J,'6.Reportes de Pagos'!H:H,"&gt;"&amp;(EOMONTH(FECHA,-1)),'6.Reportes de Pagos'!H:H,"&lt;="&amp;(EOMONTH(FECHA,0)),'6.Reportes de Pagos'!D:D,$P13)</f>
        <v>0</v>
      </c>
      <c r="AF13" s="179">
        <v>0</v>
      </c>
      <c r="AG13" s="177">
        <f>SUMIFS('6.Reportes de Pagos'!I:I,'6.Reportes de Pagos'!H:H,"&lt;="&amp;(EOMONTH(FECHA,0)),'6.Reportes de Pagos'!D:D,$P13)</f>
        <v>6055585727</v>
      </c>
      <c r="AH13" s="177">
        <f>SUMIFS('6.Reportes de Pagos'!J:J,'6.Reportes de Pagos'!H:H,"&lt;="&amp;(EOMONTH(FECHA,0)),'6.Reportes de Pagos'!D:D,$P13)</f>
        <v>0</v>
      </c>
      <c r="AI13" s="177">
        <f t="shared" si="6"/>
        <v>0</v>
      </c>
      <c r="AJ13" s="177"/>
      <c r="AK13" s="180">
        <f t="shared" si="7"/>
        <v>0</v>
      </c>
      <c r="AL13" s="182">
        <f>IFERROR(((AG13-AH13+AI13)/Z13),0)</f>
        <v>1</v>
      </c>
      <c r="AM13" s="210" t="s">
        <v>1217</v>
      </c>
    </row>
    <row r="14" spans="1:39" s="204" customFormat="1" ht="105" x14ac:dyDescent="0.25">
      <c r="A14" s="115">
        <f t="shared" si="5"/>
        <v>7</v>
      </c>
      <c r="B14" s="116" t="s">
        <v>51</v>
      </c>
      <c r="C14" s="90">
        <v>87123</v>
      </c>
      <c r="D14" s="117" t="s">
        <v>90</v>
      </c>
      <c r="E14" s="118">
        <v>2023</v>
      </c>
      <c r="F14" s="119" t="s">
        <v>568</v>
      </c>
      <c r="G14" s="120" t="s">
        <v>567</v>
      </c>
      <c r="H14" s="215">
        <f>338617160+103140950</f>
        <v>441758110</v>
      </c>
      <c r="I14" s="119" t="s">
        <v>141</v>
      </c>
      <c r="J14" s="76" t="s">
        <v>146</v>
      </c>
      <c r="K14" s="83" t="s">
        <v>143</v>
      </c>
      <c r="L14" s="119" t="s">
        <v>135</v>
      </c>
      <c r="M14" s="119">
        <v>1</v>
      </c>
      <c r="N14" s="119">
        <v>32</v>
      </c>
      <c r="O14" s="119" t="s">
        <v>1134</v>
      </c>
      <c r="P14" s="144" t="s">
        <v>147</v>
      </c>
      <c r="Q14" s="122">
        <v>45307</v>
      </c>
      <c r="R14" s="120" t="s">
        <v>131</v>
      </c>
      <c r="S14" s="115" t="s">
        <v>127</v>
      </c>
      <c r="T14" s="123" t="s">
        <v>148</v>
      </c>
      <c r="U14" s="119">
        <v>900506471</v>
      </c>
      <c r="V14" s="175">
        <v>318271450</v>
      </c>
      <c r="W14" s="175">
        <f>+H14-V14-20345710-103140950</f>
        <v>0</v>
      </c>
      <c r="X14" s="175">
        <v>103140950</v>
      </c>
      <c r="Y14" s="175"/>
      <c r="Z14" s="176">
        <f t="shared" si="10"/>
        <v>421412400</v>
      </c>
      <c r="AA14" s="177">
        <f>SUMIFS('6.Reportes de Pagos'!I:I,'6.Reportes de Pagos'!H:H,"&lt;="&amp;(EOMONTH(FECHA,-1)),'6.Reportes de Pagos'!D:D,$P14)</f>
        <v>421412400</v>
      </c>
      <c r="AB14" s="177">
        <f>SUMIFS('6.Reportes de Pagos'!J:J,'6.Reportes de Pagos'!H:H,"&lt;="&amp;(EOMONTH(FECHA,-1)),'6.Reportes de Pagos'!D:D,$P14)</f>
        <v>0</v>
      </c>
      <c r="AC14" s="178">
        <v>0</v>
      </c>
      <c r="AD14" s="179">
        <f>SUMIFS('6.Reportes de Pagos'!I:I,'6.Reportes de Pagos'!H:H,"&gt;"&amp;(EOMONTH(FECHA,-1)),'6.Reportes de Pagos'!H:H,"&lt;="&amp;(EOMONTH(FECHA,0)),'6.Reportes de Pagos'!D:D,$P14)</f>
        <v>0</v>
      </c>
      <c r="AE14" s="179">
        <f>SUMIFS('6.Reportes de Pagos'!J:J,'6.Reportes de Pagos'!H:H,"&gt;"&amp;(EOMONTH(FECHA,-1)),'6.Reportes de Pagos'!H:H,"&lt;="&amp;(EOMONTH(FECHA,0)),'6.Reportes de Pagos'!D:D,$P14)</f>
        <v>0</v>
      </c>
      <c r="AF14" s="179">
        <v>0</v>
      </c>
      <c r="AG14" s="177">
        <f>SUMIFS('6.Reportes de Pagos'!I:I,'6.Reportes de Pagos'!H:H,"&lt;="&amp;(EOMONTH(FECHA,0)),'6.Reportes de Pagos'!D:D,$P14)</f>
        <v>421412400</v>
      </c>
      <c r="AH14" s="177">
        <f>SUMIFS('6.Reportes de Pagos'!J:J,'6.Reportes de Pagos'!H:H,"&lt;="&amp;(EOMONTH(FECHA,0)),'6.Reportes de Pagos'!D:D,$P14)</f>
        <v>0</v>
      </c>
      <c r="AI14" s="177">
        <f t="shared" si="6"/>
        <v>0</v>
      </c>
      <c r="AJ14" s="177"/>
      <c r="AK14" s="180">
        <f t="shared" si="7"/>
        <v>0</v>
      </c>
      <c r="AL14" s="208">
        <f t="shared" si="8"/>
        <v>1</v>
      </c>
      <c r="AM14" s="75" t="s">
        <v>1217</v>
      </c>
    </row>
    <row r="15" spans="1:39" s="204" customFormat="1" ht="75" x14ac:dyDescent="0.25">
      <c r="A15" s="115">
        <f t="shared" si="5"/>
        <v>8</v>
      </c>
      <c r="B15" s="116" t="s">
        <v>51</v>
      </c>
      <c r="C15" s="90">
        <v>87123</v>
      </c>
      <c r="D15" s="117" t="s">
        <v>90</v>
      </c>
      <c r="E15" s="118">
        <v>2023</v>
      </c>
      <c r="F15" s="119">
        <v>8</v>
      </c>
      <c r="G15" s="120">
        <v>45226</v>
      </c>
      <c r="H15" s="215">
        <v>5258435054</v>
      </c>
      <c r="I15" s="119" t="s">
        <v>141</v>
      </c>
      <c r="J15" s="76" t="s">
        <v>149</v>
      </c>
      <c r="K15" s="83" t="s">
        <v>150</v>
      </c>
      <c r="L15" s="119" t="s">
        <v>151</v>
      </c>
      <c r="M15" s="119">
        <v>2</v>
      </c>
      <c r="N15" s="119">
        <v>20</v>
      </c>
      <c r="O15" s="119" t="s">
        <v>1135</v>
      </c>
      <c r="P15" s="144" t="s">
        <v>152</v>
      </c>
      <c r="Q15" s="122">
        <v>45343</v>
      </c>
      <c r="R15" s="120" t="s">
        <v>126</v>
      </c>
      <c r="S15" s="115" t="s">
        <v>127</v>
      </c>
      <c r="T15" s="123" t="s">
        <v>153</v>
      </c>
      <c r="U15" s="119">
        <v>901787725</v>
      </c>
      <c r="V15" s="175">
        <v>5243387433</v>
      </c>
      <c r="W15" s="175">
        <f t="shared" si="9"/>
        <v>15047621</v>
      </c>
      <c r="X15" s="175">
        <v>0</v>
      </c>
      <c r="Y15" s="175">
        <v>7072859.5</v>
      </c>
      <c r="Z15" s="176">
        <f t="shared" si="10"/>
        <v>5243387433</v>
      </c>
      <c r="AA15" s="177">
        <f>SUMIFS('6.Reportes de Pagos'!I:I,'6.Reportes de Pagos'!H:H,"&lt;="&amp;(EOMONTH(FECHA,-1)),'6.Reportes de Pagos'!D:D,$P15)</f>
        <v>5243387433</v>
      </c>
      <c r="AB15" s="177">
        <f>SUMIFS('6.Reportes de Pagos'!J:J,'6.Reportes de Pagos'!H:H,"&lt;="&amp;(EOMONTH(FECHA,-1)),'6.Reportes de Pagos'!D:D,$P15)</f>
        <v>0</v>
      </c>
      <c r="AC15" s="178">
        <v>0</v>
      </c>
      <c r="AD15" s="179">
        <f>SUMIFS('6.Reportes de Pagos'!I:I,'6.Reportes de Pagos'!H:H,"&gt;"&amp;(EOMONTH(FECHA,-1)),'6.Reportes de Pagos'!H:H,"&lt;="&amp;(EOMONTH(FECHA,0)),'6.Reportes de Pagos'!D:D,$P15)</f>
        <v>0</v>
      </c>
      <c r="AE15" s="179">
        <f>SUMIFS('6.Reportes de Pagos'!J:J,'6.Reportes de Pagos'!H:H,"&gt;"&amp;(EOMONTH(FECHA,-1)),'6.Reportes de Pagos'!H:H,"&lt;="&amp;(EOMONTH(FECHA,0)),'6.Reportes de Pagos'!D:D,$P15)</f>
        <v>0</v>
      </c>
      <c r="AF15" s="179">
        <v>0</v>
      </c>
      <c r="AG15" s="177">
        <f>SUMIFS('6.Reportes de Pagos'!I:I,'6.Reportes de Pagos'!H:H,"&lt;="&amp;(EOMONTH(FECHA,0)),'6.Reportes de Pagos'!D:D,$P15)</f>
        <v>5243387433</v>
      </c>
      <c r="AH15" s="177">
        <f>SUMIFS('6.Reportes de Pagos'!J:J,'6.Reportes de Pagos'!H:H,"&lt;="&amp;(EOMONTH(FECHA,0)),'6.Reportes de Pagos'!D:D,$P15)</f>
        <v>0</v>
      </c>
      <c r="AI15" s="177">
        <f t="shared" si="6"/>
        <v>0</v>
      </c>
      <c r="AJ15" s="177"/>
      <c r="AK15" s="180">
        <f t="shared" si="7"/>
        <v>0</v>
      </c>
      <c r="AL15" s="208">
        <f>IFERROR(((AG15-AH15+AI15)/Z15),0)</f>
        <v>1</v>
      </c>
      <c r="AM15" s="229" t="s">
        <v>1325</v>
      </c>
    </row>
    <row r="16" spans="1:39" s="204" customFormat="1" ht="105" x14ac:dyDescent="0.25">
      <c r="A16" s="115">
        <f t="shared" si="5"/>
        <v>9</v>
      </c>
      <c r="B16" s="116" t="s">
        <v>51</v>
      </c>
      <c r="C16" s="90">
        <v>87123</v>
      </c>
      <c r="D16" s="117" t="s">
        <v>90</v>
      </c>
      <c r="E16" s="118">
        <v>2023</v>
      </c>
      <c r="F16" s="119" t="s">
        <v>608</v>
      </c>
      <c r="G16" s="120">
        <v>45226</v>
      </c>
      <c r="H16" s="215">
        <f>317884530+7072859.5</f>
        <v>324957389.5</v>
      </c>
      <c r="I16" s="119" t="s">
        <v>141</v>
      </c>
      <c r="J16" s="76" t="s">
        <v>154</v>
      </c>
      <c r="K16" s="83" t="s">
        <v>150</v>
      </c>
      <c r="L16" s="119" t="s">
        <v>151</v>
      </c>
      <c r="M16" s="119">
        <v>2</v>
      </c>
      <c r="N16" s="119">
        <v>20</v>
      </c>
      <c r="O16" s="119" t="s">
        <v>1136</v>
      </c>
      <c r="P16" s="144" t="s">
        <v>155</v>
      </c>
      <c r="Q16" s="122">
        <v>45323</v>
      </c>
      <c r="R16" s="120" t="s">
        <v>131</v>
      </c>
      <c r="S16" s="115" t="s">
        <v>127</v>
      </c>
      <c r="T16" s="123" t="s">
        <v>156</v>
      </c>
      <c r="U16" s="119">
        <v>901785680</v>
      </c>
      <c r="V16" s="175">
        <v>300875759</v>
      </c>
      <c r="W16" s="175">
        <f>+H16-V16-7072859.5-17008771</f>
        <v>0</v>
      </c>
      <c r="X16" s="175">
        <f>7072859.5+7072859.5</f>
        <v>14145719</v>
      </c>
      <c r="Y16" s="175"/>
      <c r="Z16" s="176">
        <f>+V16+X16</f>
        <v>315021478</v>
      </c>
      <c r="AA16" s="177">
        <f>SUMIFS('6.Reportes de Pagos'!I:I,'6.Reportes de Pagos'!H:H,"&lt;="&amp;(EOMONTH(FECHA,-1)),'6.Reportes de Pagos'!D:D,$P16)</f>
        <v>288130648.30000001</v>
      </c>
      <c r="AB16" s="177">
        <f>SUMIFS('6.Reportes de Pagos'!J:J,'6.Reportes de Pagos'!H:H,"&lt;="&amp;(EOMONTH(FECHA,-1)),'6.Reportes de Pagos'!D:D,$P16)</f>
        <v>28813064.84</v>
      </c>
      <c r="AC16" s="178">
        <v>0</v>
      </c>
      <c r="AD16" s="179">
        <f>SUMIFS('6.Reportes de Pagos'!I:I,'6.Reportes de Pagos'!H:H,"&gt;"&amp;(EOMONTH(FECHA,-1)),'6.Reportes de Pagos'!H:H,"&lt;="&amp;(EOMONTH(FECHA,0)),'6.Reportes de Pagos'!D:D,$P16)</f>
        <v>0</v>
      </c>
      <c r="AE16" s="179">
        <f>SUMIFS('6.Reportes de Pagos'!J:J,'6.Reportes de Pagos'!H:H,"&gt;"&amp;(EOMONTH(FECHA,-1)),'6.Reportes de Pagos'!H:H,"&lt;="&amp;(EOMONTH(FECHA,0)),'6.Reportes de Pagos'!D:D,$P16)</f>
        <v>0</v>
      </c>
      <c r="AF16" s="179">
        <v>0</v>
      </c>
      <c r="AG16" s="177">
        <f>SUMIFS('6.Reportes de Pagos'!I:I,'6.Reportes de Pagos'!H:H,"&lt;="&amp;(EOMONTH(FECHA,0)),'6.Reportes de Pagos'!D:D,$P16)</f>
        <v>288130648.30000001</v>
      </c>
      <c r="AH16" s="177">
        <f>SUMIFS('6.Reportes de Pagos'!J:J,'6.Reportes de Pagos'!H:H,"&lt;="&amp;(EOMONTH(FECHA,0)),'6.Reportes de Pagos'!D:D,$P16)</f>
        <v>28813064.84</v>
      </c>
      <c r="AI16" s="177">
        <f t="shared" si="6"/>
        <v>0</v>
      </c>
      <c r="AJ16" s="177"/>
      <c r="AK16" s="180">
        <f t="shared" si="7"/>
        <v>55703894.539999992</v>
      </c>
      <c r="AL16" s="208">
        <f t="shared" si="8"/>
        <v>0.82317429626179328</v>
      </c>
      <c r="AM16" s="211" t="s">
        <v>1219</v>
      </c>
    </row>
    <row r="17" spans="1:39" s="204" customFormat="1" ht="75" x14ac:dyDescent="0.25">
      <c r="A17" s="115">
        <f t="shared" si="5"/>
        <v>10</v>
      </c>
      <c r="B17" s="116" t="s">
        <v>51</v>
      </c>
      <c r="C17" s="90">
        <v>87123</v>
      </c>
      <c r="D17" s="117" t="s">
        <v>90</v>
      </c>
      <c r="E17" s="118">
        <v>2023</v>
      </c>
      <c r="F17" s="119">
        <v>6</v>
      </c>
      <c r="G17" s="120">
        <v>45226</v>
      </c>
      <c r="H17" s="215">
        <v>3409435611</v>
      </c>
      <c r="I17" s="119" t="s">
        <v>141</v>
      </c>
      <c r="J17" s="76" t="s">
        <v>157</v>
      </c>
      <c r="K17" s="83" t="s">
        <v>158</v>
      </c>
      <c r="L17" s="119" t="s">
        <v>159</v>
      </c>
      <c r="M17" s="119">
        <v>3</v>
      </c>
      <c r="N17" s="119">
        <v>11</v>
      </c>
      <c r="O17" s="119" t="s">
        <v>1137</v>
      </c>
      <c r="P17" s="144" t="s">
        <v>160</v>
      </c>
      <c r="Q17" s="122">
        <v>45308</v>
      </c>
      <c r="R17" s="120" t="s">
        <v>126</v>
      </c>
      <c r="S17" s="115" t="s">
        <v>127</v>
      </c>
      <c r="T17" s="123" t="s">
        <v>128</v>
      </c>
      <c r="U17" s="119">
        <v>900206662</v>
      </c>
      <c r="V17" s="175">
        <v>3336735245</v>
      </c>
      <c r="W17" s="175">
        <f t="shared" si="9"/>
        <v>72700366</v>
      </c>
      <c r="X17" s="175"/>
      <c r="Y17" s="175"/>
      <c r="Z17" s="176">
        <f t="shared" si="10"/>
        <v>3336735245</v>
      </c>
      <c r="AA17" s="177">
        <f>SUMIFS('6.Reportes de Pagos'!I:I,'6.Reportes de Pagos'!H:H,"&lt;="&amp;(EOMONTH(FECHA,-1)),'6.Reportes de Pagos'!D:D,$P17)</f>
        <v>3161697793.02</v>
      </c>
      <c r="AB17" s="177">
        <f>SUMIFS('6.Reportes de Pagos'!J:J,'6.Reportes de Pagos'!H:H,"&lt;="&amp;(EOMONTH(FECHA,-1)),'6.Reportes de Pagos'!D:D,$P17)</f>
        <v>316169779.30000001</v>
      </c>
      <c r="AC17" s="178">
        <v>0</v>
      </c>
      <c r="AD17" s="179">
        <f>SUMIFS('6.Reportes de Pagos'!I:I,'6.Reportes de Pagos'!H:H,"&gt;"&amp;(EOMONTH(FECHA,-1)),'6.Reportes de Pagos'!H:H,"&lt;="&amp;(EOMONTH(FECHA,0)),'6.Reportes de Pagos'!D:D,$P17)</f>
        <v>0</v>
      </c>
      <c r="AE17" s="179">
        <f>SUMIFS('6.Reportes de Pagos'!J:J,'6.Reportes de Pagos'!H:H,"&gt;"&amp;(EOMONTH(FECHA,-1)),'6.Reportes de Pagos'!H:H,"&lt;="&amp;(EOMONTH(FECHA,0)),'6.Reportes de Pagos'!D:D,$P17)</f>
        <v>0</v>
      </c>
      <c r="AF17" s="179">
        <v>0</v>
      </c>
      <c r="AG17" s="177">
        <f>SUMIFS('6.Reportes de Pagos'!I:I,'6.Reportes de Pagos'!H:H,"&lt;="&amp;(EOMONTH(FECHA,0)),'6.Reportes de Pagos'!D:D,$P17)</f>
        <v>3161697793.02</v>
      </c>
      <c r="AH17" s="177">
        <f>SUMIFS('6.Reportes de Pagos'!J:J,'6.Reportes de Pagos'!H:H,"&lt;="&amp;(EOMONTH(FECHA,0)),'6.Reportes de Pagos'!D:D,$P17)</f>
        <v>316169779.30000001</v>
      </c>
      <c r="AI17" s="177">
        <f t="shared" si="6"/>
        <v>0</v>
      </c>
      <c r="AJ17" s="177"/>
      <c r="AK17" s="180">
        <f t="shared" si="7"/>
        <v>491207231.28000021</v>
      </c>
      <c r="AL17" s="208">
        <f t="shared" si="8"/>
        <v>0.85278807120940747</v>
      </c>
      <c r="AM17" s="210" t="s">
        <v>1219</v>
      </c>
    </row>
    <row r="18" spans="1:39" s="204" customFormat="1" ht="105" x14ac:dyDescent="0.25">
      <c r="A18" s="115">
        <f t="shared" si="5"/>
        <v>11</v>
      </c>
      <c r="B18" s="116" t="s">
        <v>51</v>
      </c>
      <c r="C18" s="90">
        <v>87123</v>
      </c>
      <c r="D18" s="117" t="s">
        <v>90</v>
      </c>
      <c r="E18" s="118">
        <v>2023</v>
      </c>
      <c r="F18" s="119">
        <v>7</v>
      </c>
      <c r="G18" s="120">
        <v>45226</v>
      </c>
      <c r="H18" s="215">
        <v>225817580</v>
      </c>
      <c r="I18" s="119" t="s">
        <v>141</v>
      </c>
      <c r="J18" s="76" t="s">
        <v>161</v>
      </c>
      <c r="K18" s="83" t="s">
        <v>158</v>
      </c>
      <c r="L18" s="119" t="s">
        <v>159</v>
      </c>
      <c r="M18" s="119">
        <v>3</v>
      </c>
      <c r="N18" s="119">
        <v>11</v>
      </c>
      <c r="O18" s="119" t="s">
        <v>1138</v>
      </c>
      <c r="P18" s="144" t="s">
        <v>162</v>
      </c>
      <c r="Q18" s="122">
        <v>45313</v>
      </c>
      <c r="R18" s="120" t="s">
        <v>131</v>
      </c>
      <c r="S18" s="115" t="s">
        <v>127</v>
      </c>
      <c r="T18" s="123" t="s">
        <v>163</v>
      </c>
      <c r="U18" s="119">
        <v>901786162</v>
      </c>
      <c r="V18" s="175">
        <v>213084403</v>
      </c>
      <c r="W18" s="175">
        <f t="shared" si="9"/>
        <v>12733177</v>
      </c>
      <c r="X18" s="175"/>
      <c r="Y18" s="175"/>
      <c r="Z18" s="176">
        <f t="shared" si="10"/>
        <v>213084403</v>
      </c>
      <c r="AA18" s="177">
        <f>SUMIFS('6.Reportes de Pagos'!I:I,'6.Reportes de Pagos'!H:H,"&lt;="&amp;(EOMONTH(FECHA,-1)),'6.Reportes de Pagos'!D:D,$P18)</f>
        <v>191325080.98000002</v>
      </c>
      <c r="AB18" s="177">
        <f>SUMIFS('6.Reportes de Pagos'!J:J,'6.Reportes de Pagos'!H:H,"&lt;="&amp;(EOMONTH(FECHA,-1)),'6.Reportes de Pagos'!D:D,$P18)</f>
        <v>19132508.100000001</v>
      </c>
      <c r="AC18" s="178">
        <v>0</v>
      </c>
      <c r="AD18" s="179">
        <f>SUMIFS('6.Reportes de Pagos'!I:I,'6.Reportes de Pagos'!H:H,"&gt;"&amp;(EOMONTH(FECHA,-1)),'6.Reportes de Pagos'!H:H,"&lt;="&amp;(EOMONTH(FECHA,0)),'6.Reportes de Pagos'!D:D,$P18)</f>
        <v>0</v>
      </c>
      <c r="AE18" s="179">
        <f>SUMIFS('6.Reportes de Pagos'!J:J,'6.Reportes de Pagos'!H:H,"&gt;"&amp;(EOMONTH(FECHA,-1)),'6.Reportes de Pagos'!H:H,"&lt;="&amp;(EOMONTH(FECHA,0)),'6.Reportes de Pagos'!D:D,$P18)</f>
        <v>0</v>
      </c>
      <c r="AF18" s="179">
        <v>0</v>
      </c>
      <c r="AG18" s="177">
        <f>SUMIFS('6.Reportes de Pagos'!I:I,'6.Reportes de Pagos'!H:H,"&lt;="&amp;(EOMONTH(FECHA,0)),'6.Reportes de Pagos'!D:D,$P18)</f>
        <v>191325080.98000002</v>
      </c>
      <c r="AH18" s="177">
        <f>SUMIFS('6.Reportes de Pagos'!J:J,'6.Reportes de Pagos'!H:H,"&lt;="&amp;(EOMONTH(FECHA,0)),'6.Reportes de Pagos'!D:D,$P18)</f>
        <v>19132508.100000001</v>
      </c>
      <c r="AI18" s="177">
        <f t="shared" si="6"/>
        <v>0</v>
      </c>
      <c r="AJ18" s="177"/>
      <c r="AK18" s="180">
        <f t="shared" si="7"/>
        <v>40891830.119999975</v>
      </c>
      <c r="AL18" s="208">
        <f t="shared" si="8"/>
        <v>0.80809562058842954</v>
      </c>
      <c r="AM18" s="210" t="s">
        <v>1219</v>
      </c>
    </row>
    <row r="19" spans="1:39" s="204" customFormat="1" ht="90" x14ac:dyDescent="0.25">
      <c r="A19" s="115">
        <f t="shared" si="5"/>
        <v>12</v>
      </c>
      <c r="B19" s="116" t="s">
        <v>51</v>
      </c>
      <c r="C19" s="90">
        <v>87123</v>
      </c>
      <c r="D19" s="117" t="s">
        <v>90</v>
      </c>
      <c r="E19" s="118">
        <v>2023</v>
      </c>
      <c r="F19" s="119">
        <v>169</v>
      </c>
      <c r="G19" s="120">
        <v>45604</v>
      </c>
      <c r="H19" s="215">
        <v>1774087439</v>
      </c>
      <c r="I19" s="119" t="s">
        <v>141</v>
      </c>
      <c r="J19" s="76" t="s">
        <v>164</v>
      </c>
      <c r="K19" s="83" t="s">
        <v>165</v>
      </c>
      <c r="L19" s="119" t="s">
        <v>166</v>
      </c>
      <c r="M19" s="119">
        <v>4</v>
      </c>
      <c r="N19" s="119">
        <v>10</v>
      </c>
      <c r="O19" s="119" t="s">
        <v>1139</v>
      </c>
      <c r="P19" s="144" t="s">
        <v>846</v>
      </c>
      <c r="Q19" s="122">
        <v>45636</v>
      </c>
      <c r="R19" s="120" t="s">
        <v>126</v>
      </c>
      <c r="S19" s="115" t="s">
        <v>127</v>
      </c>
      <c r="T19" s="123" t="s">
        <v>845</v>
      </c>
      <c r="U19" s="119">
        <v>901894201</v>
      </c>
      <c r="V19" s="175">
        <v>1774087439</v>
      </c>
      <c r="W19" s="175">
        <f t="shared" si="9"/>
        <v>0</v>
      </c>
      <c r="X19" s="175"/>
      <c r="Y19" s="175">
        <f>40160893.5+11800426.75</f>
        <v>51961320.25</v>
      </c>
      <c r="Z19" s="176">
        <f t="shared" si="10"/>
        <v>1774087439</v>
      </c>
      <c r="AA19" s="177">
        <f>SUMIFS('6.Reportes de Pagos'!I:I,'6.Reportes de Pagos'!H:H,"&lt;="&amp;(EOMONTH(FECHA,-1)),'6.Reportes de Pagos'!D:D,$P19)</f>
        <v>355278000</v>
      </c>
      <c r="AB19" s="177">
        <f>SUMIFS('6.Reportes de Pagos'!J:J,'6.Reportes de Pagos'!H:H,"&lt;="&amp;(EOMONTH(FECHA,-1)),'6.Reportes de Pagos'!D:D,$P19)</f>
        <v>35527800</v>
      </c>
      <c r="AC19" s="178">
        <v>0</v>
      </c>
      <c r="AD19" s="179">
        <f>SUMIFS('6.Reportes de Pagos'!J:J,'6.Reportes de Pagos'!H:H,"&gt;"&amp;(EOMONTH(FECHA,-1)),'6.Reportes de Pagos'!H:H,"&lt;="&amp;(EOMONTH(FECHA,0)),'6.Reportes de Pagos'!D:D,$P19)</f>
        <v>0</v>
      </c>
      <c r="AE19" s="179">
        <f>SUMIFS('6.Reportes de Pagos'!J:J,'6.Reportes de Pagos'!H:H,"&gt;"&amp;(EOMONTH(FECHA,-1)),'6.Reportes de Pagos'!H:H,"&lt;="&amp;(EOMONTH(FECHA,0)),'6.Reportes de Pagos'!D:D,$P19)</f>
        <v>0</v>
      </c>
      <c r="AF19" s="179">
        <v>0</v>
      </c>
      <c r="AG19" s="177">
        <f>SUMIFS('6.Reportes de Pagos'!I:I,'6.Reportes de Pagos'!H:H,"&lt;="&amp;(EOMONTH(FECHA,0)),'6.Reportes de Pagos'!D:D,$P19)</f>
        <v>355278000</v>
      </c>
      <c r="AH19" s="177">
        <f>SUMIFS('6.Reportes de Pagos'!J:J,'6.Reportes de Pagos'!H:H,"&lt;="&amp;(EOMONTH(FECHA,0)),'6.Reportes de Pagos'!D:D,$P19)</f>
        <v>35527800</v>
      </c>
      <c r="AI19" s="177">
        <f t="shared" si="6"/>
        <v>0</v>
      </c>
      <c r="AJ19" s="177"/>
      <c r="AK19" s="180">
        <f t="shared" si="7"/>
        <v>1454337239</v>
      </c>
      <c r="AL19" s="208">
        <f t="shared" si="8"/>
        <v>0.18023361925172843</v>
      </c>
      <c r="AM19" s="210" t="s">
        <v>1218</v>
      </c>
    </row>
    <row r="20" spans="1:39" s="204" customFormat="1" ht="105" x14ac:dyDescent="0.25">
      <c r="A20" s="115">
        <f t="shared" si="5"/>
        <v>13</v>
      </c>
      <c r="B20" s="116" t="s">
        <v>51</v>
      </c>
      <c r="C20" s="90">
        <v>87123</v>
      </c>
      <c r="D20" s="117" t="s">
        <v>90</v>
      </c>
      <c r="E20" s="118">
        <v>2023</v>
      </c>
      <c r="F20" s="119">
        <v>11</v>
      </c>
      <c r="G20" s="120">
        <v>45229</v>
      </c>
      <c r="H20" s="215">
        <v>193479780</v>
      </c>
      <c r="I20" s="119" t="s">
        <v>141</v>
      </c>
      <c r="J20" s="76" t="s">
        <v>168</v>
      </c>
      <c r="K20" s="83" t="s">
        <v>165</v>
      </c>
      <c r="L20" s="119" t="s">
        <v>166</v>
      </c>
      <c r="M20" s="119">
        <v>4</v>
      </c>
      <c r="N20" s="119">
        <v>10</v>
      </c>
      <c r="O20" s="119" t="s">
        <v>1140</v>
      </c>
      <c r="P20" s="144" t="s">
        <v>847</v>
      </c>
      <c r="Q20" s="122">
        <v>45637</v>
      </c>
      <c r="R20" s="120" t="s">
        <v>131</v>
      </c>
      <c r="S20" s="115" t="s">
        <v>127</v>
      </c>
      <c r="T20" s="123" t="s">
        <v>175</v>
      </c>
      <c r="U20" s="119">
        <v>901785672</v>
      </c>
      <c r="V20" s="175">
        <v>182836360</v>
      </c>
      <c r="W20" s="175">
        <f t="shared" si="9"/>
        <v>10643420</v>
      </c>
      <c r="X20" s="175">
        <f>40160893.5+11800426.75</f>
        <v>51961320.25</v>
      </c>
      <c r="Y20" s="175"/>
      <c r="Z20" s="176">
        <f t="shared" si="10"/>
        <v>234797680.25</v>
      </c>
      <c r="AA20" s="177">
        <f>SUMIFS('6.Reportes de Pagos'!I:I,'6.Reportes de Pagos'!H:H,"&lt;="&amp;(EOMONTH(FECHA,-1)),'6.Reportes de Pagos'!D:D,$P20)</f>
        <v>82699382.950000003</v>
      </c>
      <c r="AB20" s="177">
        <f>SUMIFS('6.Reportes de Pagos'!J:J,'6.Reportes de Pagos'!H:H,"&lt;="&amp;(EOMONTH(FECHA,-1)),'6.Reportes de Pagos'!D:D,$P20)</f>
        <v>8269938.2999999989</v>
      </c>
      <c r="AC20" s="178">
        <v>0</v>
      </c>
      <c r="AD20" s="179">
        <f>SUMIFS('6.Reportes de Pagos'!I:I,'6.Reportes de Pagos'!H:H,"&gt;"&amp;(EOMONTH(FECHA,-1)),'6.Reportes de Pagos'!H:H,"&lt;="&amp;(EOMONTH(FECHA,0)),'6.Reportes de Pagos'!D:D,$P20)</f>
        <v>32822578.740000002</v>
      </c>
      <c r="AE20" s="179">
        <f>SUMIFS('6.Reportes de Pagos'!J:J,'6.Reportes de Pagos'!H:H,"&gt;"&amp;(EOMONTH(FECHA,-1)),'6.Reportes de Pagos'!H:H,"&lt;="&amp;(EOMONTH(FECHA,0)),'6.Reportes de Pagos'!D:D,$P20)</f>
        <v>3282257.87</v>
      </c>
      <c r="AF20" s="179">
        <v>0</v>
      </c>
      <c r="AG20" s="177">
        <f>SUMIFS('6.Reportes de Pagos'!I:I,'6.Reportes de Pagos'!H:H,"&lt;="&amp;(EOMONTH(FECHA,0)),'6.Reportes de Pagos'!D:D,$P20)</f>
        <v>115521961.69</v>
      </c>
      <c r="AH20" s="177">
        <f>SUMIFS('6.Reportes de Pagos'!J:J,'6.Reportes de Pagos'!H:H,"&lt;="&amp;(EOMONTH(FECHA,0)),'6.Reportes de Pagos'!D:D,$P20)</f>
        <v>11552196.169999998</v>
      </c>
      <c r="AI20" s="177">
        <f t="shared" si="6"/>
        <v>0</v>
      </c>
      <c r="AJ20" s="177"/>
      <c r="AK20" s="180">
        <f t="shared" si="7"/>
        <v>130827914.73</v>
      </c>
      <c r="AL20" s="208">
        <f t="shared" si="8"/>
        <v>0.44280576115274461</v>
      </c>
      <c r="AM20" s="210" t="s">
        <v>1218</v>
      </c>
    </row>
    <row r="21" spans="1:39" s="204" customFormat="1" ht="75" x14ac:dyDescent="0.25">
      <c r="A21" s="115">
        <f t="shared" si="5"/>
        <v>14</v>
      </c>
      <c r="B21" s="116" t="s">
        <v>51</v>
      </c>
      <c r="C21" s="90">
        <v>87123</v>
      </c>
      <c r="D21" s="117" t="s">
        <v>90</v>
      </c>
      <c r="E21" s="118">
        <v>2023</v>
      </c>
      <c r="F21" s="119" t="s">
        <v>440</v>
      </c>
      <c r="G21" s="120" t="s">
        <v>441</v>
      </c>
      <c r="H21" s="215">
        <f>2632463934+1138980000</f>
        <v>3771443934</v>
      </c>
      <c r="I21" s="119" t="s">
        <v>141</v>
      </c>
      <c r="J21" s="76" t="s">
        <v>169</v>
      </c>
      <c r="K21" s="83" t="s">
        <v>170</v>
      </c>
      <c r="L21" s="119" t="s">
        <v>166</v>
      </c>
      <c r="M21" s="119">
        <v>5</v>
      </c>
      <c r="N21" s="119">
        <v>13</v>
      </c>
      <c r="O21" s="119" t="s">
        <v>1141</v>
      </c>
      <c r="P21" s="144" t="s">
        <v>171</v>
      </c>
      <c r="Q21" s="122">
        <v>45315</v>
      </c>
      <c r="R21" s="120" t="s">
        <v>126</v>
      </c>
      <c r="S21" s="115" t="s">
        <v>127</v>
      </c>
      <c r="T21" s="123" t="s">
        <v>172</v>
      </c>
      <c r="U21" s="119">
        <v>59312287</v>
      </c>
      <c r="V21" s="175">
        <v>2624910680</v>
      </c>
      <c r="W21" s="175">
        <f>+H21-V21-1138980000</f>
        <v>7553254</v>
      </c>
      <c r="X21" s="175">
        <v>1138980000</v>
      </c>
      <c r="Y21" s="175"/>
      <c r="Z21" s="176">
        <f t="shared" si="10"/>
        <v>3763890680</v>
      </c>
      <c r="AA21" s="177">
        <f>SUMIFS('6.Reportes de Pagos'!I:I,'6.Reportes de Pagos'!H:H,"&lt;="&amp;(EOMONTH(FECHA,-1)),'6.Reportes de Pagos'!D:D,$P21)</f>
        <v>3763890680</v>
      </c>
      <c r="AB21" s="177">
        <f>SUMIFS('6.Reportes de Pagos'!J:J,'6.Reportes de Pagos'!H:H,"&lt;="&amp;(EOMONTH(FECHA,-1)),'6.Reportes de Pagos'!D:D,$P21)</f>
        <v>5.9604644775390625E-8</v>
      </c>
      <c r="AC21" s="178">
        <v>0</v>
      </c>
      <c r="AD21" s="179">
        <f>SUMIFS('6.Reportes de Pagos'!I:I,'6.Reportes de Pagos'!H:H,"&gt;"&amp;(EOMONTH(FECHA,-1)),'6.Reportes de Pagos'!H:H,"&lt;="&amp;(EOMONTH(FECHA,0)),'6.Reportes de Pagos'!D:D,$P21)</f>
        <v>0</v>
      </c>
      <c r="AE21" s="179">
        <f>SUMIFS('6.Reportes de Pagos'!J:J,'6.Reportes de Pagos'!H:H,"&gt;"&amp;(EOMONTH(FECHA,-1)),'6.Reportes de Pagos'!H:H,"&lt;="&amp;(EOMONTH(FECHA,0)),'6.Reportes de Pagos'!D:D,$P21)</f>
        <v>0</v>
      </c>
      <c r="AF21" s="179">
        <v>0</v>
      </c>
      <c r="AG21" s="177">
        <f>SUMIFS('6.Reportes de Pagos'!I:I,'6.Reportes de Pagos'!H:H,"&lt;="&amp;(EOMONTH(FECHA,0)),'6.Reportes de Pagos'!D:D,$P21)</f>
        <v>3763890680</v>
      </c>
      <c r="AH21" s="177">
        <f>SUMIFS('6.Reportes de Pagos'!J:J,'6.Reportes de Pagos'!H:H,"&lt;="&amp;(EOMONTH(FECHA,0)),'6.Reportes de Pagos'!D:D,$P21)</f>
        <v>5.9604644775390625E-8</v>
      </c>
      <c r="AI21" s="177">
        <f t="shared" si="6"/>
        <v>0</v>
      </c>
      <c r="AJ21" s="177"/>
      <c r="AK21" s="180">
        <f t="shared" si="7"/>
        <v>0</v>
      </c>
      <c r="AL21" s="208">
        <f t="shared" si="8"/>
        <v>1</v>
      </c>
      <c r="AM21" s="229" t="s">
        <v>1325</v>
      </c>
    </row>
    <row r="22" spans="1:39" s="204" customFormat="1" ht="105" x14ac:dyDescent="0.25">
      <c r="A22" s="115">
        <f t="shared" si="5"/>
        <v>15</v>
      </c>
      <c r="B22" s="116" t="s">
        <v>51</v>
      </c>
      <c r="C22" s="90">
        <v>87123</v>
      </c>
      <c r="D22" s="117" t="s">
        <v>90</v>
      </c>
      <c r="E22" s="118">
        <v>2023</v>
      </c>
      <c r="F22" s="119" t="s">
        <v>825</v>
      </c>
      <c r="G22" s="120" t="s">
        <v>826</v>
      </c>
      <c r="H22" s="215">
        <f>205729040+91020000+12566400</f>
        <v>309315440</v>
      </c>
      <c r="I22" s="119" t="s">
        <v>141</v>
      </c>
      <c r="J22" s="76" t="s">
        <v>173</v>
      </c>
      <c r="K22" s="83" t="s">
        <v>170</v>
      </c>
      <c r="L22" s="119" t="s">
        <v>166</v>
      </c>
      <c r="M22" s="119">
        <v>5</v>
      </c>
      <c r="N22" s="119">
        <v>13</v>
      </c>
      <c r="O22" s="119" t="s">
        <v>1142</v>
      </c>
      <c r="P22" s="144" t="s">
        <v>174</v>
      </c>
      <c r="Q22" s="122">
        <v>45322</v>
      </c>
      <c r="R22" s="120" t="s">
        <v>131</v>
      </c>
      <c r="S22" s="115" t="s">
        <v>127</v>
      </c>
      <c r="T22" s="123" t="s">
        <v>175</v>
      </c>
      <c r="U22" s="119">
        <v>901785672</v>
      </c>
      <c r="V22" s="175">
        <v>194206810</v>
      </c>
      <c r="W22" s="175">
        <f>+H22-V22-12566400-91020000</f>
        <v>11522230</v>
      </c>
      <c r="X22" s="175">
        <f>91020000+12566400</f>
        <v>103586400</v>
      </c>
      <c r="Y22" s="175"/>
      <c r="Z22" s="176">
        <f t="shared" si="10"/>
        <v>297793210</v>
      </c>
      <c r="AA22" s="177">
        <f>SUMIFS('6.Reportes de Pagos'!I:I,'6.Reportes de Pagos'!H:H,"&lt;="&amp;(EOMONTH(FECHA,-1)),'6.Reportes de Pagos'!D:D,$P22)</f>
        <v>261444834.28999996</v>
      </c>
      <c r="AB22" s="177">
        <f>SUMIFS('6.Reportes de Pagos'!J:J,'6.Reportes de Pagos'!H:H,"&lt;="&amp;(EOMONTH(FECHA,-1)),'6.Reportes de Pagos'!D:D,$P22)</f>
        <v>26144483.43</v>
      </c>
      <c r="AC22" s="178">
        <v>0</v>
      </c>
      <c r="AD22" s="179">
        <f>SUMIFS('6.Reportes de Pagos'!I:I,'6.Reportes de Pagos'!H:H,"&gt;"&amp;(EOMONTH(FECHA,-1)),'6.Reportes de Pagos'!H:H,"&lt;="&amp;(EOMONTH(FECHA,0)),'6.Reportes de Pagos'!D:D,$P22)</f>
        <v>36348375.710000001</v>
      </c>
      <c r="AE22" s="179">
        <f>SUMIFS('6.Reportes de Pagos'!J:J,'6.Reportes de Pagos'!H:H,"&gt;"&amp;(EOMONTH(FECHA,-1)),'6.Reportes de Pagos'!H:H,"&lt;="&amp;(EOMONTH(FECHA,0)),'6.Reportes de Pagos'!D:D,$P22)</f>
        <v>-26144483.43</v>
      </c>
      <c r="AF22" s="179">
        <v>0</v>
      </c>
      <c r="AG22" s="177">
        <f>SUMIFS('6.Reportes de Pagos'!I:I,'6.Reportes de Pagos'!H:H,"&lt;="&amp;(EOMONTH(FECHA,0)),'6.Reportes de Pagos'!D:D,$P22)</f>
        <v>297793209.99999994</v>
      </c>
      <c r="AH22" s="177">
        <f>SUMIFS('6.Reportes de Pagos'!J:J,'6.Reportes de Pagos'!H:H,"&lt;="&amp;(EOMONTH(FECHA,0)),'6.Reportes de Pagos'!D:D,$P22)</f>
        <v>0</v>
      </c>
      <c r="AI22" s="177">
        <f t="shared" si="6"/>
        <v>0</v>
      </c>
      <c r="AJ22" s="177"/>
      <c r="AK22" s="180">
        <f t="shared" si="7"/>
        <v>5.9604644775390625E-8</v>
      </c>
      <c r="AL22" s="208">
        <f t="shared" si="8"/>
        <v>0.99999999999999978</v>
      </c>
      <c r="AM22" s="210" t="s">
        <v>1376</v>
      </c>
    </row>
    <row r="23" spans="1:39" s="204" customFormat="1" ht="90" x14ac:dyDescent="0.25">
      <c r="A23" s="115">
        <f t="shared" si="5"/>
        <v>16</v>
      </c>
      <c r="B23" s="116" t="s">
        <v>51</v>
      </c>
      <c r="C23" s="90">
        <v>87123</v>
      </c>
      <c r="D23" s="117" t="s">
        <v>90</v>
      </c>
      <c r="E23" s="118">
        <v>2023</v>
      </c>
      <c r="F23" s="119">
        <v>143</v>
      </c>
      <c r="G23" s="120">
        <v>45520</v>
      </c>
      <c r="H23" s="215">
        <v>2476533628</v>
      </c>
      <c r="I23" s="119" t="s">
        <v>141</v>
      </c>
      <c r="J23" s="76" t="s">
        <v>176</v>
      </c>
      <c r="K23" s="83" t="s">
        <v>177</v>
      </c>
      <c r="L23" s="119" t="s">
        <v>166</v>
      </c>
      <c r="M23" s="119">
        <v>6</v>
      </c>
      <c r="N23" s="119">
        <v>14</v>
      </c>
      <c r="O23" s="119" t="s">
        <v>1143</v>
      </c>
      <c r="P23" s="144" t="s">
        <v>686</v>
      </c>
      <c r="Q23" s="122">
        <v>45590</v>
      </c>
      <c r="R23" s="120" t="s">
        <v>126</v>
      </c>
      <c r="S23" s="115" t="s">
        <v>127</v>
      </c>
      <c r="T23" s="123" t="s">
        <v>687</v>
      </c>
      <c r="U23" s="119">
        <v>901867911</v>
      </c>
      <c r="V23" s="175">
        <v>2452682000</v>
      </c>
      <c r="W23" s="175">
        <f t="shared" si="9"/>
        <v>23851628</v>
      </c>
      <c r="X23" s="175"/>
      <c r="Y23" s="175"/>
      <c r="Z23" s="176">
        <f t="shared" si="10"/>
        <v>2452682000</v>
      </c>
      <c r="AA23" s="177">
        <f>SUMIFS('6.Reportes de Pagos'!I:I,'6.Reportes de Pagos'!H:H,"&lt;="&amp;(EOMONTH(FECHA,-1)),'6.Reportes de Pagos'!D:D,$P23)</f>
        <v>2452682000</v>
      </c>
      <c r="AB23" s="177">
        <f>SUMIFS('6.Reportes de Pagos'!J:J,'6.Reportes de Pagos'!H:H,"&lt;="&amp;(EOMONTH(FECHA,-1)),'6.Reportes de Pagos'!D:D,$P23)</f>
        <v>245268200</v>
      </c>
      <c r="AC23" s="178">
        <v>0</v>
      </c>
      <c r="AD23" s="179">
        <f>SUMIFS('6.Reportes de Pagos'!I:I,'6.Reportes de Pagos'!H:H,"&gt;"&amp;(EOMONTH(FECHA,-1)),'6.Reportes de Pagos'!H:H,"&lt;="&amp;(EOMONTH(FECHA,0)),'6.Reportes de Pagos'!D:D,$P23)</f>
        <v>0</v>
      </c>
      <c r="AE23" s="179">
        <f>SUMIFS('6.Reportes de Pagos'!J:J,'6.Reportes de Pagos'!H:H,"&gt;"&amp;(EOMONTH(FECHA,-1)),'6.Reportes de Pagos'!H:H,"&lt;="&amp;(EOMONTH(FECHA,0)),'6.Reportes de Pagos'!D:D,$P23)</f>
        <v>0</v>
      </c>
      <c r="AF23" s="179">
        <v>0</v>
      </c>
      <c r="AG23" s="177">
        <f>SUMIFS('6.Reportes de Pagos'!I:I,'6.Reportes de Pagos'!H:H,"&lt;="&amp;(EOMONTH(FECHA,0)),'6.Reportes de Pagos'!D:D,$P23)</f>
        <v>2452682000</v>
      </c>
      <c r="AH23" s="177">
        <f>SUMIFS('6.Reportes de Pagos'!J:J,'6.Reportes de Pagos'!H:H,"&lt;="&amp;(EOMONTH(FECHA,0)),'6.Reportes de Pagos'!D:D,$P23)</f>
        <v>245268200</v>
      </c>
      <c r="AI23" s="177">
        <f t="shared" si="6"/>
        <v>0</v>
      </c>
      <c r="AJ23" s="177"/>
      <c r="AK23" s="180">
        <f t="shared" si="7"/>
        <v>245268200</v>
      </c>
      <c r="AL23" s="208">
        <f t="shared" si="8"/>
        <v>0.9</v>
      </c>
      <c r="AM23" s="210" t="s">
        <v>1218</v>
      </c>
    </row>
    <row r="24" spans="1:39" s="204" customFormat="1" ht="120" x14ac:dyDescent="0.25">
      <c r="A24" s="115">
        <f t="shared" si="5"/>
        <v>17</v>
      </c>
      <c r="B24" s="116" t="s">
        <v>51</v>
      </c>
      <c r="C24" s="90">
        <v>87123</v>
      </c>
      <c r="D24" s="117" t="s">
        <v>90</v>
      </c>
      <c r="E24" s="118">
        <v>2023</v>
      </c>
      <c r="F24" s="119">
        <v>151</v>
      </c>
      <c r="G24" s="120">
        <v>45538</v>
      </c>
      <c r="H24" s="215">
        <v>212281040</v>
      </c>
      <c r="I24" s="119" t="s">
        <v>141</v>
      </c>
      <c r="J24" s="76" t="s">
        <v>417</v>
      </c>
      <c r="K24" s="83" t="s">
        <v>177</v>
      </c>
      <c r="L24" s="119" t="s">
        <v>166</v>
      </c>
      <c r="M24" s="119">
        <v>6</v>
      </c>
      <c r="N24" s="119">
        <v>14</v>
      </c>
      <c r="O24" s="119" t="s">
        <v>1144</v>
      </c>
      <c r="P24" s="144" t="s">
        <v>689</v>
      </c>
      <c r="Q24" s="122">
        <v>45572</v>
      </c>
      <c r="R24" s="120" t="s">
        <v>131</v>
      </c>
      <c r="S24" s="115" t="s">
        <v>127</v>
      </c>
      <c r="T24" s="123" t="s">
        <v>688</v>
      </c>
      <c r="U24" s="119">
        <v>901870297</v>
      </c>
      <c r="V24" s="175">
        <v>212100000</v>
      </c>
      <c r="W24" s="175">
        <f>+H24-V24</f>
        <v>181040</v>
      </c>
      <c r="X24" s="175"/>
      <c r="Y24" s="175"/>
      <c r="Z24" s="176">
        <f>+V24+X24</f>
        <v>212100000</v>
      </c>
      <c r="AA24" s="177">
        <f>SUMIFS('6.Reportes de Pagos'!I:I,'6.Reportes de Pagos'!H:H,"&lt;="&amp;(EOMONTH(FECHA,-1)),'6.Reportes de Pagos'!D:D,$P24)</f>
        <v>194700000</v>
      </c>
      <c r="AB24" s="177">
        <f>SUMIFS('6.Reportes de Pagos'!J:J,'6.Reportes de Pagos'!H:H,"&lt;="&amp;(EOMONTH(FECHA,-1)),'6.Reportes de Pagos'!D:D,$P24)</f>
        <v>19470000</v>
      </c>
      <c r="AC24" s="178">
        <v>0</v>
      </c>
      <c r="AD24" s="179">
        <f>SUMIFS('6.Reportes de Pagos'!I:I,'6.Reportes de Pagos'!H:H,"&gt;"&amp;(EOMONTH(FECHA,-1)),'6.Reportes de Pagos'!H:H,"&lt;="&amp;(EOMONTH(FECHA,0)),'6.Reportes de Pagos'!D:D,$P24)</f>
        <v>0</v>
      </c>
      <c r="AE24" s="179">
        <f>SUMIFS('6.Reportes de Pagos'!J:J,'6.Reportes de Pagos'!H:H,"&gt;"&amp;(EOMONTH(FECHA,-1)),'6.Reportes de Pagos'!H:H,"&lt;="&amp;(EOMONTH(FECHA,0)),'6.Reportes de Pagos'!D:D,$P24)</f>
        <v>0</v>
      </c>
      <c r="AF24" s="179">
        <v>0</v>
      </c>
      <c r="AG24" s="177">
        <f>SUMIFS('6.Reportes de Pagos'!I:I,'6.Reportes de Pagos'!H:H,"&lt;="&amp;(EOMONTH(FECHA,0)),'6.Reportes de Pagos'!D:D,$P24)</f>
        <v>194700000</v>
      </c>
      <c r="AH24" s="177">
        <f>SUMIFS('6.Reportes de Pagos'!J:J,'6.Reportes de Pagos'!H:H,"&lt;="&amp;(EOMONTH(FECHA,0)),'6.Reportes de Pagos'!D:D,$P24)</f>
        <v>19470000</v>
      </c>
      <c r="AI24" s="177">
        <f>+AC24+AF24</f>
        <v>0</v>
      </c>
      <c r="AJ24" s="177"/>
      <c r="AK24" s="180">
        <f>+Z24-(AG24-AH24)-AI24</f>
        <v>36870000</v>
      </c>
      <c r="AL24" s="208">
        <f>IFERROR(((AG24-AH24+AI24)/Z24),0)</f>
        <v>0.82616690240452617</v>
      </c>
      <c r="AM24" s="210" t="s">
        <v>1218</v>
      </c>
    </row>
    <row r="25" spans="1:39" s="204" customFormat="1" ht="75" x14ac:dyDescent="0.25">
      <c r="A25" s="115">
        <f t="shared" si="5"/>
        <v>18</v>
      </c>
      <c r="B25" s="116" t="s">
        <v>51</v>
      </c>
      <c r="C25" s="90">
        <v>87123</v>
      </c>
      <c r="D25" s="117" t="s">
        <v>90</v>
      </c>
      <c r="E25" s="118">
        <v>2023</v>
      </c>
      <c r="F25" s="119">
        <v>170</v>
      </c>
      <c r="G25" s="120">
        <v>45604</v>
      </c>
      <c r="H25" s="215">
        <v>3144064242</v>
      </c>
      <c r="I25" s="119" t="s">
        <v>141</v>
      </c>
      <c r="J25" s="76" t="s">
        <v>178</v>
      </c>
      <c r="K25" s="83" t="s">
        <v>179</v>
      </c>
      <c r="L25" s="119" t="s">
        <v>166</v>
      </c>
      <c r="M25" s="119">
        <v>7</v>
      </c>
      <c r="N25" s="119">
        <v>16</v>
      </c>
      <c r="O25" s="119" t="s">
        <v>1145</v>
      </c>
      <c r="P25" s="144" t="s">
        <v>844</v>
      </c>
      <c r="Q25" s="122">
        <v>45636</v>
      </c>
      <c r="R25" s="120" t="s">
        <v>126</v>
      </c>
      <c r="S25" s="115" t="s">
        <v>127</v>
      </c>
      <c r="T25" s="123" t="s">
        <v>845</v>
      </c>
      <c r="U25" s="119">
        <v>901894201</v>
      </c>
      <c r="V25" s="175">
        <v>3144064242</v>
      </c>
      <c r="W25" s="175">
        <f t="shared" si="9"/>
        <v>0</v>
      </c>
      <c r="X25" s="175"/>
      <c r="Y25" s="175"/>
      <c r="Z25" s="176">
        <f t="shared" si="10"/>
        <v>3144064242</v>
      </c>
      <c r="AA25" s="177">
        <f>SUMIFS('6.Reportes de Pagos'!I:I,'6.Reportes de Pagos'!H:H,"&lt;="&amp;(EOMONTH(FECHA,-1)),'6.Reportes de Pagos'!D:D,$P25)</f>
        <v>0</v>
      </c>
      <c r="AB25" s="177">
        <f>SUMIFS('6.Reportes de Pagos'!J:J,'6.Reportes de Pagos'!H:H,"&lt;="&amp;(EOMONTH(FECHA,-1)),'6.Reportes de Pagos'!D:D,$P25)</f>
        <v>0</v>
      </c>
      <c r="AC25" s="178">
        <v>0</v>
      </c>
      <c r="AD25" s="179">
        <f>SUMIFS('6.Reportes de Pagos'!I:I,'6.Reportes de Pagos'!H:H,"&gt;"&amp;(EOMONTH(FECHA,-1)),'6.Reportes de Pagos'!H:H,"&lt;="&amp;(EOMONTH(FECHA,0)),'6.Reportes de Pagos'!D:D,$P25)</f>
        <v>0</v>
      </c>
      <c r="AE25" s="179">
        <f>SUMIFS('6.Reportes de Pagos'!J:J,'6.Reportes de Pagos'!H:H,"&gt;"&amp;(EOMONTH(FECHA,-1)),'6.Reportes de Pagos'!H:H,"&lt;="&amp;(EOMONTH(FECHA,0)),'6.Reportes de Pagos'!D:D,$P25)</f>
        <v>0</v>
      </c>
      <c r="AF25" s="179">
        <v>0</v>
      </c>
      <c r="AG25" s="177">
        <f>SUMIFS('6.Reportes de Pagos'!I:I,'6.Reportes de Pagos'!H:H,"&lt;="&amp;(EOMONTH(FECHA,0)),'6.Reportes de Pagos'!D:D,$P25)</f>
        <v>0</v>
      </c>
      <c r="AH25" s="177">
        <f>SUMIFS('6.Reportes de Pagos'!J:J,'6.Reportes de Pagos'!H:H,"&lt;="&amp;(EOMONTH(FECHA,0)),'6.Reportes de Pagos'!D:D,$P25)</f>
        <v>0</v>
      </c>
      <c r="AI25" s="177">
        <f t="shared" si="6"/>
        <v>0</v>
      </c>
      <c r="AJ25" s="177"/>
      <c r="AK25" s="180">
        <f t="shared" si="7"/>
        <v>3144064242</v>
      </c>
      <c r="AL25" s="208">
        <f t="shared" si="8"/>
        <v>0</v>
      </c>
      <c r="AM25" s="210" t="s">
        <v>1218</v>
      </c>
    </row>
    <row r="26" spans="1:39" s="204" customFormat="1" ht="105" x14ac:dyDescent="0.25">
      <c r="A26" s="115">
        <f t="shared" si="5"/>
        <v>19</v>
      </c>
      <c r="B26" s="116" t="s">
        <v>51</v>
      </c>
      <c r="C26" s="90">
        <v>87123</v>
      </c>
      <c r="D26" s="117" t="s">
        <v>90</v>
      </c>
      <c r="E26" s="118">
        <v>2023</v>
      </c>
      <c r="F26" s="119">
        <v>5</v>
      </c>
      <c r="G26" s="120">
        <v>45226</v>
      </c>
      <c r="H26" s="215">
        <v>232542620</v>
      </c>
      <c r="I26" s="119" t="s">
        <v>141</v>
      </c>
      <c r="J26" s="76" t="s">
        <v>180</v>
      </c>
      <c r="K26" s="83" t="s">
        <v>179</v>
      </c>
      <c r="L26" s="119" t="s">
        <v>166</v>
      </c>
      <c r="M26" s="119">
        <v>7</v>
      </c>
      <c r="N26" s="119">
        <v>16</v>
      </c>
      <c r="O26" s="119" t="s">
        <v>1146</v>
      </c>
      <c r="P26" s="144" t="s">
        <v>1127</v>
      </c>
      <c r="Q26" s="122">
        <v>45705</v>
      </c>
      <c r="R26" s="120" t="s">
        <v>131</v>
      </c>
      <c r="S26" s="115" t="s">
        <v>127</v>
      </c>
      <c r="T26" s="123" t="s">
        <v>175</v>
      </c>
      <c r="U26" s="119">
        <v>901785672</v>
      </c>
      <c r="V26" s="175">
        <v>219751350</v>
      </c>
      <c r="W26" s="175">
        <f t="shared" si="9"/>
        <v>12791270</v>
      </c>
      <c r="X26" s="175"/>
      <c r="Y26" s="175"/>
      <c r="Z26" s="176">
        <f t="shared" si="10"/>
        <v>219751350</v>
      </c>
      <c r="AA26" s="177">
        <f>SUMIFS('6.Reportes de Pagos'!I:I,'6.Reportes de Pagos'!H:H,"&lt;="&amp;(EOMONTH(FECHA,-1)),'6.Reportes de Pagos'!D:D,$P26)</f>
        <v>0</v>
      </c>
      <c r="AB26" s="177">
        <f>SUMIFS('6.Reportes de Pagos'!J:J,'6.Reportes de Pagos'!H:H,"&lt;="&amp;(EOMONTH(FECHA,-1)),'6.Reportes de Pagos'!D:D,$P26)</f>
        <v>0</v>
      </c>
      <c r="AC26" s="178">
        <v>0</v>
      </c>
      <c r="AD26" s="179">
        <f>SUMIFS('6.Reportes de Pagos'!I:I,'6.Reportes de Pagos'!H:H,"&gt;"&amp;(EOMONTH(FECHA,-1)),'6.Reportes de Pagos'!H:H,"&lt;="&amp;(EOMONTH(FECHA,0)),'6.Reportes de Pagos'!D:D,$P26)</f>
        <v>0</v>
      </c>
      <c r="AE26" s="179">
        <f>SUMIFS('6.Reportes de Pagos'!J:J,'6.Reportes de Pagos'!H:H,"&gt;"&amp;(EOMONTH(FECHA,-1)),'6.Reportes de Pagos'!H:H,"&lt;="&amp;(EOMONTH(FECHA,0)),'6.Reportes de Pagos'!D:D,$P26)</f>
        <v>0</v>
      </c>
      <c r="AF26" s="179">
        <v>0</v>
      </c>
      <c r="AG26" s="177">
        <f>SUMIFS('6.Reportes de Pagos'!I:I,'6.Reportes de Pagos'!H:H,"&lt;="&amp;(EOMONTH(FECHA,0)),'6.Reportes de Pagos'!D:D,$P26)</f>
        <v>0</v>
      </c>
      <c r="AH26" s="177">
        <f>SUMIFS('6.Reportes de Pagos'!J:J,'6.Reportes de Pagos'!H:H,"&lt;="&amp;(EOMONTH(FECHA,0)),'6.Reportes de Pagos'!D:D,$P26)</f>
        <v>0</v>
      </c>
      <c r="AI26" s="177">
        <f t="shared" si="6"/>
        <v>0</v>
      </c>
      <c r="AJ26" s="177"/>
      <c r="AK26" s="180">
        <f t="shared" si="7"/>
        <v>219751350</v>
      </c>
      <c r="AL26" s="182">
        <f t="shared" si="8"/>
        <v>0</v>
      </c>
      <c r="AM26" s="210" t="s">
        <v>1218</v>
      </c>
    </row>
    <row r="27" spans="1:39" s="204" customFormat="1" ht="75" x14ac:dyDescent="0.25">
      <c r="A27" s="115">
        <f t="shared" si="5"/>
        <v>20</v>
      </c>
      <c r="B27" s="116" t="s">
        <v>51</v>
      </c>
      <c r="C27" s="90">
        <v>87123</v>
      </c>
      <c r="D27" s="117" t="s">
        <v>90</v>
      </c>
      <c r="E27" s="118">
        <v>2023</v>
      </c>
      <c r="F27" s="119">
        <v>159</v>
      </c>
      <c r="G27" s="120">
        <v>45561</v>
      </c>
      <c r="H27" s="215">
        <v>3471176447</v>
      </c>
      <c r="I27" s="119" t="s">
        <v>141</v>
      </c>
      <c r="J27" s="76" t="s">
        <v>181</v>
      </c>
      <c r="K27" s="83" t="s">
        <v>182</v>
      </c>
      <c r="L27" s="119" t="s">
        <v>183</v>
      </c>
      <c r="M27" s="119">
        <v>8</v>
      </c>
      <c r="N27" s="119">
        <v>17</v>
      </c>
      <c r="O27" s="119" t="s">
        <v>1147</v>
      </c>
      <c r="P27" s="144" t="s">
        <v>812</v>
      </c>
      <c r="Q27" s="122">
        <v>45622</v>
      </c>
      <c r="R27" s="120" t="s">
        <v>126</v>
      </c>
      <c r="S27" s="115" t="s">
        <v>127</v>
      </c>
      <c r="T27" s="123" t="s">
        <v>813</v>
      </c>
      <c r="U27" s="119">
        <v>901888797</v>
      </c>
      <c r="V27" s="175">
        <v>3316617339</v>
      </c>
      <c r="W27" s="175">
        <f t="shared" si="9"/>
        <v>154559108</v>
      </c>
      <c r="X27" s="175"/>
      <c r="Y27" s="175">
        <v>46292942.75</v>
      </c>
      <c r="Z27" s="176">
        <f t="shared" si="10"/>
        <v>3316617339</v>
      </c>
      <c r="AA27" s="177">
        <f>SUMIFS('6.Reportes de Pagos'!I:I,'6.Reportes de Pagos'!H:H,"&lt;="&amp;(EOMONTH(FECHA,-1)),'6.Reportes de Pagos'!D:D,$P27)</f>
        <v>0</v>
      </c>
      <c r="AB27" s="177">
        <f>SUMIFS('6.Reportes de Pagos'!J:J,'6.Reportes de Pagos'!H:H,"&lt;="&amp;(EOMONTH(FECHA,-1)),'6.Reportes de Pagos'!D:D,$P27)</f>
        <v>0</v>
      </c>
      <c r="AC27" s="178">
        <v>0</v>
      </c>
      <c r="AD27" s="179">
        <f>SUMIFS('6.Reportes de Pagos'!I:I,'6.Reportes de Pagos'!H:H,"&gt;"&amp;(EOMONTH(FECHA,-1)),'6.Reportes de Pagos'!H:H,"&lt;="&amp;(EOMONTH(FECHA,0)),'6.Reportes de Pagos'!D:D,$P27)</f>
        <v>39219600</v>
      </c>
      <c r="AE27" s="179">
        <f>SUMIFS('6.Reportes de Pagos'!J:J,'6.Reportes de Pagos'!H:H,"&gt;"&amp;(EOMONTH(FECHA,-1)),'6.Reportes de Pagos'!H:H,"&lt;="&amp;(EOMONTH(FECHA,0)),'6.Reportes de Pagos'!D:D,$P27)</f>
        <v>3921960</v>
      </c>
      <c r="AF27" s="179">
        <v>0</v>
      </c>
      <c r="AG27" s="177">
        <f>SUMIFS('6.Reportes de Pagos'!I:I,'6.Reportes de Pagos'!H:H,"&lt;="&amp;(EOMONTH(FECHA,0)),'6.Reportes de Pagos'!D:D,$P27)</f>
        <v>39219600</v>
      </c>
      <c r="AH27" s="177">
        <f>SUMIFS('6.Reportes de Pagos'!J:J,'6.Reportes de Pagos'!H:H,"&lt;="&amp;(EOMONTH(FECHA,0)),'6.Reportes de Pagos'!D:D,$P27)</f>
        <v>3921960</v>
      </c>
      <c r="AI27" s="177">
        <f t="shared" si="6"/>
        <v>0</v>
      </c>
      <c r="AJ27" s="177"/>
      <c r="AK27" s="180">
        <f t="shared" si="7"/>
        <v>3281319699</v>
      </c>
      <c r="AL27" s="208">
        <f t="shared" si="8"/>
        <v>1.064266280735379E-2</v>
      </c>
      <c r="AM27" s="210" t="s">
        <v>1218</v>
      </c>
    </row>
    <row r="28" spans="1:39" s="204" customFormat="1" ht="105" x14ac:dyDescent="0.25">
      <c r="A28" s="115">
        <f t="shared" si="5"/>
        <v>21</v>
      </c>
      <c r="B28" s="116" t="s">
        <v>51</v>
      </c>
      <c r="C28" s="90">
        <v>87123</v>
      </c>
      <c r="D28" s="117" t="s">
        <v>90</v>
      </c>
      <c r="E28" s="118">
        <v>2023</v>
      </c>
      <c r="F28" s="119" t="s">
        <v>1374</v>
      </c>
      <c r="G28" s="120" t="s">
        <v>1375</v>
      </c>
      <c r="H28" s="215">
        <f>264844630+32405059.93</f>
        <v>297249689.93000001</v>
      </c>
      <c r="I28" s="119" t="s">
        <v>141</v>
      </c>
      <c r="J28" s="76" t="s">
        <v>184</v>
      </c>
      <c r="K28" s="83" t="s">
        <v>185</v>
      </c>
      <c r="L28" s="119" t="s">
        <v>186</v>
      </c>
      <c r="M28" s="119">
        <v>8</v>
      </c>
      <c r="N28" s="119">
        <v>17</v>
      </c>
      <c r="O28" s="119" t="s">
        <v>1148</v>
      </c>
      <c r="P28" s="144" t="s">
        <v>834</v>
      </c>
      <c r="Q28" s="122">
        <v>45646</v>
      </c>
      <c r="R28" s="120" t="s">
        <v>131</v>
      </c>
      <c r="S28" s="115" t="s">
        <v>127</v>
      </c>
      <c r="T28" s="123" t="s">
        <v>835</v>
      </c>
      <c r="U28" s="119">
        <v>901882234</v>
      </c>
      <c r="V28" s="175">
        <v>250437083</v>
      </c>
      <c r="W28" s="175">
        <f>+H28-V28-32405059.93</f>
        <v>14407547.000000007</v>
      </c>
      <c r="X28" s="175">
        <f>32405059.93+46292942.75</f>
        <v>78698002.680000007</v>
      </c>
      <c r="Y28" s="175"/>
      <c r="Z28" s="176">
        <f t="shared" si="10"/>
        <v>329135085.68000001</v>
      </c>
      <c r="AA28" s="177">
        <f>SUMIFS('6.Reportes de Pagos'!I:I,'6.Reportes de Pagos'!H:H,"&lt;="&amp;(EOMONTH(FECHA,-1)),'6.Reportes de Pagos'!D:D,$P28)</f>
        <v>0</v>
      </c>
      <c r="AB28" s="177">
        <f>SUMIFS('6.Reportes de Pagos'!J:J,'6.Reportes de Pagos'!H:H,"&lt;="&amp;(EOMONTH(FECHA,-1)),'6.Reportes de Pagos'!D:D,$P28)</f>
        <v>0</v>
      </c>
      <c r="AC28" s="178">
        <v>0</v>
      </c>
      <c r="AD28" s="179">
        <f>SUMIFS('6.Reportes de Pagos'!I:I,'6.Reportes de Pagos'!H:H,"&gt;"&amp;(EOMONTH(FECHA,-1)),'6.Reportes de Pagos'!H:H,"&lt;="&amp;(EOMONTH(FECHA,0)),'6.Reportes de Pagos'!D:D,$P28)</f>
        <v>32449326.479999997</v>
      </c>
      <c r="AE28" s="179">
        <f>SUMIFS('6.Reportes de Pagos'!J:J,'6.Reportes de Pagos'!H:H,"&gt;"&amp;(EOMONTH(FECHA,-1)),'6.Reportes de Pagos'!H:H,"&lt;="&amp;(EOMONTH(FECHA,0)),'6.Reportes de Pagos'!D:D,$P28)</f>
        <v>3244932.65</v>
      </c>
      <c r="AF28" s="179">
        <v>0</v>
      </c>
      <c r="AG28" s="177">
        <f>SUMIFS('6.Reportes de Pagos'!I:I,'6.Reportes de Pagos'!H:H,"&lt;="&amp;(EOMONTH(FECHA,0)),'6.Reportes de Pagos'!D:D,$P28)</f>
        <v>32449326.479999997</v>
      </c>
      <c r="AH28" s="177">
        <f>SUMIFS('6.Reportes de Pagos'!J:J,'6.Reportes de Pagos'!H:H,"&lt;="&amp;(EOMONTH(FECHA,0)),'6.Reportes de Pagos'!D:D,$P28)</f>
        <v>3244932.65</v>
      </c>
      <c r="AI28" s="177">
        <f t="shared" si="6"/>
        <v>0</v>
      </c>
      <c r="AJ28" s="177"/>
      <c r="AK28" s="180">
        <f t="shared" si="7"/>
        <v>299930691.85000002</v>
      </c>
      <c r="AL28" s="208">
        <f t="shared" si="8"/>
        <v>8.8730722127855516E-2</v>
      </c>
      <c r="AM28" s="210" t="s">
        <v>1218</v>
      </c>
    </row>
    <row r="29" spans="1:39" s="204" customFormat="1" ht="75" x14ac:dyDescent="0.25">
      <c r="A29" s="115">
        <f t="shared" si="5"/>
        <v>22</v>
      </c>
      <c r="B29" s="116" t="s">
        <v>51</v>
      </c>
      <c r="C29" s="90">
        <v>87123</v>
      </c>
      <c r="D29" s="117" t="s">
        <v>90</v>
      </c>
      <c r="E29" s="118">
        <v>2023</v>
      </c>
      <c r="F29" s="119">
        <v>12</v>
      </c>
      <c r="G29" s="120">
        <v>45229</v>
      </c>
      <c r="H29" s="215">
        <v>6164756229</v>
      </c>
      <c r="I29" s="119" t="s">
        <v>141</v>
      </c>
      <c r="J29" s="76" t="s">
        <v>187</v>
      </c>
      <c r="K29" s="83" t="s">
        <v>188</v>
      </c>
      <c r="L29" s="119" t="s">
        <v>189</v>
      </c>
      <c r="M29" s="119">
        <v>9</v>
      </c>
      <c r="N29" s="119">
        <v>25</v>
      </c>
      <c r="O29" s="119" t="s">
        <v>1149</v>
      </c>
      <c r="P29" s="144" t="s">
        <v>190</v>
      </c>
      <c r="Q29" s="122">
        <v>45338</v>
      </c>
      <c r="R29" s="120" t="s">
        <v>126</v>
      </c>
      <c r="S29" s="115" t="s">
        <v>127</v>
      </c>
      <c r="T29" s="123" t="s">
        <v>191</v>
      </c>
      <c r="U29" s="119">
        <v>901792652</v>
      </c>
      <c r="V29" s="175">
        <v>5949362000</v>
      </c>
      <c r="W29" s="175">
        <f t="shared" si="9"/>
        <v>215394229</v>
      </c>
      <c r="X29" s="175"/>
      <c r="Y29" s="175">
        <v>35607160.170000002</v>
      </c>
      <c r="Z29" s="176">
        <f t="shared" si="10"/>
        <v>5949362000</v>
      </c>
      <c r="AA29" s="177">
        <f>SUMIFS('6.Reportes de Pagos'!I:I,'6.Reportes de Pagos'!H:H,"&lt;="&amp;(EOMONTH(FECHA,-1)),'6.Reportes de Pagos'!D:D,$P29)</f>
        <v>5948841675.4300003</v>
      </c>
      <c r="AB29" s="177">
        <f>SUMIFS('6.Reportes de Pagos'!J:J,'6.Reportes de Pagos'!H:H,"&lt;="&amp;(EOMONTH(FECHA,-1)),'6.Reportes de Pagos'!D:D,$P29)</f>
        <v>0</v>
      </c>
      <c r="AC29" s="178">
        <v>0</v>
      </c>
      <c r="AD29" s="179">
        <f>SUMIFS('6.Reportes de Pagos'!I:I,'6.Reportes de Pagos'!H:H,"&gt;"&amp;(EOMONTH(FECHA,-1)),'6.Reportes de Pagos'!H:H,"&lt;="&amp;(EOMONTH(FECHA,0)),'6.Reportes de Pagos'!D:D,$P29)</f>
        <v>0</v>
      </c>
      <c r="AE29" s="179">
        <f>SUMIFS('6.Reportes de Pagos'!J:J,'6.Reportes de Pagos'!H:H,"&gt;"&amp;(EOMONTH(FECHA,-1)),'6.Reportes de Pagos'!H:H,"&lt;="&amp;(EOMONTH(FECHA,0)),'6.Reportes de Pagos'!D:D,$P29)</f>
        <v>0</v>
      </c>
      <c r="AF29" s="179">
        <v>520324.57</v>
      </c>
      <c r="AG29" s="177">
        <f>SUMIFS('6.Reportes de Pagos'!I:I,'6.Reportes de Pagos'!H:H,"&lt;="&amp;(EOMONTH(FECHA,0)),'6.Reportes de Pagos'!D:D,$P29)</f>
        <v>5948841675.4300003</v>
      </c>
      <c r="AH29" s="177">
        <f>SUMIFS('6.Reportes de Pagos'!J:J,'6.Reportes de Pagos'!H:H,"&lt;="&amp;(EOMONTH(FECHA,0)),'6.Reportes de Pagos'!D:D,$P29)</f>
        <v>0</v>
      </c>
      <c r="AI29" s="177">
        <f t="shared" si="6"/>
        <v>520324.57</v>
      </c>
      <c r="AJ29" s="177"/>
      <c r="AK29" s="180">
        <f t="shared" si="7"/>
        <v>-3.0518276616930962E-7</v>
      </c>
      <c r="AL29" s="208">
        <f t="shared" si="8"/>
        <v>1</v>
      </c>
      <c r="AM29" s="210" t="s">
        <v>1331</v>
      </c>
    </row>
    <row r="30" spans="1:39" s="204" customFormat="1" ht="105" x14ac:dyDescent="0.25">
      <c r="A30" s="115">
        <f t="shared" si="5"/>
        <v>23</v>
      </c>
      <c r="B30" s="116" t="s">
        <v>51</v>
      </c>
      <c r="C30" s="90">
        <v>87123</v>
      </c>
      <c r="D30" s="117" t="s">
        <v>90</v>
      </c>
      <c r="E30" s="118">
        <v>2023</v>
      </c>
      <c r="F30" s="119" t="s">
        <v>823</v>
      </c>
      <c r="G30" s="120" t="s">
        <v>824</v>
      </c>
      <c r="H30" s="215">
        <f>308296030+47697954.8+81786051.93+53410740.25</f>
        <v>491190776.98000002</v>
      </c>
      <c r="I30" s="119" t="s">
        <v>141</v>
      </c>
      <c r="J30" s="76" t="s">
        <v>192</v>
      </c>
      <c r="K30" s="83" t="s">
        <v>188</v>
      </c>
      <c r="L30" s="119" t="s">
        <v>189</v>
      </c>
      <c r="M30" s="119">
        <v>9</v>
      </c>
      <c r="N30" s="119">
        <v>25</v>
      </c>
      <c r="O30" s="119" t="s">
        <v>1150</v>
      </c>
      <c r="P30" s="144" t="s">
        <v>193</v>
      </c>
      <c r="Q30" s="122">
        <v>45309</v>
      </c>
      <c r="R30" s="120" t="s">
        <v>131</v>
      </c>
      <c r="S30" s="115" t="s">
        <v>127</v>
      </c>
      <c r="T30" s="123" t="s">
        <v>194</v>
      </c>
      <c r="U30" s="119">
        <v>900503646</v>
      </c>
      <c r="V30" s="175">
        <v>293299774</v>
      </c>
      <c r="W30" s="175">
        <f>+H30-V30-47697954.8-81786051.93-53410740.25</f>
        <v>14996256</v>
      </c>
      <c r="X30" s="175">
        <f>83305114.97+81786051.93+53410740.25</f>
        <v>218501907.15000001</v>
      </c>
      <c r="Y30" s="175"/>
      <c r="Z30" s="176">
        <f t="shared" si="10"/>
        <v>511801681.14999998</v>
      </c>
      <c r="AA30" s="177">
        <f>SUMIFS('6.Reportes de Pagos'!I:I,'6.Reportes de Pagos'!H:H,"&lt;="&amp;(EOMONTH(FECHA,-1)),'6.Reportes de Pagos'!D:D,$P30)</f>
        <v>487943164.1400001</v>
      </c>
      <c r="AB30" s="177">
        <f>SUMIFS('6.Reportes de Pagos'!J:J,'6.Reportes de Pagos'!H:H,"&lt;="&amp;(EOMONTH(FECHA,-1)),'6.Reportes de Pagos'!D:D,$P30)</f>
        <v>48794316.410000004</v>
      </c>
      <c r="AC30" s="178">
        <v>0</v>
      </c>
      <c r="AD30" s="179">
        <f>SUMIFS('6.Reportes de Pagos'!I:I,'6.Reportes de Pagos'!H:H,"&gt;"&amp;(EOMONTH(FECHA,-1)),'6.Reportes de Pagos'!H:H,"&lt;="&amp;(EOMONTH(FECHA,0)),'6.Reportes de Pagos'!D:D,$P30)</f>
        <v>0</v>
      </c>
      <c r="AE30" s="179">
        <f>SUMIFS('6.Reportes de Pagos'!J:J,'6.Reportes de Pagos'!H:H,"&gt;"&amp;(EOMONTH(FECHA,-1)),'6.Reportes de Pagos'!H:H,"&lt;="&amp;(EOMONTH(FECHA,0)),'6.Reportes de Pagos'!D:D,$P30)</f>
        <v>0</v>
      </c>
      <c r="AF30" s="179">
        <v>0</v>
      </c>
      <c r="AG30" s="177">
        <f>SUMIFS('6.Reportes de Pagos'!I:I,'6.Reportes de Pagos'!H:H,"&lt;="&amp;(EOMONTH(FECHA,0)),'6.Reportes de Pagos'!D:D,$P30)</f>
        <v>487943164.1400001</v>
      </c>
      <c r="AH30" s="177">
        <f>SUMIFS('6.Reportes de Pagos'!J:J,'6.Reportes de Pagos'!H:H,"&lt;="&amp;(EOMONTH(FECHA,0)),'6.Reportes de Pagos'!D:D,$P30)</f>
        <v>48794316.410000004</v>
      </c>
      <c r="AI30" s="177">
        <v>9539.61</v>
      </c>
      <c r="AJ30" s="177"/>
      <c r="AK30" s="180">
        <f t="shared" si="7"/>
        <v>72643293.809999898</v>
      </c>
      <c r="AL30" s="208">
        <f t="shared" si="8"/>
        <v>0.85806358891441503</v>
      </c>
      <c r="AM30" s="210" t="s">
        <v>1376</v>
      </c>
    </row>
    <row r="31" spans="1:39" s="204" customFormat="1" ht="75" x14ac:dyDescent="0.25">
      <c r="A31" s="115">
        <f t="shared" si="5"/>
        <v>24</v>
      </c>
      <c r="B31" s="116" t="s">
        <v>51</v>
      </c>
      <c r="C31" s="90">
        <v>87123</v>
      </c>
      <c r="D31" s="117" t="s">
        <v>90</v>
      </c>
      <c r="E31" s="118">
        <v>2023</v>
      </c>
      <c r="F31" s="119">
        <v>14</v>
      </c>
      <c r="G31" s="120">
        <v>45229</v>
      </c>
      <c r="H31" s="215">
        <v>6074469090</v>
      </c>
      <c r="I31" s="119" t="s">
        <v>141</v>
      </c>
      <c r="J31" s="76" t="s">
        <v>195</v>
      </c>
      <c r="K31" s="83" t="s">
        <v>196</v>
      </c>
      <c r="L31" s="119" t="s">
        <v>197</v>
      </c>
      <c r="M31" s="119">
        <v>10</v>
      </c>
      <c r="N31" s="119">
        <v>18</v>
      </c>
      <c r="O31" s="119" t="s">
        <v>1151</v>
      </c>
      <c r="P31" s="144" t="s">
        <v>198</v>
      </c>
      <c r="Q31" s="122">
        <v>45313</v>
      </c>
      <c r="R31" s="120" t="s">
        <v>126</v>
      </c>
      <c r="S31" s="115" t="s">
        <v>127</v>
      </c>
      <c r="T31" s="123" t="s">
        <v>199</v>
      </c>
      <c r="U31" s="119">
        <v>900278442</v>
      </c>
      <c r="V31" s="175">
        <v>5875833952</v>
      </c>
      <c r="W31" s="175">
        <f t="shared" si="9"/>
        <v>198635138</v>
      </c>
      <c r="X31" s="178">
        <v>-164743008</v>
      </c>
      <c r="Y31" s="175"/>
      <c r="Z31" s="176">
        <f t="shared" si="10"/>
        <v>5711090944</v>
      </c>
      <c r="AA31" s="177">
        <f>SUMIFS('6.Reportes de Pagos'!I:I,'6.Reportes de Pagos'!H:H,"&lt;="&amp;(EOMONTH(FECHA,-1)),'6.Reportes de Pagos'!D:D,$P31)</f>
        <v>5711090944</v>
      </c>
      <c r="AB31" s="177">
        <f>SUMIFS('6.Reportes de Pagos'!J:J,'6.Reportes de Pagos'!H:H,"&lt;="&amp;(EOMONTH(FECHA,-1)),'6.Reportes de Pagos'!D:D,$P31)</f>
        <v>1.1920928955078125E-7</v>
      </c>
      <c r="AC31" s="178">
        <v>0</v>
      </c>
      <c r="AD31" s="179">
        <f>SUMIFS('6.Reportes de Pagos'!I:I,'6.Reportes de Pagos'!H:H,"&gt;"&amp;(EOMONTH(FECHA,-1)),'6.Reportes de Pagos'!H:H,"&lt;="&amp;(EOMONTH(FECHA,0)),'6.Reportes de Pagos'!D:D,$P31)</f>
        <v>0</v>
      </c>
      <c r="AE31" s="179">
        <f>SUMIFS('6.Reportes de Pagos'!J:J,'6.Reportes de Pagos'!H:H,"&gt;"&amp;(EOMONTH(FECHA,-1)),'6.Reportes de Pagos'!H:H,"&lt;="&amp;(EOMONTH(FECHA,0)),'6.Reportes de Pagos'!D:D,$P31)</f>
        <v>0</v>
      </c>
      <c r="AF31" s="179">
        <v>0</v>
      </c>
      <c r="AG31" s="177">
        <f>SUMIFS('6.Reportes de Pagos'!I:I,'6.Reportes de Pagos'!H:H,"&lt;="&amp;(EOMONTH(FECHA,0)),'6.Reportes de Pagos'!D:D,$P31)</f>
        <v>5711090944</v>
      </c>
      <c r="AH31" s="177">
        <f>SUMIFS('6.Reportes de Pagos'!J:J,'6.Reportes de Pagos'!H:H,"&lt;="&amp;(EOMONTH(FECHA,0)),'6.Reportes de Pagos'!D:D,$P31)</f>
        <v>1.1920928955078125E-7</v>
      </c>
      <c r="AI31" s="177">
        <f t="shared" si="6"/>
        <v>0</v>
      </c>
      <c r="AJ31" s="177"/>
      <c r="AK31" s="180">
        <f t="shared" si="7"/>
        <v>0</v>
      </c>
      <c r="AL31" s="208">
        <f t="shared" si="8"/>
        <v>1</v>
      </c>
      <c r="AM31" s="210" t="s">
        <v>1217</v>
      </c>
    </row>
    <row r="32" spans="1:39" s="204" customFormat="1" ht="105" x14ac:dyDescent="0.25">
      <c r="A32" s="115">
        <f t="shared" si="5"/>
        <v>25</v>
      </c>
      <c r="B32" s="116" t="s">
        <v>51</v>
      </c>
      <c r="C32" s="90">
        <v>87123</v>
      </c>
      <c r="D32" s="117" t="s">
        <v>90</v>
      </c>
      <c r="E32" s="118">
        <v>2023</v>
      </c>
      <c r="F32" s="119">
        <v>15</v>
      </c>
      <c r="G32" s="120">
        <v>45229</v>
      </c>
      <c r="H32" s="215">
        <v>319129160</v>
      </c>
      <c r="I32" s="119" t="s">
        <v>141</v>
      </c>
      <c r="J32" s="76" t="s">
        <v>200</v>
      </c>
      <c r="K32" s="83" t="s">
        <v>196</v>
      </c>
      <c r="L32" s="119" t="s">
        <v>197</v>
      </c>
      <c r="M32" s="119">
        <v>10</v>
      </c>
      <c r="N32" s="119">
        <v>18</v>
      </c>
      <c r="O32" s="119" t="s">
        <v>1152</v>
      </c>
      <c r="P32" s="144" t="s">
        <v>201</v>
      </c>
      <c r="Q32" s="122">
        <v>45308</v>
      </c>
      <c r="R32" s="120" t="s">
        <v>131</v>
      </c>
      <c r="S32" s="115" t="s">
        <v>127</v>
      </c>
      <c r="T32" s="123" t="s">
        <v>202</v>
      </c>
      <c r="U32" s="119">
        <v>900506471</v>
      </c>
      <c r="V32" s="175">
        <v>299975200</v>
      </c>
      <c r="W32" s="175">
        <f t="shared" si="9"/>
        <v>19153960</v>
      </c>
      <c r="X32" s="178">
        <v>-8410519.6300000008</v>
      </c>
      <c r="Y32" s="175"/>
      <c r="Z32" s="176">
        <f t="shared" si="10"/>
        <v>291564680.37</v>
      </c>
      <c r="AA32" s="177">
        <f>SUMIFS('6.Reportes de Pagos'!I:I,'6.Reportes de Pagos'!H:H,"&lt;="&amp;(EOMONTH(FECHA,-1)),'6.Reportes de Pagos'!D:D,$P32)</f>
        <v>267784254.21000001</v>
      </c>
      <c r="AB32" s="177">
        <f>SUMIFS('6.Reportes de Pagos'!J:J,'6.Reportes de Pagos'!H:H,"&lt;="&amp;(EOMONTH(FECHA,-1)),'6.Reportes de Pagos'!D:D,$P32)</f>
        <v>26778425.420000002</v>
      </c>
      <c r="AC32" s="178"/>
      <c r="AD32" s="179">
        <f>SUMIFS('6.Reportes de Pagos'!I:I,'6.Reportes de Pagos'!H:H,"&gt;"&amp;(EOMONTH(FECHA,-1)),'6.Reportes de Pagos'!H:H,"&lt;="&amp;(EOMONTH(FECHA,0)),'6.Reportes de Pagos'!D:D,$P32)</f>
        <v>23780426.16</v>
      </c>
      <c r="AE32" s="179">
        <f>SUMIFS('6.Reportes de Pagos'!J:J,'6.Reportes de Pagos'!H:H,"&gt;"&amp;(EOMONTH(FECHA,-1)),'6.Reportes de Pagos'!H:H,"&lt;="&amp;(EOMONTH(FECHA,0)),'6.Reportes de Pagos'!D:D,$P32)</f>
        <v>-26778425.420000002</v>
      </c>
      <c r="AF32" s="179">
        <v>8410519.6300000008</v>
      </c>
      <c r="AG32" s="177">
        <f>SUMIFS('6.Reportes de Pagos'!I:I,'6.Reportes de Pagos'!H:H,"&lt;="&amp;(EOMONTH(FECHA,0)),'6.Reportes de Pagos'!D:D,$P32)</f>
        <v>291564680.37</v>
      </c>
      <c r="AH32" s="177">
        <f>SUMIFS('6.Reportes de Pagos'!J:J,'6.Reportes de Pagos'!H:H,"&lt;="&amp;(EOMONTH(FECHA,0)),'6.Reportes de Pagos'!D:D,$P32)</f>
        <v>0</v>
      </c>
      <c r="AI32" s="177"/>
      <c r="AJ32" s="177"/>
      <c r="AK32" s="180">
        <f t="shared" si="7"/>
        <v>0</v>
      </c>
      <c r="AL32" s="208">
        <f t="shared" si="8"/>
        <v>1</v>
      </c>
      <c r="AM32" s="75" t="s">
        <v>1331</v>
      </c>
    </row>
    <row r="33" spans="1:39" s="204" customFormat="1" ht="90" x14ac:dyDescent="0.25">
      <c r="A33" s="115">
        <f t="shared" si="5"/>
        <v>26</v>
      </c>
      <c r="B33" s="116" t="s">
        <v>51</v>
      </c>
      <c r="C33" s="90">
        <v>87123</v>
      </c>
      <c r="D33" s="117" t="s">
        <v>90</v>
      </c>
      <c r="E33" s="118">
        <v>2023</v>
      </c>
      <c r="F33" s="119">
        <v>28</v>
      </c>
      <c r="G33" s="120">
        <v>45237</v>
      </c>
      <c r="H33" s="215">
        <v>9359559040</v>
      </c>
      <c r="I33" s="119" t="s">
        <v>141</v>
      </c>
      <c r="J33" s="76" t="s">
        <v>203</v>
      </c>
      <c r="K33" s="83" t="s">
        <v>204</v>
      </c>
      <c r="L33" s="119" t="s">
        <v>205</v>
      </c>
      <c r="M33" s="119">
        <v>11</v>
      </c>
      <c r="N33" s="119">
        <v>23</v>
      </c>
      <c r="O33" s="119" t="s">
        <v>1153</v>
      </c>
      <c r="P33" s="144" t="s">
        <v>206</v>
      </c>
      <c r="Q33" s="122">
        <v>45299</v>
      </c>
      <c r="R33" s="120" t="s">
        <v>126</v>
      </c>
      <c r="S33" s="115" t="s">
        <v>127</v>
      </c>
      <c r="T33" s="123" t="s">
        <v>207</v>
      </c>
      <c r="U33" s="119">
        <v>901786317</v>
      </c>
      <c r="V33" s="175">
        <v>9037000000</v>
      </c>
      <c r="W33" s="175">
        <f t="shared" si="9"/>
        <v>322559040</v>
      </c>
      <c r="X33" s="175"/>
      <c r="Y33" s="175">
        <v>50000000</v>
      </c>
      <c r="Z33" s="176">
        <f t="shared" si="10"/>
        <v>9037000000</v>
      </c>
      <c r="AA33" s="177">
        <f>SUMIFS('6.Reportes de Pagos'!I:I,'6.Reportes de Pagos'!H:H,"&lt;="&amp;(EOMONTH(FECHA,-1)),'6.Reportes de Pagos'!D:D,$P33)</f>
        <v>7846564532.9899998</v>
      </c>
      <c r="AB33" s="177">
        <f>SUMIFS('6.Reportes de Pagos'!J:J,'6.Reportes de Pagos'!H:H,"&lt;="&amp;(EOMONTH(FECHA,-1)),'6.Reportes de Pagos'!D:D,$P33)</f>
        <v>784656453.30000007</v>
      </c>
      <c r="AC33" s="178">
        <v>0</v>
      </c>
      <c r="AD33" s="179">
        <f>SUMIFS('6.Reportes de Pagos'!I:I,'6.Reportes de Pagos'!H:H,"&gt;"&amp;(EOMONTH(FECHA,-1)),'6.Reportes de Pagos'!H:H,"&lt;="&amp;(EOMONTH(FECHA,0)),'6.Reportes de Pagos'!D:D,$P33)</f>
        <v>0</v>
      </c>
      <c r="AE33" s="179">
        <f>SUMIFS('6.Reportes de Pagos'!J:J,'6.Reportes de Pagos'!H:H,"&gt;"&amp;(EOMONTH(FECHA,-1)),'6.Reportes de Pagos'!H:H,"&lt;="&amp;(EOMONTH(FECHA,0)),'6.Reportes de Pagos'!D:D,$P33)</f>
        <v>-784656453.29999995</v>
      </c>
      <c r="AF33" s="179">
        <v>0</v>
      </c>
      <c r="AG33" s="177">
        <f>SUMIFS('6.Reportes de Pagos'!I:I,'6.Reportes de Pagos'!H:H,"&lt;="&amp;(EOMONTH(FECHA,0)),'6.Reportes de Pagos'!D:D,$P33)</f>
        <v>7846564532.9899998</v>
      </c>
      <c r="AH33" s="177">
        <f>SUMIFS('6.Reportes de Pagos'!J:J,'6.Reportes de Pagos'!H:H,"&lt;="&amp;(EOMONTH(FECHA,0)),'6.Reportes de Pagos'!D:D,$P33)</f>
        <v>1.1920928955078125E-7</v>
      </c>
      <c r="AI33" s="177">
        <v>1190435467.0699999</v>
      </c>
      <c r="AJ33" s="177"/>
      <c r="AK33" s="180">
        <f t="shared" si="7"/>
        <v>-5.9999704360961914E-2</v>
      </c>
      <c r="AL33" s="208">
        <f t="shared" si="8"/>
        <v>1.0000000000066394</v>
      </c>
      <c r="AM33" s="75" t="s">
        <v>1376</v>
      </c>
    </row>
    <row r="34" spans="1:39" s="204" customFormat="1" ht="120" x14ac:dyDescent="0.25">
      <c r="A34" s="115">
        <f t="shared" si="5"/>
        <v>27</v>
      </c>
      <c r="B34" s="116" t="s">
        <v>51</v>
      </c>
      <c r="C34" s="90">
        <v>87123</v>
      </c>
      <c r="D34" s="117" t="s">
        <v>90</v>
      </c>
      <c r="E34" s="118">
        <v>2023</v>
      </c>
      <c r="F34" s="119" t="s">
        <v>606</v>
      </c>
      <c r="G34" s="120" t="s">
        <v>607</v>
      </c>
      <c r="H34" s="215">
        <f>420616710+59387389</f>
        <v>480004099</v>
      </c>
      <c r="I34" s="119" t="s">
        <v>141</v>
      </c>
      <c r="J34" s="76" t="s">
        <v>208</v>
      </c>
      <c r="K34" s="83" t="s">
        <v>204</v>
      </c>
      <c r="L34" s="119" t="s">
        <v>205</v>
      </c>
      <c r="M34" s="119">
        <v>11</v>
      </c>
      <c r="N34" s="119">
        <v>23</v>
      </c>
      <c r="O34" s="119" t="s">
        <v>1154</v>
      </c>
      <c r="P34" s="144" t="s">
        <v>209</v>
      </c>
      <c r="Q34" s="122">
        <v>45330</v>
      </c>
      <c r="R34" s="120" t="s">
        <v>131</v>
      </c>
      <c r="S34" s="115" t="s">
        <v>127</v>
      </c>
      <c r="T34" s="123" t="s">
        <v>210</v>
      </c>
      <c r="U34" s="119">
        <v>901786131</v>
      </c>
      <c r="V34" s="175">
        <v>396473310</v>
      </c>
      <c r="W34" s="175">
        <f>+H34-V34-59387389</f>
        <v>24143400</v>
      </c>
      <c r="X34" s="175">
        <f>50000000+59387389</f>
        <v>109387389</v>
      </c>
      <c r="Y34" s="175"/>
      <c r="Z34" s="176">
        <f t="shared" si="10"/>
        <v>505860699</v>
      </c>
      <c r="AA34" s="177">
        <f>SUMIFS('6.Reportes de Pagos'!I:I,'6.Reportes de Pagos'!H:H,"&lt;="&amp;(EOMONTH(FECHA,-1)),'6.Reportes de Pagos'!D:D,$P34)</f>
        <v>449941424.75999999</v>
      </c>
      <c r="AB34" s="177">
        <f>SUMIFS('6.Reportes de Pagos'!J:J,'6.Reportes de Pagos'!H:H,"&lt;="&amp;(EOMONTH(FECHA,-1)),'6.Reportes de Pagos'!D:D,$P34)</f>
        <v>44994142.510000005</v>
      </c>
      <c r="AC34" s="178">
        <v>0</v>
      </c>
      <c r="AD34" s="179">
        <f>SUMIFS('6.Reportes de Pagos'!I:I,'6.Reportes de Pagos'!H:H,"&gt;"&amp;(EOMONTH(FECHA,-1)),'6.Reportes de Pagos'!H:H,"&lt;="&amp;(EOMONTH(FECHA,0)),'6.Reportes de Pagos'!D:D,$P34)</f>
        <v>0</v>
      </c>
      <c r="AE34" s="179">
        <f>SUMIFS('6.Reportes de Pagos'!J:J,'6.Reportes de Pagos'!H:H,"&gt;"&amp;(EOMONTH(FECHA,-1)),'6.Reportes de Pagos'!H:H,"&lt;="&amp;(EOMONTH(FECHA,0)),'6.Reportes de Pagos'!D:D,$P34)</f>
        <v>0</v>
      </c>
      <c r="AF34" s="179">
        <v>0</v>
      </c>
      <c r="AG34" s="177">
        <f>SUMIFS('6.Reportes de Pagos'!I:I,'6.Reportes de Pagos'!H:H,"&lt;="&amp;(EOMONTH(FECHA,0)),'6.Reportes de Pagos'!D:D,$P34)</f>
        <v>449941424.75999999</v>
      </c>
      <c r="AH34" s="177">
        <f>SUMIFS('6.Reportes de Pagos'!J:J,'6.Reportes de Pagos'!H:H,"&lt;="&amp;(EOMONTH(FECHA,0)),'6.Reportes de Pagos'!D:D,$P34)</f>
        <v>44994142.510000005</v>
      </c>
      <c r="AI34" s="177">
        <f t="shared" si="6"/>
        <v>0</v>
      </c>
      <c r="AJ34" s="177"/>
      <c r="AK34" s="180">
        <f t="shared" si="7"/>
        <v>100913416.75</v>
      </c>
      <c r="AL34" s="208">
        <f t="shared" si="8"/>
        <v>0.80051145117719458</v>
      </c>
      <c r="AM34" s="210" t="s">
        <v>1376</v>
      </c>
    </row>
    <row r="35" spans="1:39" s="204" customFormat="1" ht="75" x14ac:dyDescent="0.25">
      <c r="A35" s="115">
        <f t="shared" si="5"/>
        <v>28</v>
      </c>
      <c r="B35" s="116" t="s">
        <v>51</v>
      </c>
      <c r="C35" s="90">
        <v>87123</v>
      </c>
      <c r="D35" s="117" t="s">
        <v>90</v>
      </c>
      <c r="E35" s="118">
        <v>2023</v>
      </c>
      <c r="F35" s="119">
        <v>135</v>
      </c>
      <c r="G35" s="120">
        <v>45477</v>
      </c>
      <c r="H35" s="215">
        <v>2628232452</v>
      </c>
      <c r="I35" s="119" t="s">
        <v>141</v>
      </c>
      <c r="J35" s="76" t="s">
        <v>211</v>
      </c>
      <c r="K35" s="83" t="s">
        <v>212</v>
      </c>
      <c r="L35" s="119" t="s">
        <v>213</v>
      </c>
      <c r="M35" s="119">
        <v>12</v>
      </c>
      <c r="N35" s="119">
        <v>13</v>
      </c>
      <c r="O35" s="119" t="s">
        <v>1155</v>
      </c>
      <c r="P35" s="144" t="s">
        <v>604</v>
      </c>
      <c r="Q35" s="122">
        <v>45530</v>
      </c>
      <c r="R35" s="120" t="s">
        <v>126</v>
      </c>
      <c r="S35" s="115" t="s">
        <v>127</v>
      </c>
      <c r="T35" s="123" t="s">
        <v>605</v>
      </c>
      <c r="U35" s="119">
        <v>901855879</v>
      </c>
      <c r="V35" s="175">
        <v>2628232452</v>
      </c>
      <c r="W35" s="175">
        <f t="shared" si="9"/>
        <v>0</v>
      </c>
      <c r="X35" s="175"/>
      <c r="Y35" s="175">
        <v>116020814.25</v>
      </c>
      <c r="Z35" s="176">
        <f t="shared" si="10"/>
        <v>2628232452</v>
      </c>
      <c r="AA35" s="177">
        <f>SUMIFS('6.Reportes de Pagos'!I:I,'6.Reportes de Pagos'!H:H,"&lt;="&amp;(EOMONTH(FECHA,-1)),'6.Reportes de Pagos'!D:D,$P35)</f>
        <v>0</v>
      </c>
      <c r="AB35" s="177">
        <f>SUMIFS('6.Reportes de Pagos'!J:J,'6.Reportes de Pagos'!H:H,"&lt;="&amp;(EOMONTH(FECHA,-1)),'6.Reportes de Pagos'!D:D,$P35)</f>
        <v>0</v>
      </c>
      <c r="AC35" s="178">
        <v>0</v>
      </c>
      <c r="AD35" s="179">
        <f>SUMIFS('6.Reportes de Pagos'!I:I,'6.Reportes de Pagos'!H:H,"&gt;"&amp;(EOMONTH(FECHA,-1)),'6.Reportes de Pagos'!H:H,"&lt;="&amp;(EOMONTH(FECHA,0)),'6.Reportes de Pagos'!D:D,$P35)</f>
        <v>0</v>
      </c>
      <c r="AE35" s="179">
        <f>SUMIFS('6.Reportes de Pagos'!J:J,'6.Reportes de Pagos'!H:H,"&gt;"&amp;(EOMONTH(FECHA,-1)),'6.Reportes de Pagos'!H:H,"&lt;="&amp;(EOMONTH(FECHA,0)),'6.Reportes de Pagos'!D:D,$P35)</f>
        <v>0</v>
      </c>
      <c r="AF35" s="179">
        <v>0</v>
      </c>
      <c r="AG35" s="177">
        <f>SUMIFS('6.Reportes de Pagos'!I:I,'6.Reportes de Pagos'!H:H,"&lt;="&amp;(EOMONTH(FECHA,0)),'6.Reportes de Pagos'!D:D,$P35)</f>
        <v>0</v>
      </c>
      <c r="AH35" s="177">
        <f>SUMIFS('6.Reportes de Pagos'!J:J,'6.Reportes de Pagos'!H:H,"&lt;="&amp;(EOMONTH(FECHA,0)),'6.Reportes de Pagos'!D:D,$P35)</f>
        <v>0</v>
      </c>
      <c r="AI35" s="177">
        <f t="shared" si="6"/>
        <v>0</v>
      </c>
      <c r="AJ35" s="177"/>
      <c r="AK35" s="180">
        <f t="shared" si="7"/>
        <v>2628232452</v>
      </c>
      <c r="AL35" s="208">
        <f t="shared" si="8"/>
        <v>0</v>
      </c>
      <c r="AM35" s="210" t="s">
        <v>1218</v>
      </c>
    </row>
    <row r="36" spans="1:39" s="204" customFormat="1" ht="105" x14ac:dyDescent="0.25">
      <c r="A36" s="115">
        <f t="shared" si="5"/>
        <v>29</v>
      </c>
      <c r="B36" s="116" t="s">
        <v>51</v>
      </c>
      <c r="C36" s="90">
        <v>87123</v>
      </c>
      <c r="D36" s="117" t="s">
        <v>90</v>
      </c>
      <c r="E36" s="118">
        <v>2023</v>
      </c>
      <c r="F36" s="119">
        <v>160</v>
      </c>
      <c r="G36" s="120">
        <v>45562</v>
      </c>
      <c r="H36" s="215">
        <v>209551040</v>
      </c>
      <c r="I36" s="119" t="s">
        <v>141</v>
      </c>
      <c r="J36" s="76" t="s">
        <v>214</v>
      </c>
      <c r="K36" s="83" t="s">
        <v>215</v>
      </c>
      <c r="L36" s="119" t="s">
        <v>213</v>
      </c>
      <c r="M36" s="119">
        <v>12</v>
      </c>
      <c r="N36" s="119">
        <v>13</v>
      </c>
      <c r="O36" s="119" t="s">
        <v>1156</v>
      </c>
      <c r="P36" s="144" t="s">
        <v>690</v>
      </c>
      <c r="Q36" s="122">
        <v>45590</v>
      </c>
      <c r="R36" s="120" t="s">
        <v>131</v>
      </c>
      <c r="S36" s="115" t="s">
        <v>127</v>
      </c>
      <c r="T36" s="123" t="s">
        <v>691</v>
      </c>
      <c r="U36" s="119">
        <v>900727376</v>
      </c>
      <c r="V36" s="175">
        <v>209551039</v>
      </c>
      <c r="W36" s="175">
        <f t="shared" si="9"/>
        <v>1</v>
      </c>
      <c r="X36" s="175">
        <v>116020814.25</v>
      </c>
      <c r="Y36" s="175"/>
      <c r="Z36" s="176">
        <f t="shared" si="10"/>
        <v>325571853.25</v>
      </c>
      <c r="AA36" s="177">
        <f>SUMIFS('6.Reportes de Pagos'!I:I,'6.Reportes de Pagos'!H:H,"&lt;="&amp;(EOMONTH(FECHA,-1)),'6.Reportes de Pagos'!D:D,$P36)</f>
        <v>0</v>
      </c>
      <c r="AB36" s="177">
        <f>SUMIFS('6.Reportes de Pagos'!J:J,'6.Reportes de Pagos'!H:H,"&lt;="&amp;(EOMONTH(FECHA,-1)),'6.Reportes de Pagos'!D:D,$P36)</f>
        <v>0</v>
      </c>
      <c r="AC36" s="178">
        <v>0</v>
      </c>
      <c r="AD36" s="179">
        <f>SUMIFS('6.Reportes de Pagos'!I:I,'6.Reportes de Pagos'!H:H,"&gt;"&amp;(EOMONTH(FECHA,-1)),'6.Reportes de Pagos'!H:H,"&lt;="&amp;(EOMONTH(FECHA,0)),'6.Reportes de Pagos'!D:D,$P36)</f>
        <v>30030000</v>
      </c>
      <c r="AE36" s="179">
        <f>SUMIFS('6.Reportes de Pagos'!J:J,'6.Reportes de Pagos'!H:H,"&gt;"&amp;(EOMONTH(FECHA,-1)),'6.Reportes de Pagos'!H:H,"&lt;="&amp;(EOMONTH(FECHA,0)),'6.Reportes de Pagos'!D:D,$P36)</f>
        <v>3003000</v>
      </c>
      <c r="AF36" s="179">
        <v>0</v>
      </c>
      <c r="AG36" s="177">
        <f>SUMIFS('6.Reportes de Pagos'!I:I,'6.Reportes de Pagos'!H:H,"&lt;="&amp;(EOMONTH(FECHA,0)),'6.Reportes de Pagos'!D:D,$P36)</f>
        <v>30030000</v>
      </c>
      <c r="AH36" s="177">
        <f>SUMIFS('6.Reportes de Pagos'!J:J,'6.Reportes de Pagos'!H:H,"&lt;="&amp;(EOMONTH(FECHA,0)),'6.Reportes de Pagos'!D:D,$P36)</f>
        <v>3003000</v>
      </c>
      <c r="AI36" s="177">
        <f t="shared" si="6"/>
        <v>0</v>
      </c>
      <c r="AJ36" s="177"/>
      <c r="AK36" s="180">
        <f t="shared" si="7"/>
        <v>298544853.25</v>
      </c>
      <c r="AL36" s="208">
        <f t="shared" si="8"/>
        <v>8.3013932961970502E-2</v>
      </c>
      <c r="AM36" s="210" t="s">
        <v>1218</v>
      </c>
    </row>
    <row r="37" spans="1:39" s="204" customFormat="1" ht="75" x14ac:dyDescent="0.25">
      <c r="A37" s="115">
        <f t="shared" si="5"/>
        <v>30</v>
      </c>
      <c r="B37" s="116" t="s">
        <v>51</v>
      </c>
      <c r="C37" s="90">
        <v>87123</v>
      </c>
      <c r="D37" s="117" t="s">
        <v>90</v>
      </c>
      <c r="E37" s="118">
        <v>2023</v>
      </c>
      <c r="F37" s="119">
        <v>43</v>
      </c>
      <c r="G37" s="120">
        <v>45254</v>
      </c>
      <c r="H37" s="215">
        <v>4381049279</v>
      </c>
      <c r="I37" s="119" t="s">
        <v>141</v>
      </c>
      <c r="J37" s="76" t="s">
        <v>216</v>
      </c>
      <c r="K37" s="83" t="s">
        <v>217</v>
      </c>
      <c r="L37" s="119" t="s">
        <v>213</v>
      </c>
      <c r="M37" s="119">
        <v>13</v>
      </c>
      <c r="N37" s="119">
        <v>15</v>
      </c>
      <c r="O37" s="119" t="s">
        <v>1157</v>
      </c>
      <c r="P37" s="144" t="s">
        <v>218</v>
      </c>
      <c r="Q37" s="122">
        <v>45344</v>
      </c>
      <c r="R37" s="120" t="s">
        <v>126</v>
      </c>
      <c r="S37" s="115" t="s">
        <v>127</v>
      </c>
      <c r="T37" s="123" t="s">
        <v>219</v>
      </c>
      <c r="U37" s="119">
        <v>900084333</v>
      </c>
      <c r="V37" s="175">
        <v>4374302638</v>
      </c>
      <c r="W37" s="175">
        <f t="shared" si="9"/>
        <v>6746641</v>
      </c>
      <c r="X37" s="175">
        <v>0</v>
      </c>
      <c r="Y37" s="175">
        <v>159807583</v>
      </c>
      <c r="Z37" s="176">
        <f t="shared" si="10"/>
        <v>4374302638</v>
      </c>
      <c r="AA37" s="177">
        <f>SUMIFS('6.Reportes de Pagos'!I:I,'6.Reportes de Pagos'!H:H,"&lt;="&amp;(EOMONTH(FECHA,-1)),'6.Reportes de Pagos'!D:D,$P37)</f>
        <v>654270186.78000009</v>
      </c>
      <c r="AB37" s="177">
        <f>SUMIFS('6.Reportes de Pagos'!J:J,'6.Reportes de Pagos'!H:H,"&lt;="&amp;(EOMONTH(FECHA,-1)),'6.Reportes de Pagos'!D:D,$P37)</f>
        <v>139617737.47</v>
      </c>
      <c r="AC37" s="178">
        <v>0</v>
      </c>
      <c r="AD37" s="179">
        <f>SUMIFS('6.Reportes de Pagos'!I:I,'6.Reportes de Pagos'!H:H,"&gt;"&amp;(EOMONTH(FECHA,-1)),'6.Reportes de Pagos'!H:H,"&lt;="&amp;(EOMONTH(FECHA,0)),'6.Reportes de Pagos'!D:D,$P37)</f>
        <v>480781529.12</v>
      </c>
      <c r="AE37" s="179">
        <f>SUMIFS('6.Reportes de Pagos'!J:J,'6.Reportes de Pagos'!H:H,"&gt;"&amp;(EOMONTH(FECHA,-1)),'6.Reportes de Pagos'!H:H,"&lt;="&amp;(EOMONTH(FECHA,0)),'6.Reportes de Pagos'!D:D,$P37)</f>
        <v>48078152.909999996</v>
      </c>
      <c r="AF37" s="179">
        <v>0</v>
      </c>
      <c r="AG37" s="177">
        <f>SUMIFS('6.Reportes de Pagos'!I:I,'6.Reportes de Pagos'!H:H,"&lt;="&amp;(EOMONTH(FECHA,0)),'6.Reportes de Pagos'!D:D,$P37)</f>
        <v>1135051715.9000001</v>
      </c>
      <c r="AH37" s="177">
        <f>SUMIFS('6.Reportes de Pagos'!J:J,'6.Reportes de Pagos'!H:H,"&lt;="&amp;(EOMONTH(FECHA,0)),'6.Reportes de Pagos'!D:D,$P37)</f>
        <v>187695890.38</v>
      </c>
      <c r="AI37" s="177">
        <f t="shared" si="6"/>
        <v>0</v>
      </c>
      <c r="AJ37" s="177">
        <v>65614539</v>
      </c>
      <c r="AK37" s="180">
        <f t="shared" si="7"/>
        <v>3426946812.48</v>
      </c>
      <c r="AL37" s="208">
        <f t="shared" si="8"/>
        <v>0.2165729954965224</v>
      </c>
      <c r="AM37" s="210" t="s">
        <v>1218</v>
      </c>
    </row>
    <row r="38" spans="1:39" s="204" customFormat="1" ht="105" x14ac:dyDescent="0.25">
      <c r="A38" s="115">
        <f t="shared" si="5"/>
        <v>31</v>
      </c>
      <c r="B38" s="116" t="s">
        <v>51</v>
      </c>
      <c r="C38" s="90">
        <v>87123</v>
      </c>
      <c r="D38" s="117" t="s">
        <v>90</v>
      </c>
      <c r="E38" s="118">
        <v>2023</v>
      </c>
      <c r="F38" s="119">
        <v>44</v>
      </c>
      <c r="G38" s="120">
        <v>45254</v>
      </c>
      <c r="H38" s="215">
        <v>299527080</v>
      </c>
      <c r="I38" s="119" t="s">
        <v>141</v>
      </c>
      <c r="J38" s="76" t="s">
        <v>220</v>
      </c>
      <c r="K38" s="83" t="s">
        <v>217</v>
      </c>
      <c r="L38" s="119" t="s">
        <v>213</v>
      </c>
      <c r="M38" s="119">
        <v>13</v>
      </c>
      <c r="N38" s="119">
        <v>15</v>
      </c>
      <c r="O38" s="119" t="s">
        <v>1158</v>
      </c>
      <c r="P38" s="144" t="s">
        <v>221</v>
      </c>
      <c r="Q38" s="122">
        <v>45355</v>
      </c>
      <c r="R38" s="120" t="s">
        <v>131</v>
      </c>
      <c r="S38" s="115" t="s">
        <v>127</v>
      </c>
      <c r="T38" s="123" t="s">
        <v>1215</v>
      </c>
      <c r="U38" s="119">
        <v>901919715</v>
      </c>
      <c r="V38" s="175">
        <v>288742298</v>
      </c>
      <c r="W38" s="175">
        <f t="shared" si="9"/>
        <v>10784782</v>
      </c>
      <c r="X38" s="175">
        <v>159807583</v>
      </c>
      <c r="Y38" s="175"/>
      <c r="Z38" s="176">
        <f t="shared" si="10"/>
        <v>448549881</v>
      </c>
      <c r="AA38" s="177">
        <f>SUMIFS('6.Reportes de Pagos'!I:I,'6.Reportes de Pagos'!H:H,"&lt;="&amp;(EOMONTH(FECHA,-1)),'6.Reportes de Pagos'!D:D,$P38)</f>
        <v>48720000</v>
      </c>
      <c r="AB38" s="177">
        <f>SUMIFS('6.Reportes de Pagos'!J:J,'6.Reportes de Pagos'!H:H,"&lt;="&amp;(EOMONTH(FECHA,-1)),'6.Reportes de Pagos'!D:D,$P38)</f>
        <v>4872000</v>
      </c>
      <c r="AC38" s="178">
        <v>0</v>
      </c>
      <c r="AD38" s="179">
        <f>SUMIFS('6.Reportes de Pagos'!I:I,'6.Reportes de Pagos'!H:H,"&gt;"&amp;(EOMONTH(FECHA,-1)),'6.Reportes de Pagos'!H:H,"&lt;="&amp;(EOMONTH(FECHA,0)),'6.Reportes de Pagos'!D:D,$P38)</f>
        <v>0</v>
      </c>
      <c r="AE38" s="179">
        <f>SUMIFS('6.Reportes de Pagos'!J:J,'6.Reportes de Pagos'!H:H,"&gt;"&amp;(EOMONTH(FECHA,-1)),'6.Reportes de Pagos'!H:H,"&lt;="&amp;(EOMONTH(FECHA,0)),'6.Reportes de Pagos'!D:D,$P38)</f>
        <v>0</v>
      </c>
      <c r="AF38" s="179">
        <v>0</v>
      </c>
      <c r="AG38" s="177">
        <f>SUMIFS('6.Reportes de Pagos'!I:I,'6.Reportes de Pagos'!H:H,"&lt;="&amp;(EOMONTH(FECHA,0)),'6.Reportes de Pagos'!D:D,$P38)</f>
        <v>48720000</v>
      </c>
      <c r="AH38" s="177">
        <f>SUMIFS('6.Reportes de Pagos'!J:J,'6.Reportes de Pagos'!H:H,"&lt;="&amp;(EOMONTH(FECHA,0)),'6.Reportes de Pagos'!D:D,$P38)</f>
        <v>4872000</v>
      </c>
      <c r="AI38" s="177">
        <f t="shared" si="6"/>
        <v>0</v>
      </c>
      <c r="AJ38" s="177"/>
      <c r="AK38" s="180">
        <f t="shared" si="7"/>
        <v>404701881</v>
      </c>
      <c r="AL38" s="208">
        <f t="shared" si="8"/>
        <v>9.7755014229955847E-2</v>
      </c>
      <c r="AM38" s="210" t="s">
        <v>1218</v>
      </c>
    </row>
    <row r="39" spans="1:39" s="204" customFormat="1" ht="90" x14ac:dyDescent="0.25">
      <c r="A39" s="115">
        <f t="shared" si="5"/>
        <v>32</v>
      </c>
      <c r="B39" s="116" t="s">
        <v>51</v>
      </c>
      <c r="C39" s="90">
        <v>87123</v>
      </c>
      <c r="D39" s="117" t="s">
        <v>90</v>
      </c>
      <c r="E39" s="118">
        <v>2023</v>
      </c>
      <c r="F39" s="119">
        <v>91</v>
      </c>
      <c r="G39" s="120">
        <v>45335</v>
      </c>
      <c r="H39" s="215">
        <v>4302188080</v>
      </c>
      <c r="I39" s="119" t="s">
        <v>141</v>
      </c>
      <c r="J39" s="76" t="s">
        <v>222</v>
      </c>
      <c r="K39" s="83" t="s">
        <v>223</v>
      </c>
      <c r="L39" s="119" t="s">
        <v>224</v>
      </c>
      <c r="M39" s="119">
        <v>14</v>
      </c>
      <c r="N39" s="119">
        <v>21</v>
      </c>
      <c r="O39" s="119" t="s">
        <v>1159</v>
      </c>
      <c r="P39" s="144" t="s">
        <v>438</v>
      </c>
      <c r="Q39" s="122">
        <v>45436</v>
      </c>
      <c r="R39" s="120" t="s">
        <v>126</v>
      </c>
      <c r="S39" s="115" t="s">
        <v>127</v>
      </c>
      <c r="T39" s="123" t="s">
        <v>439</v>
      </c>
      <c r="U39" s="119">
        <v>901829190</v>
      </c>
      <c r="V39" s="175">
        <v>4242685000</v>
      </c>
      <c r="W39" s="175">
        <f t="shared" si="9"/>
        <v>59503080</v>
      </c>
      <c r="X39" s="175"/>
      <c r="Y39" s="175"/>
      <c r="Z39" s="176">
        <f t="shared" si="10"/>
        <v>4242685000</v>
      </c>
      <c r="AA39" s="177">
        <f>SUMIFS('6.Reportes de Pagos'!I:I,'6.Reportes de Pagos'!H:H,"&lt;="&amp;(EOMONTH(FECHA,-1)),'6.Reportes de Pagos'!D:D,$P39)</f>
        <v>0</v>
      </c>
      <c r="AB39" s="177">
        <f>SUMIFS('6.Reportes de Pagos'!J:J,'6.Reportes de Pagos'!H:H,"&lt;="&amp;(EOMONTH(FECHA,-1)),'6.Reportes de Pagos'!D:D,$P39)</f>
        <v>0</v>
      </c>
      <c r="AC39" s="178">
        <v>0</v>
      </c>
      <c r="AD39" s="179">
        <f>SUMIFS('6.Reportes de Pagos'!I:I,'6.Reportes de Pagos'!H:H,"&gt;"&amp;(EOMONTH(FECHA,-1)),'6.Reportes de Pagos'!H:H,"&lt;="&amp;(EOMONTH(FECHA,0)),'6.Reportes de Pagos'!D:D,$P39)</f>
        <v>0</v>
      </c>
      <c r="AE39" s="179">
        <f>SUMIFS('6.Reportes de Pagos'!J:J,'6.Reportes de Pagos'!H:H,"&gt;"&amp;(EOMONTH(FECHA,-1)),'6.Reportes de Pagos'!H:H,"&lt;="&amp;(EOMONTH(FECHA,0)),'6.Reportes de Pagos'!D:D,$P39)</f>
        <v>0</v>
      </c>
      <c r="AF39" s="179">
        <v>0</v>
      </c>
      <c r="AG39" s="177">
        <f>SUMIFS('6.Reportes de Pagos'!I:I,'6.Reportes de Pagos'!H:H,"&lt;="&amp;(EOMONTH(FECHA,0)),'6.Reportes de Pagos'!D:D,$P39)</f>
        <v>0</v>
      </c>
      <c r="AH39" s="177">
        <f>SUMIFS('6.Reportes de Pagos'!J:J,'6.Reportes de Pagos'!H:H,"&lt;="&amp;(EOMONTH(FECHA,0)),'6.Reportes de Pagos'!D:D,$P39)</f>
        <v>0</v>
      </c>
      <c r="AI39" s="177">
        <f t="shared" si="6"/>
        <v>0</v>
      </c>
      <c r="AJ39" s="177"/>
      <c r="AK39" s="180">
        <f t="shared" si="7"/>
        <v>4242685000</v>
      </c>
      <c r="AL39" s="208">
        <f t="shared" si="8"/>
        <v>0</v>
      </c>
      <c r="AM39" s="210" t="s">
        <v>1218</v>
      </c>
    </row>
    <row r="40" spans="1:39" s="204" customFormat="1" ht="120" x14ac:dyDescent="0.25">
      <c r="A40" s="115">
        <f t="shared" si="5"/>
        <v>33</v>
      </c>
      <c r="B40" s="116" t="s">
        <v>51</v>
      </c>
      <c r="C40" s="90">
        <v>87123</v>
      </c>
      <c r="D40" s="117" t="s">
        <v>90</v>
      </c>
      <c r="E40" s="118">
        <v>2023</v>
      </c>
      <c r="F40" s="119">
        <v>31</v>
      </c>
      <c r="G40" s="120">
        <v>45237</v>
      </c>
      <c r="H40" s="215">
        <v>307297940</v>
      </c>
      <c r="I40" s="119" t="s">
        <v>141</v>
      </c>
      <c r="J40" s="76" t="s">
        <v>225</v>
      </c>
      <c r="K40" s="83" t="s">
        <v>223</v>
      </c>
      <c r="L40" s="119" t="s">
        <v>224</v>
      </c>
      <c r="M40" s="119">
        <v>14</v>
      </c>
      <c r="N40" s="119">
        <v>21</v>
      </c>
      <c r="O40" s="119" t="s">
        <v>1160</v>
      </c>
      <c r="P40" s="144" t="s">
        <v>404</v>
      </c>
      <c r="Q40" s="122">
        <v>45411</v>
      </c>
      <c r="R40" s="120" t="s">
        <v>131</v>
      </c>
      <c r="S40" s="115" t="s">
        <v>127</v>
      </c>
      <c r="T40" s="123" t="s">
        <v>1216</v>
      </c>
      <c r="U40" s="119">
        <v>901919723</v>
      </c>
      <c r="V40" s="175">
        <v>303456716</v>
      </c>
      <c r="W40" s="175">
        <f t="shared" si="9"/>
        <v>3841224</v>
      </c>
      <c r="X40" s="175"/>
      <c r="Y40" s="175"/>
      <c r="Z40" s="176">
        <f t="shared" si="10"/>
        <v>303456716</v>
      </c>
      <c r="AA40" s="177">
        <f>SUMIFS('6.Reportes de Pagos'!I:I,'6.Reportes de Pagos'!H:H,"&lt;="&amp;(EOMONTH(FECHA,-1)),'6.Reportes de Pagos'!D:D,$P40)</f>
        <v>54201464.140000001</v>
      </c>
      <c r="AB40" s="177">
        <f>SUMIFS('6.Reportes de Pagos'!J:J,'6.Reportes de Pagos'!H:H,"&lt;="&amp;(EOMONTH(FECHA,-1)),'6.Reportes de Pagos'!D:D,$P40)</f>
        <v>5420146.4100000001</v>
      </c>
      <c r="AC40" s="178">
        <v>0</v>
      </c>
      <c r="AD40" s="179">
        <f>SUMIFS('6.Reportes de Pagos'!I:I,'6.Reportes de Pagos'!H:H,"&gt;"&amp;(EOMONTH(FECHA,-1)),'6.Reportes de Pagos'!H:H,"&lt;="&amp;(EOMONTH(FECHA,0)),'6.Reportes de Pagos'!D:D,$P40)</f>
        <v>0</v>
      </c>
      <c r="AE40" s="179">
        <f>SUMIFS('6.Reportes de Pagos'!J:J,'6.Reportes de Pagos'!H:H,"&gt;"&amp;(EOMONTH(FECHA,-1)),'6.Reportes de Pagos'!H:H,"&lt;="&amp;(EOMONTH(FECHA,0)),'6.Reportes de Pagos'!D:D,$P40)</f>
        <v>0</v>
      </c>
      <c r="AF40" s="179">
        <v>0</v>
      </c>
      <c r="AG40" s="177">
        <f>SUMIFS('6.Reportes de Pagos'!I:I,'6.Reportes de Pagos'!H:H,"&lt;="&amp;(EOMONTH(FECHA,0)),'6.Reportes de Pagos'!D:D,$P40)</f>
        <v>54201464.140000001</v>
      </c>
      <c r="AH40" s="177">
        <f>SUMIFS('6.Reportes de Pagos'!J:J,'6.Reportes de Pagos'!H:H,"&lt;="&amp;(EOMONTH(FECHA,0)),'6.Reportes de Pagos'!D:D,$P40)</f>
        <v>5420146.4100000001</v>
      </c>
      <c r="AI40" s="177">
        <f t="shared" si="6"/>
        <v>0</v>
      </c>
      <c r="AJ40" s="177"/>
      <c r="AK40" s="180">
        <f t="shared" si="7"/>
        <v>254675398.26999998</v>
      </c>
      <c r="AL40" s="208">
        <f t="shared" si="8"/>
        <v>0.16075214407184188</v>
      </c>
      <c r="AM40" s="210" t="s">
        <v>1218</v>
      </c>
    </row>
    <row r="41" spans="1:39" s="204" customFormat="1" ht="75" x14ac:dyDescent="0.25">
      <c r="A41" s="115">
        <f t="shared" si="5"/>
        <v>34</v>
      </c>
      <c r="B41" s="116" t="s">
        <v>51</v>
      </c>
      <c r="C41" s="90">
        <v>87123</v>
      </c>
      <c r="D41" s="117" t="s">
        <v>90</v>
      </c>
      <c r="E41" s="118">
        <v>2023</v>
      </c>
      <c r="F41" s="119">
        <v>96</v>
      </c>
      <c r="G41" s="120">
        <v>45349</v>
      </c>
      <c r="H41" s="215">
        <v>4100585646</v>
      </c>
      <c r="I41" s="119" t="s">
        <v>141</v>
      </c>
      <c r="J41" s="76" t="s">
        <v>226</v>
      </c>
      <c r="K41" s="83" t="s">
        <v>227</v>
      </c>
      <c r="L41" s="119" t="s">
        <v>228</v>
      </c>
      <c r="M41" s="119">
        <v>15</v>
      </c>
      <c r="N41" s="119">
        <v>16</v>
      </c>
      <c r="O41" s="119" t="s">
        <v>1161</v>
      </c>
      <c r="P41" s="144" t="s">
        <v>434</v>
      </c>
      <c r="Q41" s="122">
        <v>45432</v>
      </c>
      <c r="R41" s="120" t="s">
        <v>126</v>
      </c>
      <c r="S41" s="115" t="s">
        <v>127</v>
      </c>
      <c r="T41" s="123" t="s">
        <v>435</v>
      </c>
      <c r="U41" s="119">
        <v>901801498</v>
      </c>
      <c r="V41" s="175">
        <v>4099776236</v>
      </c>
      <c r="W41" s="175">
        <f t="shared" si="9"/>
        <v>809410</v>
      </c>
      <c r="X41" s="175"/>
      <c r="Y41" s="175">
        <v>35543422.5</v>
      </c>
      <c r="Z41" s="176">
        <f t="shared" si="10"/>
        <v>4099776236</v>
      </c>
      <c r="AA41" s="177">
        <f>SUMIFS('6.Reportes de Pagos'!I:I,'6.Reportes de Pagos'!H:H,"&lt;="&amp;(EOMONTH(FECHA,-1)),'6.Reportes de Pagos'!D:D,$P41)</f>
        <v>3997448771.6799998</v>
      </c>
      <c r="AB41" s="177">
        <f>SUMIFS('6.Reportes de Pagos'!J:J,'6.Reportes de Pagos'!H:H,"&lt;="&amp;(EOMONTH(FECHA,-1)),'6.Reportes de Pagos'!D:D,$P41)</f>
        <v>399744877.16999996</v>
      </c>
      <c r="AC41" s="178">
        <v>0</v>
      </c>
      <c r="AD41" s="179">
        <f>SUMIFS('6.Reportes de Pagos'!I:I,'6.Reportes de Pagos'!H:H,"&gt;"&amp;(EOMONTH(FECHA,-1)),'6.Reportes de Pagos'!H:H,"&lt;="&amp;(EOMONTH(FECHA,0)),'6.Reportes de Pagos'!D:D,$P41)</f>
        <v>0</v>
      </c>
      <c r="AE41" s="179">
        <f>SUMIFS('6.Reportes de Pagos'!J:J,'6.Reportes de Pagos'!H:H,"&gt;"&amp;(EOMONTH(FECHA,-1)),'6.Reportes de Pagos'!H:H,"&lt;="&amp;(EOMONTH(FECHA,0)),'6.Reportes de Pagos'!D:D,$P41)</f>
        <v>0</v>
      </c>
      <c r="AF41" s="179">
        <v>0</v>
      </c>
      <c r="AG41" s="177">
        <f>SUMIFS('6.Reportes de Pagos'!I:I,'6.Reportes de Pagos'!H:H,"&lt;="&amp;(EOMONTH(FECHA,0)),'6.Reportes de Pagos'!D:D,$P41)</f>
        <v>3997448771.6799998</v>
      </c>
      <c r="AH41" s="177">
        <f>SUMIFS('6.Reportes de Pagos'!J:J,'6.Reportes de Pagos'!H:H,"&lt;="&amp;(EOMONTH(FECHA,0)),'6.Reportes de Pagos'!D:D,$P41)</f>
        <v>399744877.16999996</v>
      </c>
      <c r="AI41" s="177">
        <f t="shared" si="6"/>
        <v>0</v>
      </c>
      <c r="AJ41" s="177"/>
      <c r="AK41" s="180">
        <f t="shared" si="7"/>
        <v>502072341.49000025</v>
      </c>
      <c r="AL41" s="208">
        <f t="shared" si="8"/>
        <v>0.87753664771230211</v>
      </c>
      <c r="AM41" s="210" t="s">
        <v>1218</v>
      </c>
    </row>
    <row r="42" spans="1:39" s="204" customFormat="1" ht="105" x14ac:dyDescent="0.25">
      <c r="A42" s="115">
        <f t="shared" si="5"/>
        <v>35</v>
      </c>
      <c r="B42" s="116" t="s">
        <v>51</v>
      </c>
      <c r="C42" s="90">
        <v>87123</v>
      </c>
      <c r="D42" s="117" t="s">
        <v>90</v>
      </c>
      <c r="E42" s="118">
        <v>2023</v>
      </c>
      <c r="F42" s="119" t="s">
        <v>811</v>
      </c>
      <c r="G42" s="120" t="s">
        <v>833</v>
      </c>
      <c r="H42" s="215">
        <f>270660690+11847807.5</f>
        <v>282508497.5</v>
      </c>
      <c r="I42" s="119" t="s">
        <v>141</v>
      </c>
      <c r="J42" s="76" t="s">
        <v>229</v>
      </c>
      <c r="K42" s="83" t="s">
        <v>227</v>
      </c>
      <c r="L42" s="119" t="s">
        <v>228</v>
      </c>
      <c r="M42" s="119">
        <v>15</v>
      </c>
      <c r="N42" s="119">
        <v>16</v>
      </c>
      <c r="O42" s="119" t="s">
        <v>1162</v>
      </c>
      <c r="P42" s="144" t="s">
        <v>436</v>
      </c>
      <c r="Q42" s="122">
        <v>45432</v>
      </c>
      <c r="R42" s="120" t="s">
        <v>131</v>
      </c>
      <c r="S42" s="115" t="s">
        <v>127</v>
      </c>
      <c r="T42" s="123" t="s">
        <v>437</v>
      </c>
      <c r="U42" s="119">
        <v>901830037</v>
      </c>
      <c r="V42" s="175">
        <v>254748548</v>
      </c>
      <c r="W42" s="175">
        <f>+H42-V42-11847807.5-15912142</f>
        <v>0</v>
      </c>
      <c r="X42" s="175">
        <f>11847807.5+35543422.5</f>
        <v>47391230</v>
      </c>
      <c r="Y42" s="175"/>
      <c r="Z42" s="176">
        <f t="shared" si="10"/>
        <v>302139778</v>
      </c>
      <c r="AA42" s="177">
        <f>SUMIFS('6.Reportes de Pagos'!I:I,'6.Reportes de Pagos'!H:H,"&lt;="&amp;(EOMONTH(FECHA,-1)),'6.Reportes de Pagos'!D:D,$P42)</f>
        <v>279453953.56999999</v>
      </c>
      <c r="AB42" s="177">
        <f>SUMIFS('6.Reportes de Pagos'!J:J,'6.Reportes de Pagos'!H:H,"&lt;="&amp;(EOMONTH(FECHA,-1)),'6.Reportes de Pagos'!D:D,$P42)</f>
        <v>27945395.350000005</v>
      </c>
      <c r="AC42" s="178">
        <v>0</v>
      </c>
      <c r="AD42" s="179">
        <f>SUMIFS('6.Reportes de Pagos'!I:I,'6.Reportes de Pagos'!H:H,"&gt;"&amp;(EOMONTH(FECHA,-1)),'6.Reportes de Pagos'!H:H,"&lt;="&amp;(EOMONTH(FECHA,0)),'6.Reportes de Pagos'!D:D,$P42)</f>
        <v>0</v>
      </c>
      <c r="AE42" s="179">
        <f>SUMIFS('6.Reportes de Pagos'!J:J,'6.Reportes de Pagos'!H:H,"&gt;"&amp;(EOMONTH(FECHA,-1)),'6.Reportes de Pagos'!H:H,"&lt;="&amp;(EOMONTH(FECHA,0)),'6.Reportes de Pagos'!D:D,$P42)</f>
        <v>0</v>
      </c>
      <c r="AF42" s="179">
        <v>0</v>
      </c>
      <c r="AG42" s="177">
        <f>SUMIFS('6.Reportes de Pagos'!I:I,'6.Reportes de Pagos'!H:H,"&lt;="&amp;(EOMONTH(FECHA,0)),'6.Reportes de Pagos'!D:D,$P42)</f>
        <v>279453953.56999999</v>
      </c>
      <c r="AH42" s="177">
        <f>SUMIFS('6.Reportes de Pagos'!J:J,'6.Reportes de Pagos'!H:H,"&lt;="&amp;(EOMONTH(FECHA,0)),'6.Reportes de Pagos'!D:D,$P42)</f>
        <v>27945395.350000005</v>
      </c>
      <c r="AI42" s="177">
        <f t="shared" si="6"/>
        <v>0</v>
      </c>
      <c r="AJ42" s="177"/>
      <c r="AK42" s="180">
        <f t="shared" si="7"/>
        <v>50631219.780000001</v>
      </c>
      <c r="AL42" s="208">
        <f t="shared" si="8"/>
        <v>0.83242451518581573</v>
      </c>
      <c r="AM42" s="210" t="s">
        <v>1218</v>
      </c>
    </row>
    <row r="43" spans="1:39" s="204" customFormat="1" ht="75" x14ac:dyDescent="0.25">
      <c r="A43" s="115">
        <f t="shared" si="5"/>
        <v>36</v>
      </c>
      <c r="B43" s="116" t="s">
        <v>51</v>
      </c>
      <c r="C43" s="90">
        <v>87123</v>
      </c>
      <c r="D43" s="117" t="s">
        <v>90</v>
      </c>
      <c r="E43" s="118">
        <v>2023</v>
      </c>
      <c r="F43" s="119">
        <v>175</v>
      </c>
      <c r="G43" s="120">
        <v>45638</v>
      </c>
      <c r="H43" s="215">
        <v>4576706533</v>
      </c>
      <c r="I43" s="119" t="s">
        <v>141</v>
      </c>
      <c r="J43" s="76" t="s">
        <v>230</v>
      </c>
      <c r="K43" s="83" t="s">
        <v>231</v>
      </c>
      <c r="L43" s="119" t="s">
        <v>228</v>
      </c>
      <c r="M43" s="119">
        <v>16</v>
      </c>
      <c r="N43" s="119">
        <v>14</v>
      </c>
      <c r="O43" s="119" t="s">
        <v>1163</v>
      </c>
      <c r="P43" s="144" t="s">
        <v>1121</v>
      </c>
      <c r="Q43" s="122">
        <v>45723</v>
      </c>
      <c r="R43" s="120" t="s">
        <v>126</v>
      </c>
      <c r="S43" s="115" t="s">
        <v>127</v>
      </c>
      <c r="T43" s="123" t="s">
        <v>1122</v>
      </c>
      <c r="U43" s="119">
        <v>901903913</v>
      </c>
      <c r="V43" s="175">
        <v>4519310507</v>
      </c>
      <c r="W43" s="175">
        <f t="shared" si="9"/>
        <v>57396026</v>
      </c>
      <c r="X43" s="175"/>
      <c r="Y43" s="175"/>
      <c r="Z43" s="176">
        <f t="shared" si="10"/>
        <v>4519310507</v>
      </c>
      <c r="AA43" s="177">
        <f>SUMIFS('6.Reportes de Pagos'!I:I,'6.Reportes de Pagos'!H:H,"&lt;="&amp;(EOMONTH(FECHA,-1)),'6.Reportes de Pagos'!D:D,$P43)</f>
        <v>0</v>
      </c>
      <c r="AB43" s="177">
        <f>SUMIFS('6.Reportes de Pagos'!J:J,'6.Reportes de Pagos'!H:H,"&lt;="&amp;(EOMONTH(FECHA,-1)),'6.Reportes de Pagos'!D:D,$P43)</f>
        <v>0</v>
      </c>
      <c r="AC43" s="178">
        <v>0</v>
      </c>
      <c r="AD43" s="179">
        <f>SUMIFS('6.Reportes de Pagos'!I:I,'6.Reportes de Pagos'!H:H,"&gt;"&amp;(EOMONTH(FECHA,-1)),'6.Reportes de Pagos'!H:H,"&lt;="&amp;(EOMONTH(FECHA,0)),'6.Reportes de Pagos'!D:D,$P43)</f>
        <v>0</v>
      </c>
      <c r="AE43" s="179">
        <f>SUMIFS('6.Reportes de Pagos'!J:J,'6.Reportes de Pagos'!H:H,"&gt;"&amp;(EOMONTH(FECHA,-1)),'6.Reportes de Pagos'!H:H,"&lt;="&amp;(EOMONTH(FECHA,0)),'6.Reportes de Pagos'!D:D,$P43)</f>
        <v>0</v>
      </c>
      <c r="AF43" s="179">
        <v>0</v>
      </c>
      <c r="AG43" s="177">
        <f>SUMIFS('6.Reportes de Pagos'!I:I,'6.Reportes de Pagos'!H:H,"&lt;="&amp;(EOMONTH(FECHA,0)),'6.Reportes de Pagos'!D:D,$P43)</f>
        <v>0</v>
      </c>
      <c r="AH43" s="177">
        <f>SUMIFS('6.Reportes de Pagos'!J:J,'6.Reportes de Pagos'!H:H,"&lt;="&amp;(EOMONTH(FECHA,0)),'6.Reportes de Pagos'!D:D,$P43)</f>
        <v>0</v>
      </c>
      <c r="AI43" s="177">
        <f t="shared" si="6"/>
        <v>0</v>
      </c>
      <c r="AJ43" s="177"/>
      <c r="AK43" s="180">
        <f t="shared" si="7"/>
        <v>4519310507</v>
      </c>
      <c r="AL43" s="182">
        <f t="shared" si="8"/>
        <v>0</v>
      </c>
      <c r="AM43" s="210" t="s">
        <v>1218</v>
      </c>
    </row>
    <row r="44" spans="1:39" s="204" customFormat="1" ht="105" x14ac:dyDescent="0.25">
      <c r="A44" s="115">
        <f t="shared" si="5"/>
        <v>37</v>
      </c>
      <c r="B44" s="116" t="s">
        <v>51</v>
      </c>
      <c r="C44" s="90">
        <v>87123</v>
      </c>
      <c r="D44" s="117" t="s">
        <v>90</v>
      </c>
      <c r="E44" s="118">
        <v>2023</v>
      </c>
      <c r="F44" s="119">
        <v>42</v>
      </c>
      <c r="G44" s="120">
        <v>45254</v>
      </c>
      <c r="H44" s="215">
        <v>270974730</v>
      </c>
      <c r="I44" s="119" t="s">
        <v>141</v>
      </c>
      <c r="J44" s="76" t="s">
        <v>232</v>
      </c>
      <c r="K44" s="83" t="s">
        <v>233</v>
      </c>
      <c r="L44" s="119" t="s">
        <v>228</v>
      </c>
      <c r="M44" s="119">
        <v>16</v>
      </c>
      <c r="N44" s="119">
        <v>14</v>
      </c>
      <c r="O44" s="119" t="s">
        <v>1164</v>
      </c>
      <c r="P44" s="144" t="s">
        <v>941</v>
      </c>
      <c r="Q44" s="122">
        <v>45709</v>
      </c>
      <c r="R44" s="120" t="s">
        <v>131</v>
      </c>
      <c r="S44" s="115" t="s">
        <v>127</v>
      </c>
      <c r="T44" s="123" t="s">
        <v>940</v>
      </c>
      <c r="U44" s="119">
        <v>901901934</v>
      </c>
      <c r="V44" s="175">
        <v>255044125</v>
      </c>
      <c r="W44" s="175">
        <f t="shared" si="9"/>
        <v>15930605</v>
      </c>
      <c r="X44" s="175"/>
      <c r="Y44" s="175"/>
      <c r="Z44" s="176">
        <f t="shared" si="10"/>
        <v>255044125</v>
      </c>
      <c r="AA44" s="177">
        <f>SUMIFS('6.Reportes de Pagos'!I:I,'6.Reportes de Pagos'!H:H,"&lt;="&amp;(EOMONTH(FECHA,-1)),'6.Reportes de Pagos'!D:D,$P44)</f>
        <v>0</v>
      </c>
      <c r="AB44" s="177">
        <f>SUMIFS('6.Reportes de Pagos'!J:J,'6.Reportes de Pagos'!H:H,"&lt;="&amp;(EOMONTH(FECHA,-1)),'6.Reportes de Pagos'!D:D,$P44)</f>
        <v>0</v>
      </c>
      <c r="AC44" s="178">
        <v>0</v>
      </c>
      <c r="AD44" s="179">
        <f>SUMIFS('6.Reportes de Pagos'!I:I,'6.Reportes de Pagos'!H:H,"&gt;"&amp;(EOMONTH(FECHA,-1)),'6.Reportes de Pagos'!H:H,"&lt;="&amp;(EOMONTH(FECHA,0)),'6.Reportes de Pagos'!D:D,$P44)</f>
        <v>0</v>
      </c>
      <c r="AE44" s="179">
        <f>SUMIFS('6.Reportes de Pagos'!J:J,'6.Reportes de Pagos'!H:H,"&gt;"&amp;(EOMONTH(FECHA,-1)),'6.Reportes de Pagos'!H:H,"&lt;="&amp;(EOMONTH(FECHA,0)),'6.Reportes de Pagos'!D:D,$P44)</f>
        <v>0</v>
      </c>
      <c r="AF44" s="179">
        <v>0</v>
      </c>
      <c r="AG44" s="177">
        <f>SUMIFS('6.Reportes de Pagos'!I:I,'6.Reportes de Pagos'!H:H,"&lt;="&amp;(EOMONTH(FECHA,0)),'6.Reportes de Pagos'!D:D,$P44)</f>
        <v>0</v>
      </c>
      <c r="AH44" s="177">
        <f>SUMIFS('6.Reportes de Pagos'!J:J,'6.Reportes de Pagos'!H:H,"&lt;="&amp;(EOMONTH(FECHA,0)),'6.Reportes de Pagos'!D:D,$P44)</f>
        <v>0</v>
      </c>
      <c r="AI44" s="177">
        <f t="shared" si="6"/>
        <v>0</v>
      </c>
      <c r="AJ44" s="177"/>
      <c r="AK44" s="180">
        <f t="shared" si="7"/>
        <v>255044125</v>
      </c>
      <c r="AL44" s="182">
        <f t="shared" si="8"/>
        <v>0</v>
      </c>
      <c r="AM44" s="210" t="s">
        <v>1218</v>
      </c>
    </row>
    <row r="45" spans="1:39" s="204" customFormat="1" ht="105" x14ac:dyDescent="0.25">
      <c r="A45" s="115">
        <f t="shared" si="5"/>
        <v>38</v>
      </c>
      <c r="B45" s="116" t="s">
        <v>51</v>
      </c>
      <c r="C45" s="90">
        <v>87123</v>
      </c>
      <c r="D45" s="117" t="s">
        <v>90</v>
      </c>
      <c r="E45" s="118">
        <v>2023</v>
      </c>
      <c r="F45" s="119">
        <v>32</v>
      </c>
      <c r="G45" s="120">
        <v>45237</v>
      </c>
      <c r="H45" s="215">
        <v>257098070</v>
      </c>
      <c r="I45" s="119" t="s">
        <v>141</v>
      </c>
      <c r="J45" s="76" t="s">
        <v>234</v>
      </c>
      <c r="K45" s="83" t="s">
        <v>235</v>
      </c>
      <c r="L45" s="119" t="s">
        <v>228</v>
      </c>
      <c r="M45" s="119">
        <v>17</v>
      </c>
      <c r="N45" s="119">
        <v>14</v>
      </c>
      <c r="O45" s="119" t="s">
        <v>1165</v>
      </c>
      <c r="P45" s="144" t="s">
        <v>840</v>
      </c>
      <c r="Q45" s="122">
        <v>45629</v>
      </c>
      <c r="R45" s="120" t="s">
        <v>131</v>
      </c>
      <c r="S45" s="115" t="s">
        <v>127</v>
      </c>
      <c r="T45" s="123" t="s">
        <v>841</v>
      </c>
      <c r="U45" s="119">
        <v>900768458</v>
      </c>
      <c r="V45" s="175">
        <v>241983275</v>
      </c>
      <c r="W45" s="175">
        <f t="shared" si="9"/>
        <v>15114795</v>
      </c>
      <c r="X45" s="175"/>
      <c r="Y45" s="175"/>
      <c r="Z45" s="176">
        <f t="shared" si="10"/>
        <v>241983275</v>
      </c>
      <c r="AA45" s="177">
        <f>SUMIFS('6.Reportes de Pagos'!I:I,'6.Reportes de Pagos'!H:H,"&lt;="&amp;(EOMONTH(FECHA,-1)),'6.Reportes de Pagos'!D:D,$P45)</f>
        <v>0</v>
      </c>
      <c r="AB45" s="177">
        <f>SUMIFS('6.Reportes de Pagos'!J:J,'6.Reportes de Pagos'!H:H,"&lt;="&amp;(EOMONTH(FECHA,-1)),'6.Reportes de Pagos'!D:D,$P45)</f>
        <v>0</v>
      </c>
      <c r="AC45" s="178">
        <v>0</v>
      </c>
      <c r="AD45" s="179">
        <f>SUMIFS('6.Reportes de Pagos'!I:I,'6.Reportes de Pagos'!H:H,"&gt;"&amp;(EOMONTH(FECHA,-1)),'6.Reportes de Pagos'!H:H,"&lt;="&amp;(EOMONTH(FECHA,0)),'6.Reportes de Pagos'!D:D,$P45)</f>
        <v>0</v>
      </c>
      <c r="AE45" s="179">
        <f>SUMIFS('6.Reportes de Pagos'!J:J,'6.Reportes de Pagos'!H:H,"&gt;"&amp;(EOMONTH(FECHA,-1)),'6.Reportes de Pagos'!H:H,"&lt;="&amp;(EOMONTH(FECHA,0)),'6.Reportes de Pagos'!D:D,$P45)</f>
        <v>0</v>
      </c>
      <c r="AF45" s="179">
        <v>0</v>
      </c>
      <c r="AG45" s="177">
        <f>SUMIFS('6.Reportes de Pagos'!I:I,'6.Reportes de Pagos'!H:H,"&lt;="&amp;(EOMONTH(FECHA,0)),'6.Reportes de Pagos'!D:D,$P45)</f>
        <v>0</v>
      </c>
      <c r="AH45" s="177">
        <f>SUMIFS('6.Reportes de Pagos'!J:J,'6.Reportes de Pagos'!H:H,"&lt;="&amp;(EOMONTH(FECHA,0)),'6.Reportes de Pagos'!D:D,$P45)</f>
        <v>0</v>
      </c>
      <c r="AI45" s="177">
        <f t="shared" si="6"/>
        <v>0</v>
      </c>
      <c r="AJ45" s="177"/>
      <c r="AK45" s="180">
        <f t="shared" si="7"/>
        <v>241983275</v>
      </c>
      <c r="AL45" s="208">
        <f t="shared" si="8"/>
        <v>0</v>
      </c>
      <c r="AM45" s="210" t="s">
        <v>1218</v>
      </c>
    </row>
    <row r="46" spans="1:39" s="204" customFormat="1" ht="75" x14ac:dyDescent="0.25">
      <c r="A46" s="115">
        <f t="shared" si="5"/>
        <v>39</v>
      </c>
      <c r="B46" s="116" t="s">
        <v>51</v>
      </c>
      <c r="C46" s="90">
        <v>87123</v>
      </c>
      <c r="D46" s="117" t="s">
        <v>90</v>
      </c>
      <c r="E46" s="118">
        <v>2023</v>
      </c>
      <c r="F46" s="119">
        <v>156</v>
      </c>
      <c r="G46" s="120">
        <v>45553</v>
      </c>
      <c r="H46" s="215">
        <v>5417938774</v>
      </c>
      <c r="I46" s="119" t="s">
        <v>141</v>
      </c>
      <c r="J46" s="76" t="s">
        <v>236</v>
      </c>
      <c r="K46" s="83" t="s">
        <v>237</v>
      </c>
      <c r="L46" s="119" t="s">
        <v>228</v>
      </c>
      <c r="M46" s="119">
        <v>17</v>
      </c>
      <c r="N46" s="119">
        <v>14</v>
      </c>
      <c r="O46" s="119" t="s">
        <v>1166</v>
      </c>
      <c r="P46" s="144" t="s">
        <v>842</v>
      </c>
      <c r="Q46" s="122">
        <v>45656</v>
      </c>
      <c r="R46" s="120" t="s">
        <v>126</v>
      </c>
      <c r="S46" s="115" t="s">
        <v>127</v>
      </c>
      <c r="T46" s="123" t="s">
        <v>843</v>
      </c>
      <c r="U46" s="119">
        <v>901894318</v>
      </c>
      <c r="V46" s="175">
        <v>5401660624</v>
      </c>
      <c r="W46" s="175">
        <f t="shared" si="9"/>
        <v>16278150</v>
      </c>
      <c r="X46" s="175"/>
      <c r="Y46" s="175"/>
      <c r="Z46" s="176">
        <f t="shared" si="10"/>
        <v>5401660624</v>
      </c>
      <c r="AA46" s="177">
        <f>SUMIFS('6.Reportes de Pagos'!I:I,'6.Reportes de Pagos'!H:H,"&lt;="&amp;(EOMONTH(FECHA,-1)),'6.Reportes de Pagos'!D:D,$P46)</f>
        <v>0</v>
      </c>
      <c r="AB46" s="177">
        <f>SUMIFS('6.Reportes de Pagos'!J:J,'6.Reportes de Pagos'!H:H,"&lt;="&amp;(EOMONTH(FECHA,-1)),'6.Reportes de Pagos'!D:D,$P46)</f>
        <v>0</v>
      </c>
      <c r="AC46" s="178">
        <v>0</v>
      </c>
      <c r="AD46" s="179">
        <f>SUMIFS('6.Reportes de Pagos'!I:I,'6.Reportes de Pagos'!H:H,"&gt;"&amp;(EOMONTH(FECHA,-1)),'6.Reportes de Pagos'!H:H,"&lt;="&amp;(EOMONTH(FECHA,0)),'6.Reportes de Pagos'!D:D,$P46)</f>
        <v>0</v>
      </c>
      <c r="AE46" s="179">
        <f>SUMIFS('6.Reportes de Pagos'!J:J,'6.Reportes de Pagos'!H:H,"&gt;"&amp;(EOMONTH(FECHA,-1)),'6.Reportes de Pagos'!H:H,"&lt;="&amp;(EOMONTH(FECHA,0)),'6.Reportes de Pagos'!D:D,$P46)</f>
        <v>0</v>
      </c>
      <c r="AF46" s="179">
        <v>0</v>
      </c>
      <c r="AG46" s="177">
        <f>SUMIFS('6.Reportes de Pagos'!I:I,'6.Reportes de Pagos'!H:H,"&lt;="&amp;(EOMONTH(FECHA,0)),'6.Reportes de Pagos'!D:D,$P46)</f>
        <v>0</v>
      </c>
      <c r="AH46" s="177">
        <f>SUMIFS('6.Reportes de Pagos'!J:J,'6.Reportes de Pagos'!H:H,"&lt;="&amp;(EOMONTH(FECHA,0)),'6.Reportes de Pagos'!D:D,$P46)</f>
        <v>0</v>
      </c>
      <c r="AI46" s="177">
        <f t="shared" si="6"/>
        <v>0</v>
      </c>
      <c r="AJ46" s="177"/>
      <c r="AK46" s="180">
        <f t="shared" si="7"/>
        <v>5401660624</v>
      </c>
      <c r="AL46" s="208">
        <f t="shared" si="8"/>
        <v>0</v>
      </c>
      <c r="AM46" s="210" t="s">
        <v>1218</v>
      </c>
    </row>
    <row r="47" spans="1:39" s="204" customFormat="1" ht="90" x14ac:dyDescent="0.25">
      <c r="A47" s="115">
        <f t="shared" si="5"/>
        <v>40</v>
      </c>
      <c r="B47" s="116" t="s">
        <v>51</v>
      </c>
      <c r="C47" s="90">
        <v>87123</v>
      </c>
      <c r="D47" s="117" t="s">
        <v>90</v>
      </c>
      <c r="E47" s="118">
        <v>2023</v>
      </c>
      <c r="F47" s="119">
        <v>37</v>
      </c>
      <c r="G47" s="120">
        <v>45244</v>
      </c>
      <c r="H47" s="215">
        <v>4898926260</v>
      </c>
      <c r="I47" s="119" t="s">
        <v>141</v>
      </c>
      <c r="J47" s="76" t="s">
        <v>238</v>
      </c>
      <c r="K47" s="83" t="s">
        <v>239</v>
      </c>
      <c r="L47" s="119" t="s">
        <v>240</v>
      </c>
      <c r="M47" s="119">
        <v>19</v>
      </c>
      <c r="N47" s="119">
        <v>12</v>
      </c>
      <c r="O47" s="119" t="s">
        <v>1167</v>
      </c>
      <c r="P47" s="144" t="s">
        <v>241</v>
      </c>
      <c r="Q47" s="122">
        <v>45391</v>
      </c>
      <c r="R47" s="120" t="s">
        <v>126</v>
      </c>
      <c r="S47" s="115" t="s">
        <v>127</v>
      </c>
      <c r="T47" s="123" t="s">
        <v>219</v>
      </c>
      <c r="U47" s="119">
        <v>900084333</v>
      </c>
      <c r="V47" s="175">
        <v>4891188448</v>
      </c>
      <c r="W47" s="175">
        <f t="shared" si="9"/>
        <v>7737812</v>
      </c>
      <c r="X47" s="175"/>
      <c r="Y47" s="175">
        <f>80000000+84991547+30000000</f>
        <v>194991547</v>
      </c>
      <c r="Z47" s="176">
        <f t="shared" si="10"/>
        <v>4891188448</v>
      </c>
      <c r="AA47" s="177">
        <f>SUMIFS('6.Reportes de Pagos'!I:I,'6.Reportes de Pagos'!H:H,"&lt;="&amp;(EOMONTH(FECHA,-1)),'6.Reportes de Pagos'!D:D,$P47)</f>
        <v>3238125691.6999998</v>
      </c>
      <c r="AB47" s="177">
        <f>SUMIFS('6.Reportes de Pagos'!J:J,'6.Reportes de Pagos'!H:H,"&lt;="&amp;(EOMONTH(FECHA,-1)),'6.Reportes de Pagos'!D:D,$P47)</f>
        <v>249621850.37</v>
      </c>
      <c r="AC47" s="178">
        <v>0</v>
      </c>
      <c r="AD47" s="179">
        <f>SUMIFS('6.Reportes de Pagos'!I:I,'6.Reportes de Pagos'!H:H,"&gt;"&amp;(EOMONTH(FECHA,-1)),'6.Reportes de Pagos'!H:H,"&lt;="&amp;(EOMONTH(FECHA,0)),'6.Reportes de Pagos'!D:D,$P47)</f>
        <v>755692129.62</v>
      </c>
      <c r="AE47" s="179">
        <f>SUMIFS('6.Reportes de Pagos'!J:J,'6.Reportes de Pagos'!H:H,"&gt;"&amp;(EOMONTH(FECHA,-1)),'6.Reportes de Pagos'!H:H,"&lt;="&amp;(EOMONTH(FECHA,0)),'6.Reportes de Pagos'!D:D,$P47)</f>
        <v>75569212.959999993</v>
      </c>
      <c r="AF47" s="179">
        <v>0</v>
      </c>
      <c r="AG47" s="177">
        <f>SUMIFS('6.Reportes de Pagos'!I:I,'6.Reportes de Pagos'!H:H,"&lt;="&amp;(EOMONTH(FECHA,0)),'6.Reportes de Pagos'!D:D,$P47)</f>
        <v>3993817821.3199997</v>
      </c>
      <c r="AH47" s="177">
        <f>SUMIFS('6.Reportes de Pagos'!J:J,'6.Reportes de Pagos'!H:H,"&lt;="&amp;(EOMONTH(FECHA,0)),'6.Reportes de Pagos'!D:D,$P47)</f>
        <v>325191063.32999998</v>
      </c>
      <c r="AI47" s="177">
        <f t="shared" si="6"/>
        <v>0</v>
      </c>
      <c r="AJ47" s="177"/>
      <c r="AK47" s="180">
        <f t="shared" si="7"/>
        <v>1222561690.0100002</v>
      </c>
      <c r="AL47" s="208">
        <f t="shared" si="8"/>
        <v>0.75004813185844355</v>
      </c>
      <c r="AM47" s="210" t="s">
        <v>1218</v>
      </c>
    </row>
    <row r="48" spans="1:39" s="204" customFormat="1" ht="90" x14ac:dyDescent="0.25">
      <c r="A48" s="115">
        <f t="shared" si="5"/>
        <v>41</v>
      </c>
      <c r="B48" s="116" t="s">
        <v>51</v>
      </c>
      <c r="C48" s="90">
        <v>87123</v>
      </c>
      <c r="D48" s="117" t="s">
        <v>90</v>
      </c>
      <c r="E48" s="118">
        <v>2023</v>
      </c>
      <c r="F48" s="119">
        <v>38</v>
      </c>
      <c r="G48" s="120">
        <v>45244</v>
      </c>
      <c r="H48" s="215">
        <v>238217310</v>
      </c>
      <c r="I48" s="119" t="s">
        <v>141</v>
      </c>
      <c r="J48" s="76" t="s">
        <v>238</v>
      </c>
      <c r="K48" s="83" t="s">
        <v>239</v>
      </c>
      <c r="L48" s="119" t="s">
        <v>240</v>
      </c>
      <c r="M48" s="119">
        <v>19</v>
      </c>
      <c r="N48" s="119">
        <v>12</v>
      </c>
      <c r="O48" s="119" t="s">
        <v>1168</v>
      </c>
      <c r="P48" s="144" t="s">
        <v>242</v>
      </c>
      <c r="Q48" s="122">
        <v>45391</v>
      </c>
      <c r="R48" s="120" t="s">
        <v>131</v>
      </c>
      <c r="S48" s="115" t="s">
        <v>127</v>
      </c>
      <c r="T48" s="123" t="s">
        <v>243</v>
      </c>
      <c r="U48" s="119">
        <v>901800251</v>
      </c>
      <c r="V48" s="175">
        <v>220247265</v>
      </c>
      <c r="W48" s="175">
        <f t="shared" si="9"/>
        <v>17970045</v>
      </c>
      <c r="X48" s="175">
        <f>80000000+84991547+30000000</f>
        <v>194991547</v>
      </c>
      <c r="Y48" s="175"/>
      <c r="Z48" s="176">
        <f t="shared" si="10"/>
        <v>415238812</v>
      </c>
      <c r="AA48" s="177">
        <f>SUMIFS('6.Reportes de Pagos'!I:I,'6.Reportes de Pagos'!H:H,"&lt;="&amp;(EOMONTH(FECHA,-1)),'6.Reportes de Pagos'!D:D,$P48)</f>
        <v>183099559.38</v>
      </c>
      <c r="AB48" s="177">
        <f>SUMIFS('6.Reportes de Pagos'!J:J,'6.Reportes de Pagos'!H:H,"&lt;="&amp;(EOMONTH(FECHA,-1)),'6.Reportes de Pagos'!D:D,$P48)</f>
        <v>18309955.949999999</v>
      </c>
      <c r="AC48" s="178">
        <v>0</v>
      </c>
      <c r="AD48" s="179">
        <f>SUMIFS('6.Reportes de Pagos'!I:I,'6.Reportes de Pagos'!H:H,"&gt;"&amp;(EOMONTH(FECHA,-1)),'6.Reportes de Pagos'!H:H,"&lt;="&amp;(EOMONTH(FECHA,0)),'6.Reportes de Pagos'!D:D,$P48)</f>
        <v>55550821.109999999</v>
      </c>
      <c r="AE48" s="179">
        <f>SUMIFS('6.Reportes de Pagos'!J:J,'6.Reportes de Pagos'!H:H,"&gt;"&amp;(EOMONTH(FECHA,-1)),'6.Reportes de Pagos'!H:H,"&lt;="&amp;(EOMONTH(FECHA,0)),'6.Reportes de Pagos'!D:D,$P48)</f>
        <v>5555082.1100000003</v>
      </c>
      <c r="AF48" s="179">
        <v>0</v>
      </c>
      <c r="AG48" s="177">
        <f>SUMIFS('6.Reportes de Pagos'!I:I,'6.Reportes de Pagos'!H:H,"&lt;="&amp;(EOMONTH(FECHA,0)),'6.Reportes de Pagos'!D:D,$P48)</f>
        <v>238650380.49000001</v>
      </c>
      <c r="AH48" s="177">
        <f>SUMIFS('6.Reportes de Pagos'!J:J,'6.Reportes de Pagos'!H:H,"&lt;="&amp;(EOMONTH(FECHA,0)),'6.Reportes de Pagos'!D:D,$P48)</f>
        <v>23865038.059999999</v>
      </c>
      <c r="AI48" s="177">
        <f t="shared" si="6"/>
        <v>0</v>
      </c>
      <c r="AJ48" s="177"/>
      <c r="AK48" s="180">
        <f t="shared" si="7"/>
        <v>200453469.56999999</v>
      </c>
      <c r="AL48" s="208">
        <f t="shared" si="8"/>
        <v>0.51725738592566828</v>
      </c>
      <c r="AM48" s="210" t="s">
        <v>1218</v>
      </c>
    </row>
    <row r="49" spans="1:40" s="204" customFormat="1" ht="90" x14ac:dyDescent="0.25">
      <c r="A49" s="115">
        <f t="shared" si="5"/>
        <v>42</v>
      </c>
      <c r="B49" s="116" t="s">
        <v>51</v>
      </c>
      <c r="C49" s="90">
        <v>87123</v>
      </c>
      <c r="D49" s="117" t="s">
        <v>90</v>
      </c>
      <c r="E49" s="118">
        <v>2023</v>
      </c>
      <c r="F49" s="119" t="s">
        <v>1280</v>
      </c>
      <c r="G49" s="120" t="s">
        <v>1281</v>
      </c>
      <c r="H49" s="215">
        <f>7538962064+963436631.56+3853162459.03</f>
        <v>12355561154.59</v>
      </c>
      <c r="I49" s="119" t="s">
        <v>141</v>
      </c>
      <c r="J49" s="76" t="s">
        <v>244</v>
      </c>
      <c r="K49" s="83" t="s">
        <v>245</v>
      </c>
      <c r="L49" s="119" t="s">
        <v>246</v>
      </c>
      <c r="M49" s="119">
        <v>21</v>
      </c>
      <c r="N49" s="119">
        <v>19</v>
      </c>
      <c r="O49" s="119" t="s">
        <v>1169</v>
      </c>
      <c r="P49" s="144" t="s">
        <v>247</v>
      </c>
      <c r="Q49" s="122">
        <v>45331</v>
      </c>
      <c r="R49" s="120" t="s">
        <v>126</v>
      </c>
      <c r="S49" s="115" t="s">
        <v>127</v>
      </c>
      <c r="T49" s="123" t="s">
        <v>128</v>
      </c>
      <c r="U49" s="119">
        <v>900206662</v>
      </c>
      <c r="V49" s="175">
        <v>7471853501</v>
      </c>
      <c r="W49" s="175">
        <f>+H49-V49-963436631.56-3853162459.03</f>
        <v>67108563</v>
      </c>
      <c r="X49" s="175">
        <f>963436631.56+3853162459.03</f>
        <v>4816599090.5900002</v>
      </c>
      <c r="Y49" s="175"/>
      <c r="Z49" s="176">
        <f t="shared" si="10"/>
        <v>12288452591.59</v>
      </c>
      <c r="AA49" s="177">
        <f>SUMIFS('6.Reportes de Pagos'!I:I,'6.Reportes de Pagos'!H:H,"&lt;="&amp;(EOMONTH(FECHA,-1)),'6.Reportes de Pagos'!D:D,$P49)</f>
        <v>1490993600.52</v>
      </c>
      <c r="AB49" s="177">
        <f>SUMIFS('6.Reportes de Pagos'!J:J,'6.Reportes de Pagos'!H:H,"&lt;="&amp;(EOMONTH(FECHA,-1)),'6.Reportes de Pagos'!D:D,$P49)</f>
        <v>149099360.05000001</v>
      </c>
      <c r="AC49" s="178">
        <v>0</v>
      </c>
      <c r="AD49" s="179">
        <f>SUMIFS('6.Reportes de Pagos'!I:I,'6.Reportes de Pagos'!H:H,"&gt;"&amp;(EOMONTH(FECHA,-1)),'6.Reportes de Pagos'!H:H,"&lt;="&amp;(EOMONTH(FECHA,0)),'6.Reportes de Pagos'!D:D,$P49)</f>
        <v>0</v>
      </c>
      <c r="AE49" s="179">
        <f>SUMIFS('6.Reportes de Pagos'!J:J,'6.Reportes de Pagos'!H:H,"&gt;"&amp;(EOMONTH(FECHA,-1)),'6.Reportes de Pagos'!H:H,"&lt;="&amp;(EOMONTH(FECHA,0)),'6.Reportes de Pagos'!D:D,$P49)</f>
        <v>0</v>
      </c>
      <c r="AF49" s="179">
        <v>0</v>
      </c>
      <c r="AG49" s="177">
        <f>SUMIFS('6.Reportes de Pagos'!I:I,'6.Reportes de Pagos'!H:H,"&lt;="&amp;(EOMONTH(FECHA,0)),'6.Reportes de Pagos'!D:D,$P49)</f>
        <v>1490993600.52</v>
      </c>
      <c r="AH49" s="177">
        <f>SUMIFS('6.Reportes de Pagos'!J:J,'6.Reportes de Pagos'!H:H,"&lt;="&amp;(EOMONTH(FECHA,0)),'6.Reportes de Pagos'!D:D,$P49)</f>
        <v>149099360.05000001</v>
      </c>
      <c r="AI49" s="177">
        <f t="shared" si="6"/>
        <v>0</v>
      </c>
      <c r="AJ49" s="177"/>
      <c r="AK49" s="180">
        <f t="shared" si="7"/>
        <v>10946558351.120001</v>
      </c>
      <c r="AL49" s="208">
        <f t="shared" si="8"/>
        <v>0.10919961081091437</v>
      </c>
      <c r="AM49" s="210" t="s">
        <v>1218</v>
      </c>
    </row>
    <row r="50" spans="1:40" s="204" customFormat="1" ht="120" x14ac:dyDescent="0.25">
      <c r="A50" s="115">
        <f t="shared" si="5"/>
        <v>43</v>
      </c>
      <c r="B50" s="116" t="s">
        <v>51</v>
      </c>
      <c r="C50" s="90">
        <v>87123</v>
      </c>
      <c r="D50" s="117" t="s">
        <v>90</v>
      </c>
      <c r="E50" s="118">
        <v>2023</v>
      </c>
      <c r="F50" s="119" t="s">
        <v>1282</v>
      </c>
      <c r="G50" s="120" t="s">
        <v>1281</v>
      </c>
      <c r="H50" s="215">
        <f>349058920+96343663.16+126794535.5</f>
        <v>572197118.65999997</v>
      </c>
      <c r="I50" s="119" t="s">
        <v>141</v>
      </c>
      <c r="J50" s="76" t="s">
        <v>248</v>
      </c>
      <c r="K50" s="83" t="s">
        <v>245</v>
      </c>
      <c r="L50" s="119" t="s">
        <v>246</v>
      </c>
      <c r="M50" s="119">
        <v>21</v>
      </c>
      <c r="N50" s="119">
        <v>19</v>
      </c>
      <c r="O50" s="119" t="s">
        <v>1170</v>
      </c>
      <c r="P50" s="144" t="s">
        <v>249</v>
      </c>
      <c r="Q50" s="122">
        <v>45359</v>
      </c>
      <c r="R50" s="120" t="s">
        <v>131</v>
      </c>
      <c r="S50" s="115" t="s">
        <v>127</v>
      </c>
      <c r="T50" s="123" t="s">
        <v>250</v>
      </c>
      <c r="U50" s="119">
        <v>901804711</v>
      </c>
      <c r="V50" s="175">
        <v>327138021</v>
      </c>
      <c r="W50" s="175">
        <f>+H50-V50-96343663.16-126794535.5</f>
        <v>21920898.99999997</v>
      </c>
      <c r="X50" s="175">
        <f>96343663.16+126794535.5</f>
        <v>223138198.66</v>
      </c>
      <c r="Y50" s="175"/>
      <c r="Z50" s="176">
        <f t="shared" si="10"/>
        <v>550276219.65999997</v>
      </c>
      <c r="AA50" s="177">
        <f>SUMIFS('6.Reportes de Pagos'!I:I,'6.Reportes de Pagos'!H:H,"&lt;="&amp;(EOMONTH(FECHA,-1)),'6.Reportes de Pagos'!D:D,$P50)</f>
        <v>219721043.82999998</v>
      </c>
      <c r="AB50" s="177">
        <f>SUMIFS('6.Reportes de Pagos'!J:J,'6.Reportes de Pagos'!H:H,"&lt;="&amp;(EOMONTH(FECHA,-1)),'6.Reportes de Pagos'!D:D,$P50)</f>
        <v>21972104.380000003</v>
      </c>
      <c r="AC50" s="178">
        <v>0</v>
      </c>
      <c r="AD50" s="179">
        <f>SUMIFS('6.Reportes de Pagos'!I:I,'6.Reportes de Pagos'!H:H,"&gt;"&amp;(EOMONTH(FECHA,-1)),'6.Reportes de Pagos'!H:H,"&lt;="&amp;(EOMONTH(FECHA,0)),'6.Reportes de Pagos'!D:D,$P50)</f>
        <v>28018424.07</v>
      </c>
      <c r="AE50" s="179">
        <f>SUMIFS('6.Reportes de Pagos'!J:J,'6.Reportes de Pagos'!H:H,"&gt;"&amp;(EOMONTH(FECHA,-1)),'6.Reportes de Pagos'!H:H,"&lt;="&amp;(EOMONTH(FECHA,0)),'6.Reportes de Pagos'!D:D,$P50)</f>
        <v>2801842.41</v>
      </c>
      <c r="AF50" s="179">
        <v>0</v>
      </c>
      <c r="AG50" s="177">
        <f>SUMIFS('6.Reportes de Pagos'!I:I,'6.Reportes de Pagos'!H:H,"&lt;="&amp;(EOMONTH(FECHA,0)),'6.Reportes de Pagos'!D:D,$P50)</f>
        <v>247739467.89999998</v>
      </c>
      <c r="AH50" s="177">
        <f>SUMIFS('6.Reportes de Pagos'!J:J,'6.Reportes de Pagos'!H:H,"&lt;="&amp;(EOMONTH(FECHA,0)),'6.Reportes de Pagos'!D:D,$P50)</f>
        <v>24773946.790000003</v>
      </c>
      <c r="AI50" s="177">
        <f t="shared" si="6"/>
        <v>0</v>
      </c>
      <c r="AJ50" s="177"/>
      <c r="AK50" s="180">
        <f t="shared" si="7"/>
        <v>327310698.54999995</v>
      </c>
      <c r="AL50" s="208">
        <f t="shared" si="8"/>
        <v>0.40518836385072943</v>
      </c>
      <c r="AM50" s="210" t="s">
        <v>1218</v>
      </c>
    </row>
    <row r="51" spans="1:40" s="204" customFormat="1" ht="90" x14ac:dyDescent="0.25">
      <c r="A51" s="115">
        <f t="shared" si="5"/>
        <v>44</v>
      </c>
      <c r="B51" s="116" t="s">
        <v>51</v>
      </c>
      <c r="C51" s="90">
        <v>87123</v>
      </c>
      <c r="D51" s="117" t="s">
        <v>90</v>
      </c>
      <c r="E51" s="118">
        <v>2023</v>
      </c>
      <c r="F51" s="119" t="s">
        <v>561</v>
      </c>
      <c r="G51" s="120" t="s">
        <v>562</v>
      </c>
      <c r="H51" s="215">
        <f>3374010009+163832817</f>
        <v>3537842826</v>
      </c>
      <c r="I51" s="119" t="s">
        <v>141</v>
      </c>
      <c r="J51" s="76" t="s">
        <v>251</v>
      </c>
      <c r="K51" s="83" t="s">
        <v>252</v>
      </c>
      <c r="L51" s="119" t="s">
        <v>246</v>
      </c>
      <c r="M51" s="119">
        <v>22</v>
      </c>
      <c r="N51" s="119">
        <v>6</v>
      </c>
      <c r="O51" s="119" t="s">
        <v>1171</v>
      </c>
      <c r="P51" s="144" t="s">
        <v>253</v>
      </c>
      <c r="Q51" s="122">
        <v>45341</v>
      </c>
      <c r="R51" s="120" t="s">
        <v>126</v>
      </c>
      <c r="S51" s="115" t="s">
        <v>127</v>
      </c>
      <c r="T51" s="123" t="s">
        <v>254</v>
      </c>
      <c r="U51" s="119">
        <v>901792473</v>
      </c>
      <c r="V51" s="175">
        <v>3247020029</v>
      </c>
      <c r="W51" s="175">
        <f>+H51-V51-X51-126989980</f>
        <v>0</v>
      </c>
      <c r="X51" s="175">
        <f>163832817</f>
        <v>163832817</v>
      </c>
      <c r="Y51" s="175">
        <v>18000000</v>
      </c>
      <c r="Z51" s="176">
        <f>+V51+X51</f>
        <v>3410852846</v>
      </c>
      <c r="AA51" s="177">
        <f>SUMIFS('6.Reportes de Pagos'!I:I,'6.Reportes de Pagos'!H:H,"&lt;="&amp;(EOMONTH(FECHA,-1)),'6.Reportes de Pagos'!D:D,$P51)</f>
        <v>3410852846</v>
      </c>
      <c r="AB51" s="177">
        <f>SUMIFS('6.Reportes de Pagos'!J:J,'6.Reportes de Pagos'!H:H,"&lt;="&amp;(EOMONTH(FECHA,-1)),'6.Reportes de Pagos'!D:D,$P51)</f>
        <v>341085284.59999996</v>
      </c>
      <c r="AC51" s="178">
        <v>0</v>
      </c>
      <c r="AD51" s="179">
        <f>SUMIFS('6.Reportes de Pagos'!I:I,'6.Reportes de Pagos'!H:H,"&gt;"&amp;(EOMONTH(FECHA,-1)),'6.Reportes de Pagos'!H:H,"&lt;="&amp;(EOMONTH(FECHA,0)),'6.Reportes de Pagos'!D:D,$P51)</f>
        <v>0</v>
      </c>
      <c r="AE51" s="179">
        <f>SUMIFS('6.Reportes de Pagos'!J:J,'6.Reportes de Pagos'!H:H,"&gt;"&amp;(EOMONTH(FECHA,-1)),'6.Reportes de Pagos'!H:H,"&lt;="&amp;(EOMONTH(FECHA,0)),'6.Reportes de Pagos'!D:D,$P51)</f>
        <v>-341085284.60000002</v>
      </c>
      <c r="AF51" s="179">
        <v>0</v>
      </c>
      <c r="AG51" s="177">
        <f>SUMIFS('6.Reportes de Pagos'!I:I,'6.Reportes de Pagos'!H:H,"&lt;="&amp;(EOMONTH(FECHA,0)),'6.Reportes de Pagos'!D:D,$P51)</f>
        <v>3410852846</v>
      </c>
      <c r="AH51" s="177">
        <f>SUMIFS('6.Reportes de Pagos'!J:J,'6.Reportes de Pagos'!H:H,"&lt;="&amp;(EOMONTH(FECHA,0)),'6.Reportes de Pagos'!D:D,$P51)</f>
        <v>-5.9604644775390625E-8</v>
      </c>
      <c r="AI51" s="177">
        <f t="shared" si="6"/>
        <v>0</v>
      </c>
      <c r="AJ51" s="177"/>
      <c r="AK51" s="180">
        <f t="shared" si="7"/>
        <v>0</v>
      </c>
      <c r="AL51" s="208">
        <f t="shared" si="8"/>
        <v>1</v>
      </c>
      <c r="AM51" s="210" t="s">
        <v>1331</v>
      </c>
    </row>
    <row r="52" spans="1:40" s="204" customFormat="1" ht="120" x14ac:dyDescent="0.25">
      <c r="A52" s="115">
        <f t="shared" si="5"/>
        <v>45</v>
      </c>
      <c r="B52" s="116" t="s">
        <v>51</v>
      </c>
      <c r="C52" s="90">
        <v>87123</v>
      </c>
      <c r="D52" s="117" t="s">
        <v>90</v>
      </c>
      <c r="E52" s="118">
        <v>2023</v>
      </c>
      <c r="F52" s="119" t="s">
        <v>563</v>
      </c>
      <c r="G52" s="120" t="s">
        <v>562</v>
      </c>
      <c r="H52" s="215">
        <f>190122370+64742320</f>
        <v>254864690</v>
      </c>
      <c r="I52" s="119" t="s">
        <v>141</v>
      </c>
      <c r="J52" s="76" t="s">
        <v>255</v>
      </c>
      <c r="K52" s="83" t="s">
        <v>252</v>
      </c>
      <c r="L52" s="119" t="s">
        <v>246</v>
      </c>
      <c r="M52" s="119">
        <v>22</v>
      </c>
      <c r="N52" s="119">
        <v>6</v>
      </c>
      <c r="O52" s="119" t="s">
        <v>1172</v>
      </c>
      <c r="P52" s="144" t="s">
        <v>256</v>
      </c>
      <c r="Q52" s="122">
        <v>45327</v>
      </c>
      <c r="R52" s="120" t="s">
        <v>131</v>
      </c>
      <c r="S52" s="115" t="s">
        <v>127</v>
      </c>
      <c r="T52" s="123" t="s">
        <v>257</v>
      </c>
      <c r="U52" s="119">
        <v>74184643</v>
      </c>
      <c r="V52" s="175">
        <v>171110133</v>
      </c>
      <c r="W52" s="175">
        <f>+H52-V52-64742320-19012237</f>
        <v>0</v>
      </c>
      <c r="X52" s="175">
        <f>64742320+18000000</f>
        <v>82742320</v>
      </c>
      <c r="Y52" s="175"/>
      <c r="Z52" s="176">
        <f t="shared" si="10"/>
        <v>253852453</v>
      </c>
      <c r="AA52" s="177">
        <f>SUMIFS('6.Reportes de Pagos'!I:I,'6.Reportes de Pagos'!H:H,"&lt;="&amp;(EOMONTH(FECHA,-1)),'6.Reportes de Pagos'!D:D,$P52)</f>
        <v>230659607.70000005</v>
      </c>
      <c r="AB52" s="177">
        <f>SUMIFS('6.Reportes de Pagos'!J:J,'6.Reportes de Pagos'!H:H,"&lt;="&amp;(EOMONTH(FECHA,-1)),'6.Reportes de Pagos'!D:D,$P52)</f>
        <v>23065960.77</v>
      </c>
      <c r="AC52" s="178">
        <v>0</v>
      </c>
      <c r="AD52" s="179">
        <f>SUMIFS('6.Reportes de Pagos'!I:I,'6.Reportes de Pagos'!H:H,"&gt;"&amp;(EOMONTH(FECHA,-1)),'6.Reportes de Pagos'!H:H,"&lt;="&amp;(EOMONTH(FECHA,0)),'6.Reportes de Pagos'!D:D,$P52)</f>
        <v>0</v>
      </c>
      <c r="AE52" s="179">
        <f>SUMIFS('6.Reportes de Pagos'!J:J,'6.Reportes de Pagos'!H:H,"&gt;"&amp;(EOMONTH(FECHA,-1)),'6.Reportes de Pagos'!H:H,"&lt;="&amp;(EOMONTH(FECHA,0)),'6.Reportes de Pagos'!D:D,$P52)</f>
        <v>0</v>
      </c>
      <c r="AF52" s="179">
        <v>0</v>
      </c>
      <c r="AG52" s="177">
        <f>SUMIFS('6.Reportes de Pagos'!I:I,'6.Reportes de Pagos'!H:H,"&lt;="&amp;(EOMONTH(FECHA,0)),'6.Reportes de Pagos'!D:D,$P52)</f>
        <v>230659607.70000005</v>
      </c>
      <c r="AH52" s="177">
        <f>SUMIFS('6.Reportes de Pagos'!J:J,'6.Reportes de Pagos'!H:H,"&lt;="&amp;(EOMONTH(FECHA,0)),'6.Reportes de Pagos'!D:D,$P52)</f>
        <v>23065960.77</v>
      </c>
      <c r="AI52" s="177">
        <f t="shared" si="6"/>
        <v>0</v>
      </c>
      <c r="AJ52" s="177"/>
      <c r="AK52" s="180">
        <f t="shared" si="7"/>
        <v>46258806.069999963</v>
      </c>
      <c r="AL52" s="208">
        <f t="shared" si="8"/>
        <v>0.81777286166307028</v>
      </c>
      <c r="AM52" s="211" t="s">
        <v>1219</v>
      </c>
    </row>
    <row r="53" spans="1:40" s="204" customFormat="1" ht="75" x14ac:dyDescent="0.25">
      <c r="A53" s="115">
        <f t="shared" si="5"/>
        <v>46</v>
      </c>
      <c r="B53" s="116" t="s">
        <v>51</v>
      </c>
      <c r="C53" s="90">
        <v>87123</v>
      </c>
      <c r="D53" s="117" t="s">
        <v>90</v>
      </c>
      <c r="E53" s="118">
        <v>2023</v>
      </c>
      <c r="F53" s="119">
        <v>115</v>
      </c>
      <c r="G53" s="120">
        <v>45429</v>
      </c>
      <c r="H53" s="215">
        <v>5027044975</v>
      </c>
      <c r="I53" s="119" t="s">
        <v>141</v>
      </c>
      <c r="J53" s="76" t="s">
        <v>258</v>
      </c>
      <c r="K53" s="83" t="s">
        <v>259</v>
      </c>
      <c r="L53" s="119" t="s">
        <v>260</v>
      </c>
      <c r="M53" s="119">
        <v>24</v>
      </c>
      <c r="N53" s="119">
        <v>16</v>
      </c>
      <c r="O53" s="119" t="s">
        <v>1173</v>
      </c>
      <c r="P53" s="144" t="s">
        <v>498</v>
      </c>
      <c r="Q53" s="122">
        <v>45478</v>
      </c>
      <c r="R53" s="120" t="s">
        <v>126</v>
      </c>
      <c r="S53" s="115" t="s">
        <v>127</v>
      </c>
      <c r="T53" s="123" t="s">
        <v>499</v>
      </c>
      <c r="U53" s="119">
        <v>74795327</v>
      </c>
      <c r="V53" s="175">
        <v>4990202000</v>
      </c>
      <c r="W53" s="175">
        <f t="shared" si="9"/>
        <v>36842975</v>
      </c>
      <c r="X53" s="175"/>
      <c r="Y53" s="175">
        <f>60000000+90000000</f>
        <v>150000000</v>
      </c>
      <c r="Z53" s="176">
        <f>+V53+X53</f>
        <v>4990202000</v>
      </c>
      <c r="AA53" s="177">
        <f>SUMIFS('6.Reportes de Pagos'!I:I,'6.Reportes de Pagos'!H:H,"&lt;="&amp;(EOMONTH(FECHA,-1)),'6.Reportes de Pagos'!D:D,$P53)</f>
        <v>3650762556.9000001</v>
      </c>
      <c r="AB53" s="177">
        <f>SUMIFS('6.Reportes de Pagos'!J:J,'6.Reportes de Pagos'!H:H,"&lt;="&amp;(EOMONTH(FECHA,-1)),'6.Reportes de Pagos'!D:D,$P53)</f>
        <v>365076255.69</v>
      </c>
      <c r="AC53" s="178">
        <v>0</v>
      </c>
      <c r="AD53" s="179">
        <f>SUMIFS('6.Reportes de Pagos'!I:I,'6.Reportes de Pagos'!H:H,"&gt;"&amp;(EOMONTH(FECHA,-1)),'6.Reportes de Pagos'!H:H,"&lt;="&amp;(EOMONTH(FECHA,0)),'6.Reportes de Pagos'!D:D,$P53)</f>
        <v>0</v>
      </c>
      <c r="AE53" s="179">
        <f>SUMIFS('6.Reportes de Pagos'!J:J,'6.Reportes de Pagos'!H:H,"&gt;"&amp;(EOMONTH(FECHA,-1)),'6.Reportes de Pagos'!H:H,"&lt;="&amp;(EOMONTH(FECHA,0)),'6.Reportes de Pagos'!D:D,$P53)</f>
        <v>0</v>
      </c>
      <c r="AF53" s="179">
        <v>0</v>
      </c>
      <c r="AG53" s="177">
        <f>SUMIFS('6.Reportes de Pagos'!I:I,'6.Reportes de Pagos'!H:H,"&lt;="&amp;(EOMONTH(FECHA,0)),'6.Reportes de Pagos'!D:D,$P53)</f>
        <v>3650762556.9000001</v>
      </c>
      <c r="AH53" s="177">
        <f>SUMIFS('6.Reportes de Pagos'!J:J,'6.Reportes de Pagos'!H:H,"&lt;="&amp;(EOMONTH(FECHA,0)),'6.Reportes de Pagos'!D:D,$P53)</f>
        <v>365076255.69</v>
      </c>
      <c r="AI53" s="177">
        <f>+AC53+AF53</f>
        <v>0</v>
      </c>
      <c r="AJ53" s="177"/>
      <c r="AK53" s="180">
        <f>+Z53-(AG53-AH53)-AI53</f>
        <v>1704515698.79</v>
      </c>
      <c r="AL53" s="208">
        <f>IFERROR(((AG53-AH53+AI53)/Z53),0)</f>
        <v>0.65842751480000206</v>
      </c>
      <c r="AM53" s="210" t="s">
        <v>1218</v>
      </c>
    </row>
    <row r="54" spans="1:40" s="204" customFormat="1" ht="105" x14ac:dyDescent="0.25">
      <c r="A54" s="115">
        <f t="shared" si="5"/>
        <v>47</v>
      </c>
      <c r="B54" s="116" t="s">
        <v>51</v>
      </c>
      <c r="C54" s="90">
        <v>87123</v>
      </c>
      <c r="D54" s="117" t="s">
        <v>90</v>
      </c>
      <c r="E54" s="118">
        <v>2023</v>
      </c>
      <c r="F54" s="119">
        <v>36</v>
      </c>
      <c r="G54" s="120">
        <v>45239</v>
      </c>
      <c r="H54" s="215">
        <v>349269350</v>
      </c>
      <c r="I54" s="119" t="s">
        <v>141</v>
      </c>
      <c r="J54" s="76" t="s">
        <v>261</v>
      </c>
      <c r="K54" s="83" t="s">
        <v>262</v>
      </c>
      <c r="L54" s="119" t="s">
        <v>263</v>
      </c>
      <c r="M54" s="119">
        <v>24</v>
      </c>
      <c r="N54" s="119">
        <v>16</v>
      </c>
      <c r="O54" s="119" t="s">
        <v>1174</v>
      </c>
      <c r="P54" s="144" t="s">
        <v>500</v>
      </c>
      <c r="Q54" s="122">
        <v>45491</v>
      </c>
      <c r="R54" s="120" t="s">
        <v>131</v>
      </c>
      <c r="S54" s="115" t="s">
        <v>127</v>
      </c>
      <c r="T54" s="123" t="s">
        <v>501</v>
      </c>
      <c r="U54" s="119">
        <v>901840865</v>
      </c>
      <c r="V54" s="175">
        <v>329395922</v>
      </c>
      <c r="W54" s="175">
        <f t="shared" si="9"/>
        <v>19873428</v>
      </c>
      <c r="X54" s="175">
        <f>60000000+90000000</f>
        <v>150000000</v>
      </c>
      <c r="Y54" s="175"/>
      <c r="Z54" s="176">
        <f t="shared" si="10"/>
        <v>479395922</v>
      </c>
      <c r="AA54" s="177">
        <f>SUMIFS('6.Reportes de Pagos'!I:I,'6.Reportes de Pagos'!H:H,"&lt;="&amp;(EOMONTH(FECHA,-1)),'6.Reportes de Pagos'!D:D,$P54)</f>
        <v>340561474.90999997</v>
      </c>
      <c r="AB54" s="177">
        <f>SUMIFS('6.Reportes de Pagos'!J:J,'6.Reportes de Pagos'!H:H,"&lt;="&amp;(EOMONTH(FECHA,-1)),'6.Reportes de Pagos'!D:D,$P54)</f>
        <v>34056147.5</v>
      </c>
      <c r="AC54" s="178">
        <v>0</v>
      </c>
      <c r="AD54" s="179">
        <f>SUMIFS('6.Reportes de Pagos'!I:I,'6.Reportes de Pagos'!H:H,"&gt;"&amp;(EOMONTH(FECHA,-1)),'6.Reportes de Pagos'!H:H,"&lt;="&amp;(EOMONTH(FECHA,0)),'6.Reportes de Pagos'!D:D,$P54)</f>
        <v>0</v>
      </c>
      <c r="AE54" s="179">
        <f>SUMIFS('6.Reportes de Pagos'!J:J,'6.Reportes de Pagos'!H:H,"&gt;"&amp;(EOMONTH(FECHA,-1)),'6.Reportes de Pagos'!H:H,"&lt;="&amp;(EOMONTH(FECHA,0)),'6.Reportes de Pagos'!D:D,$P54)</f>
        <v>0</v>
      </c>
      <c r="AF54" s="179">
        <v>0</v>
      </c>
      <c r="AG54" s="177">
        <f>SUMIFS('6.Reportes de Pagos'!I:I,'6.Reportes de Pagos'!H:H,"&lt;="&amp;(EOMONTH(FECHA,0)),'6.Reportes de Pagos'!D:D,$P54)</f>
        <v>340561474.90999997</v>
      </c>
      <c r="AH54" s="177">
        <f>SUMIFS('6.Reportes de Pagos'!J:J,'6.Reportes de Pagos'!H:H,"&lt;="&amp;(EOMONTH(FECHA,0)),'6.Reportes de Pagos'!D:D,$P54)</f>
        <v>34056147.5</v>
      </c>
      <c r="AI54" s="177">
        <f t="shared" si="6"/>
        <v>0</v>
      </c>
      <c r="AJ54" s="177"/>
      <c r="AK54" s="180">
        <f t="shared" si="7"/>
        <v>172890594.59000003</v>
      </c>
      <c r="AL54" s="208">
        <f t="shared" si="8"/>
        <v>0.63935739405392766</v>
      </c>
      <c r="AM54" s="210" t="s">
        <v>1218</v>
      </c>
    </row>
    <row r="55" spans="1:40" s="204" customFormat="1" ht="105" x14ac:dyDescent="0.25">
      <c r="A55" s="115">
        <f t="shared" si="5"/>
        <v>48</v>
      </c>
      <c r="B55" s="116" t="s">
        <v>51</v>
      </c>
      <c r="C55" s="90">
        <v>87123</v>
      </c>
      <c r="D55" s="117" t="s">
        <v>90</v>
      </c>
      <c r="E55" s="118">
        <v>2023</v>
      </c>
      <c r="F55" s="119" t="s">
        <v>827</v>
      </c>
      <c r="G55" s="120" t="s">
        <v>828</v>
      </c>
      <c r="H55" s="215">
        <f>2738573296+285623418.2</f>
        <v>3024196714.1999998</v>
      </c>
      <c r="I55" s="119" t="s">
        <v>264</v>
      </c>
      <c r="J55" s="76" t="s">
        <v>265</v>
      </c>
      <c r="K55" s="83" t="s">
        <v>266</v>
      </c>
      <c r="L55" s="119" t="s">
        <v>267</v>
      </c>
      <c r="M55" s="119">
        <v>3</v>
      </c>
      <c r="N55" s="119">
        <v>7</v>
      </c>
      <c r="O55" s="119" t="s">
        <v>1175</v>
      </c>
      <c r="P55" s="144" t="s">
        <v>268</v>
      </c>
      <c r="Q55" s="122">
        <v>45407</v>
      </c>
      <c r="R55" s="120" t="s">
        <v>126</v>
      </c>
      <c r="S55" s="115" t="s">
        <v>127</v>
      </c>
      <c r="T55" s="123" t="s">
        <v>269</v>
      </c>
      <c r="U55" s="119">
        <v>12754374</v>
      </c>
      <c r="V55" s="175">
        <v>2637246083</v>
      </c>
      <c r="W55" s="175">
        <f>+H55-V55-285623418.2</f>
        <v>101327212.99999982</v>
      </c>
      <c r="X55" s="175">
        <v>285623418.19999999</v>
      </c>
      <c r="Y55" s="175"/>
      <c r="Z55" s="176">
        <f t="shared" si="10"/>
        <v>2922869501.1999998</v>
      </c>
      <c r="AA55" s="177">
        <f>SUMIFS('6.Reportes de Pagos'!I:I,'6.Reportes de Pagos'!H:H,"&lt;="&amp;(EOMONTH(FECHA,-1)),'6.Reportes de Pagos'!D:D,$P55)</f>
        <v>2294748331.7399998</v>
      </c>
      <c r="AB55" s="177">
        <f>SUMIFS('6.Reportes de Pagos'!J:J,'6.Reportes de Pagos'!H:H,"&lt;="&amp;(EOMONTH(FECHA,-1)),'6.Reportes de Pagos'!D:D,$P55)</f>
        <v>229474833.18000004</v>
      </c>
      <c r="AC55" s="178">
        <v>0</v>
      </c>
      <c r="AD55" s="179">
        <f>SUMIFS('6.Reportes de Pagos'!I:I,'6.Reportes de Pagos'!H:H,"&gt;"&amp;(EOMONTH(FECHA,-1)),'6.Reportes de Pagos'!H:H,"&lt;="&amp;(EOMONTH(FECHA,0)),'6.Reportes de Pagos'!D:D,$P55)</f>
        <v>0</v>
      </c>
      <c r="AE55" s="179">
        <f>SUMIFS('6.Reportes de Pagos'!J:J,'6.Reportes de Pagos'!H:H,"&gt;"&amp;(EOMONTH(FECHA,-1)),'6.Reportes de Pagos'!H:H,"&lt;="&amp;(EOMONTH(FECHA,0)),'6.Reportes de Pagos'!D:D,$P55)</f>
        <v>0</v>
      </c>
      <c r="AF55" s="179">
        <v>0</v>
      </c>
      <c r="AG55" s="177">
        <f>SUMIFS('6.Reportes de Pagos'!I:I,'6.Reportes de Pagos'!H:H,"&lt;="&amp;(EOMONTH(FECHA,0)),'6.Reportes de Pagos'!D:D,$P55)</f>
        <v>2294748331.7399998</v>
      </c>
      <c r="AH55" s="177">
        <f>SUMIFS('6.Reportes de Pagos'!J:J,'6.Reportes de Pagos'!H:H,"&lt;="&amp;(EOMONTH(FECHA,0)),'6.Reportes de Pagos'!D:D,$P55)</f>
        <v>229474833.18000004</v>
      </c>
      <c r="AI55" s="177">
        <f t="shared" si="6"/>
        <v>0</v>
      </c>
      <c r="AJ55" s="177"/>
      <c r="AK55" s="180">
        <f t="shared" si="7"/>
        <v>857596002.6400001</v>
      </c>
      <c r="AL55" s="208">
        <f t="shared" si="8"/>
        <v>0.70659107350228623</v>
      </c>
      <c r="AM55" s="210" t="s">
        <v>1218</v>
      </c>
    </row>
    <row r="56" spans="1:40" s="204" customFormat="1" ht="105" x14ac:dyDescent="0.25">
      <c r="A56" s="115">
        <f t="shared" si="5"/>
        <v>49</v>
      </c>
      <c r="B56" s="116" t="s">
        <v>51</v>
      </c>
      <c r="C56" s="90">
        <v>87123</v>
      </c>
      <c r="D56" s="117" t="s">
        <v>90</v>
      </c>
      <c r="E56" s="118">
        <v>2023</v>
      </c>
      <c r="F56" s="119" t="s">
        <v>1372</v>
      </c>
      <c r="G56" s="120" t="s">
        <v>1373</v>
      </c>
      <c r="H56" s="215">
        <f>572550210+83009616.95+86117980</f>
        <v>741677806.95000005</v>
      </c>
      <c r="I56" s="119" t="s">
        <v>264</v>
      </c>
      <c r="J56" s="76" t="s">
        <v>270</v>
      </c>
      <c r="K56" s="83" t="s">
        <v>266</v>
      </c>
      <c r="L56" s="119" t="s">
        <v>267</v>
      </c>
      <c r="M56" s="119">
        <v>3</v>
      </c>
      <c r="N56" s="119">
        <v>7</v>
      </c>
      <c r="O56" s="119" t="s">
        <v>1176</v>
      </c>
      <c r="P56" s="144" t="s">
        <v>271</v>
      </c>
      <c r="Q56" s="122">
        <v>45371</v>
      </c>
      <c r="R56" s="120" t="s">
        <v>131</v>
      </c>
      <c r="S56" s="115" t="s">
        <v>127</v>
      </c>
      <c r="T56" s="123" t="s">
        <v>272</v>
      </c>
      <c r="U56" s="119">
        <v>901808735</v>
      </c>
      <c r="V56" s="175">
        <v>539120789</v>
      </c>
      <c r="W56" s="175">
        <f>+H56-V56-83009616.95-86117980</f>
        <v>33429421.000000045</v>
      </c>
      <c r="X56" s="175">
        <f>83009616.95+86117980</f>
        <v>169127596.94999999</v>
      </c>
      <c r="Y56" s="175"/>
      <c r="Z56" s="176">
        <f t="shared" si="10"/>
        <v>708248385.95000005</v>
      </c>
      <c r="AA56" s="177">
        <f>SUMIFS('6.Reportes de Pagos'!I:I,'6.Reportes de Pagos'!H:H,"&lt;="&amp;(EOMONTH(FECHA,-1)),'6.Reportes de Pagos'!D:D,$P56)</f>
        <v>507264942.57999992</v>
      </c>
      <c r="AB56" s="177">
        <f>SUMIFS('6.Reportes de Pagos'!J:J,'6.Reportes de Pagos'!H:H,"&lt;="&amp;(EOMONTH(FECHA,-1)),'6.Reportes de Pagos'!D:D,$P56)</f>
        <v>50726494.260000005</v>
      </c>
      <c r="AC56" s="178">
        <v>0</v>
      </c>
      <c r="AD56" s="179">
        <f>SUMIFS('6.Reportes de Pagos'!I:I,'6.Reportes de Pagos'!H:H,"&gt;"&amp;(EOMONTH(FECHA,-1)),'6.Reportes de Pagos'!H:H,"&lt;="&amp;(EOMONTH(FECHA,0)),'6.Reportes de Pagos'!D:D,$P56)</f>
        <v>0</v>
      </c>
      <c r="AE56" s="179">
        <f>SUMIFS('6.Reportes de Pagos'!J:J,'6.Reportes de Pagos'!H:H,"&gt;"&amp;(EOMONTH(FECHA,-1)),'6.Reportes de Pagos'!H:H,"&lt;="&amp;(EOMONTH(FECHA,0)),'6.Reportes de Pagos'!D:D,$P56)</f>
        <v>0</v>
      </c>
      <c r="AF56" s="179">
        <v>0</v>
      </c>
      <c r="AG56" s="177">
        <f>SUMIFS('6.Reportes de Pagos'!I:I,'6.Reportes de Pagos'!H:H,"&lt;="&amp;(EOMONTH(FECHA,0)),'6.Reportes de Pagos'!D:D,$P56)</f>
        <v>507264942.57999992</v>
      </c>
      <c r="AH56" s="177">
        <f>SUMIFS('6.Reportes de Pagos'!J:J,'6.Reportes de Pagos'!H:H,"&lt;="&amp;(EOMONTH(FECHA,0)),'6.Reportes de Pagos'!D:D,$P56)</f>
        <v>50726494.260000005</v>
      </c>
      <c r="AI56" s="177">
        <f t="shared" si="6"/>
        <v>0</v>
      </c>
      <c r="AJ56" s="177"/>
      <c r="AK56" s="180">
        <f t="shared" si="7"/>
        <v>251709937.63000011</v>
      </c>
      <c r="AL56" s="208">
        <f t="shared" si="8"/>
        <v>0.64460217259461572</v>
      </c>
      <c r="AM56" s="210" t="s">
        <v>1218</v>
      </c>
    </row>
    <row r="57" spans="1:40" s="204" customFormat="1" ht="75" x14ac:dyDescent="0.25">
      <c r="A57" s="115">
        <f t="shared" si="5"/>
        <v>50</v>
      </c>
      <c r="B57" s="116" t="s">
        <v>51</v>
      </c>
      <c r="C57" s="90">
        <v>87123</v>
      </c>
      <c r="D57" s="117" t="s">
        <v>90</v>
      </c>
      <c r="E57" s="118">
        <v>2023</v>
      </c>
      <c r="F57" s="119">
        <v>158</v>
      </c>
      <c r="G57" s="120">
        <v>45560</v>
      </c>
      <c r="H57" s="215">
        <v>2335418322</v>
      </c>
      <c r="I57" s="119" t="s">
        <v>264</v>
      </c>
      <c r="J57" s="76" t="s">
        <v>273</v>
      </c>
      <c r="K57" s="83" t="s">
        <v>421</v>
      </c>
      <c r="L57" s="119" t="s">
        <v>422</v>
      </c>
      <c r="M57" s="119">
        <v>5</v>
      </c>
      <c r="N57" s="119">
        <v>6</v>
      </c>
      <c r="O57" s="119" t="s">
        <v>1177</v>
      </c>
      <c r="P57" s="144" t="s">
        <v>694</v>
      </c>
      <c r="Q57" s="122">
        <v>45583</v>
      </c>
      <c r="R57" s="120" t="s">
        <v>126</v>
      </c>
      <c r="S57" s="115" t="s">
        <v>127</v>
      </c>
      <c r="T57" s="123" t="s">
        <v>695</v>
      </c>
      <c r="U57" s="119">
        <v>900591185</v>
      </c>
      <c r="V57" s="175">
        <v>2335418322</v>
      </c>
      <c r="W57" s="175">
        <f t="shared" si="9"/>
        <v>0</v>
      </c>
      <c r="X57" s="175"/>
      <c r="Y57" s="175"/>
      <c r="Z57" s="176">
        <f>+V57+X57</f>
        <v>2335418322</v>
      </c>
      <c r="AA57" s="177">
        <f>SUMIFS('6.Reportes de Pagos'!I:I,'6.Reportes de Pagos'!H:H,"&lt;="&amp;(EOMONTH(FECHA,-1)),'6.Reportes de Pagos'!D:D,$P57)</f>
        <v>1411077495.75</v>
      </c>
      <c r="AB57" s="177">
        <f>SUMIFS('6.Reportes de Pagos'!J:J,'6.Reportes de Pagos'!H:H,"&lt;="&amp;(EOMONTH(FECHA,-1)),'6.Reportes de Pagos'!D:D,$P57)</f>
        <v>141107748.97</v>
      </c>
      <c r="AC57" s="178">
        <v>0</v>
      </c>
      <c r="AD57" s="179">
        <f>SUMIFS('6.Reportes de Pagos'!I:I,'6.Reportes de Pagos'!H:H,"&gt;"&amp;(EOMONTH(FECHA,-1)),'6.Reportes de Pagos'!H:H,"&lt;="&amp;(EOMONTH(FECHA,0)),'6.Reportes de Pagos'!D:D,$P57)</f>
        <v>457492869</v>
      </c>
      <c r="AE57" s="179">
        <f>SUMIFS('6.Reportes de Pagos'!J:J,'6.Reportes de Pagos'!H:H,"&gt;"&amp;(EOMONTH(FECHA,-1)),'6.Reportes de Pagos'!H:H,"&lt;="&amp;(EOMONTH(FECHA,0)),'6.Reportes de Pagos'!D:D,$P57)</f>
        <v>45749286</v>
      </c>
      <c r="AF57" s="179">
        <v>0</v>
      </c>
      <c r="AG57" s="177">
        <f>SUMIFS('6.Reportes de Pagos'!I:I,'6.Reportes de Pagos'!H:H,"&lt;="&amp;(EOMONTH(FECHA,0)),'6.Reportes de Pagos'!D:D,$P57)</f>
        <v>1868570364.75</v>
      </c>
      <c r="AH57" s="177">
        <f>SUMIFS('6.Reportes de Pagos'!J:J,'6.Reportes de Pagos'!H:H,"&lt;="&amp;(EOMONTH(FECHA,0)),'6.Reportes de Pagos'!D:D,$P57)</f>
        <v>186857034.97</v>
      </c>
      <c r="AI57" s="177">
        <f>+AC57+AF57</f>
        <v>0</v>
      </c>
      <c r="AJ57" s="177"/>
      <c r="AK57" s="180">
        <f>+Z57-(AG57-AH57)-AI57</f>
        <v>653704992.22000003</v>
      </c>
      <c r="AL57" s="208">
        <f>IFERROR(((AG57-AH57+AI57)/Z57),0)</f>
        <v>0.72009083509279759</v>
      </c>
      <c r="AM57" s="210" t="s">
        <v>1218</v>
      </c>
    </row>
    <row r="58" spans="1:40" s="204" customFormat="1" ht="105" x14ac:dyDescent="0.25">
      <c r="A58" s="115">
        <f t="shared" si="5"/>
        <v>51</v>
      </c>
      <c r="B58" s="116" t="s">
        <v>51</v>
      </c>
      <c r="C58" s="90">
        <v>87123</v>
      </c>
      <c r="D58" s="117" t="s">
        <v>90</v>
      </c>
      <c r="E58" s="118">
        <v>2023</v>
      </c>
      <c r="F58" s="119">
        <v>62</v>
      </c>
      <c r="G58" s="120">
        <v>45303</v>
      </c>
      <c r="H58" s="215">
        <v>502109790</v>
      </c>
      <c r="I58" s="119" t="s">
        <v>264</v>
      </c>
      <c r="J58" s="76" t="s">
        <v>275</v>
      </c>
      <c r="K58" s="83" t="s">
        <v>274</v>
      </c>
      <c r="L58" s="119" t="s">
        <v>276</v>
      </c>
      <c r="M58" s="119">
        <v>5</v>
      </c>
      <c r="N58" s="119">
        <v>6</v>
      </c>
      <c r="O58" s="119" t="s">
        <v>1178</v>
      </c>
      <c r="P58" s="144" t="s">
        <v>693</v>
      </c>
      <c r="Q58" s="122">
        <v>45583</v>
      </c>
      <c r="R58" s="120" t="s">
        <v>131</v>
      </c>
      <c r="S58" s="115" t="s">
        <v>127</v>
      </c>
      <c r="T58" s="123" t="s">
        <v>692</v>
      </c>
      <c r="U58" s="119">
        <v>802008390</v>
      </c>
      <c r="V58" s="175">
        <v>477004300</v>
      </c>
      <c r="W58" s="175">
        <f t="shared" si="9"/>
        <v>25105490</v>
      </c>
      <c r="X58" s="175"/>
      <c r="Y58" s="175"/>
      <c r="Z58" s="176">
        <f t="shared" si="10"/>
        <v>477004300</v>
      </c>
      <c r="AA58" s="177">
        <f>SUMIFS('6.Reportes de Pagos'!I:I,'6.Reportes de Pagos'!H:H,"&lt;="&amp;(EOMONTH(FECHA,-1)),'6.Reportes de Pagos'!D:D,$P58)</f>
        <v>300722223.40000004</v>
      </c>
      <c r="AB58" s="177">
        <f>SUMIFS('6.Reportes de Pagos'!J:J,'6.Reportes de Pagos'!H:H,"&lt;="&amp;(EOMONTH(FECHA,-1)),'6.Reportes de Pagos'!D:D,$P58)</f>
        <v>30072222.34</v>
      </c>
      <c r="AC58" s="178">
        <v>0</v>
      </c>
      <c r="AD58" s="179">
        <f>SUMIFS('6.Reportes de Pagos'!I:I,'6.Reportes de Pagos'!H:H,"&gt;"&amp;(EOMONTH(FECHA,-1)),'6.Reportes de Pagos'!H:H,"&lt;="&amp;(EOMONTH(FECHA,0)),'6.Reportes de Pagos'!D:D,$P58)</f>
        <v>51882192.469999999</v>
      </c>
      <c r="AE58" s="179">
        <f>SUMIFS('6.Reportes de Pagos'!J:J,'6.Reportes de Pagos'!H:H,"&gt;"&amp;(EOMONTH(FECHA,-1)),'6.Reportes de Pagos'!H:H,"&lt;="&amp;(EOMONTH(FECHA,0)),'6.Reportes de Pagos'!D:D,$P58)</f>
        <v>5188219.25</v>
      </c>
      <c r="AF58" s="179">
        <v>0</v>
      </c>
      <c r="AG58" s="177">
        <f>SUMIFS('6.Reportes de Pagos'!I:I,'6.Reportes de Pagos'!H:H,"&lt;="&amp;(EOMONTH(FECHA,0)),'6.Reportes de Pagos'!D:D,$P58)</f>
        <v>352604415.87</v>
      </c>
      <c r="AH58" s="177">
        <f>SUMIFS('6.Reportes de Pagos'!J:J,'6.Reportes de Pagos'!H:H,"&lt;="&amp;(EOMONTH(FECHA,0)),'6.Reportes de Pagos'!D:D,$P58)</f>
        <v>35260441.590000004</v>
      </c>
      <c r="AI58" s="177">
        <f t="shared" si="6"/>
        <v>0</v>
      </c>
      <c r="AJ58" s="177"/>
      <c r="AK58" s="180">
        <f t="shared" si="7"/>
        <v>159660325.72000003</v>
      </c>
      <c r="AL58" s="208">
        <f t="shared" si="8"/>
        <v>0.66528535336054617</v>
      </c>
      <c r="AM58" s="210" t="s">
        <v>1218</v>
      </c>
    </row>
    <row r="59" spans="1:40" s="204" customFormat="1" ht="75" x14ac:dyDescent="0.25">
      <c r="A59" s="115">
        <f>+A94+1</f>
        <v>85</v>
      </c>
      <c r="B59" s="116" t="s">
        <v>51</v>
      </c>
      <c r="C59" s="90">
        <v>87123</v>
      </c>
      <c r="D59" s="117" t="s">
        <v>90</v>
      </c>
      <c r="E59" s="118">
        <v>2023</v>
      </c>
      <c r="F59" s="119">
        <v>108</v>
      </c>
      <c r="G59" s="120">
        <v>45411</v>
      </c>
      <c r="H59" s="215">
        <v>2335418322</v>
      </c>
      <c r="I59" s="119" t="s">
        <v>264</v>
      </c>
      <c r="J59" s="76" t="s">
        <v>277</v>
      </c>
      <c r="K59" s="83" t="s">
        <v>348</v>
      </c>
      <c r="L59" s="119" t="s">
        <v>349</v>
      </c>
      <c r="M59" s="119">
        <v>6</v>
      </c>
      <c r="N59" s="119">
        <v>6</v>
      </c>
      <c r="O59" s="119" t="s">
        <v>1206</v>
      </c>
      <c r="P59" s="144" t="s">
        <v>486</v>
      </c>
      <c r="Q59" s="122">
        <v>45489</v>
      </c>
      <c r="R59" s="120" t="s">
        <v>126</v>
      </c>
      <c r="S59" s="115" t="s">
        <v>127</v>
      </c>
      <c r="T59" s="123" t="s">
        <v>487</v>
      </c>
      <c r="U59" s="119">
        <v>901843292</v>
      </c>
      <c r="V59" s="175">
        <v>2335418318</v>
      </c>
      <c r="W59" s="175">
        <f>+H59-V59</f>
        <v>4</v>
      </c>
      <c r="X59" s="175"/>
      <c r="Y59" s="175">
        <v>5574659.6399999997</v>
      </c>
      <c r="Z59" s="176">
        <f>+V59+X59</f>
        <v>2335418318</v>
      </c>
      <c r="AA59" s="177">
        <f>SUMIFS('6.Reportes de Pagos'!I:I,'6.Reportes de Pagos'!H:H,"&lt;="&amp;(EOMONTH(FECHA,-1)),'6.Reportes de Pagos'!D:D,$P59)</f>
        <v>1107955738.29</v>
      </c>
      <c r="AB59" s="177">
        <f>SUMIFS('6.Reportes de Pagos'!J:J,'6.Reportes de Pagos'!H:H,"&lt;="&amp;(EOMONTH(FECHA,-1)),'6.Reportes de Pagos'!D:D,$P59)</f>
        <v>110795573.83000001</v>
      </c>
      <c r="AC59" s="178">
        <v>0</v>
      </c>
      <c r="AD59" s="179">
        <f>SUMIFS('6.Reportes de Pagos'!I:I,'6.Reportes de Pagos'!H:H,"&gt;"&amp;(EOMONTH(FECHA,-1)),'6.Reportes de Pagos'!H:H,"&lt;="&amp;(EOMONTH(FECHA,0)),'6.Reportes de Pagos'!D:D,$P59)</f>
        <v>476365420.04000002</v>
      </c>
      <c r="AE59" s="179">
        <f>SUMIFS('6.Reportes de Pagos'!J:J,'6.Reportes de Pagos'!H:H,"&gt;"&amp;(EOMONTH(FECHA,-1)),'6.Reportes de Pagos'!H:H,"&lt;="&amp;(EOMONTH(FECHA,0)),'6.Reportes de Pagos'!D:D,$P59)</f>
        <v>47636542</v>
      </c>
      <c r="AF59" s="179">
        <v>0</v>
      </c>
      <c r="AG59" s="177">
        <f>SUMIFS('6.Reportes de Pagos'!I:I,'6.Reportes de Pagos'!H:H,"&lt;="&amp;(EOMONTH(FECHA,0)),'6.Reportes de Pagos'!D:D,$P59)</f>
        <v>1584321158.3299999</v>
      </c>
      <c r="AH59" s="177">
        <f>SUMIFS('6.Reportes de Pagos'!J:J,'6.Reportes de Pagos'!H:H,"&lt;="&amp;(EOMONTH(FECHA,0)),'6.Reportes de Pagos'!D:D,$P59)</f>
        <v>158432115.83000001</v>
      </c>
      <c r="AI59" s="177">
        <f>+AC59+AF59</f>
        <v>0</v>
      </c>
      <c r="AJ59" s="177"/>
      <c r="AK59" s="180">
        <f>+Z59-(AG59-AH59)-AI59</f>
        <v>909529275.5</v>
      </c>
      <c r="AL59" s="208">
        <f>IFERROR(((AG59-AH59+AI59)/Z59),0)</f>
        <v>0.61054973813903257</v>
      </c>
      <c r="AM59" s="210" t="s">
        <v>1218</v>
      </c>
    </row>
    <row r="60" spans="1:40" s="204" customFormat="1" ht="105" x14ac:dyDescent="0.25">
      <c r="A60" s="115">
        <f>+A58+1</f>
        <v>52</v>
      </c>
      <c r="B60" s="116" t="s">
        <v>51</v>
      </c>
      <c r="C60" s="90">
        <v>87123</v>
      </c>
      <c r="D60" s="117" t="s">
        <v>90</v>
      </c>
      <c r="E60" s="118">
        <v>2023</v>
      </c>
      <c r="F60" s="119" t="s">
        <v>1278</v>
      </c>
      <c r="G60" s="120" t="s">
        <v>1279</v>
      </c>
      <c r="H60" s="215">
        <f>502109790+50171936.79</f>
        <v>552281726.78999996</v>
      </c>
      <c r="I60" s="119" t="s">
        <v>264</v>
      </c>
      <c r="J60" s="76" t="s">
        <v>280</v>
      </c>
      <c r="K60" s="83" t="s">
        <v>278</v>
      </c>
      <c r="L60" s="119" t="s">
        <v>279</v>
      </c>
      <c r="M60" s="119">
        <v>6</v>
      </c>
      <c r="N60" s="119">
        <v>6</v>
      </c>
      <c r="O60" s="119" t="s">
        <v>1179</v>
      </c>
      <c r="P60" s="144" t="s">
        <v>490</v>
      </c>
      <c r="Q60" s="122">
        <v>45482</v>
      </c>
      <c r="R60" s="120" t="s">
        <v>131</v>
      </c>
      <c r="S60" s="115" t="s">
        <v>127</v>
      </c>
      <c r="T60" s="123" t="s">
        <v>491</v>
      </c>
      <c r="U60" s="119">
        <v>12979612</v>
      </c>
      <c r="V60" s="175">
        <v>451898813</v>
      </c>
      <c r="W60" s="175">
        <f>+H60-V60-50171936.79</f>
        <v>50210976.999999963</v>
      </c>
      <c r="X60" s="175">
        <f>50171936.79+5574659.64</f>
        <v>55746596.43</v>
      </c>
      <c r="Y60" s="175"/>
      <c r="Z60" s="176">
        <f t="shared" si="10"/>
        <v>507645409.43000001</v>
      </c>
      <c r="AA60" s="177">
        <f>SUMIFS('6.Reportes de Pagos'!I:I,'6.Reportes de Pagos'!H:H,"&lt;="&amp;(EOMONTH(FECHA,-1)),'6.Reportes de Pagos'!D:D,$P60)</f>
        <v>309171118.82999998</v>
      </c>
      <c r="AB60" s="177">
        <f>SUMIFS('6.Reportes de Pagos'!J:J,'6.Reportes de Pagos'!H:H,"&lt;="&amp;(EOMONTH(FECHA,-1)),'6.Reportes de Pagos'!D:D,$P60)</f>
        <v>30917111.890000001</v>
      </c>
      <c r="AC60" s="178">
        <v>0</v>
      </c>
      <c r="AD60" s="179">
        <f>SUMIFS('6.Reportes de Pagos'!I:I,'6.Reportes de Pagos'!H:H,"&gt;"&amp;(EOMONTH(FECHA,-1)),'6.Reportes de Pagos'!H:H,"&lt;="&amp;(EOMONTH(FECHA,0)),'6.Reportes de Pagos'!D:D,$P60)</f>
        <v>75473458.680000007</v>
      </c>
      <c r="AE60" s="179">
        <f>SUMIFS('6.Reportes de Pagos'!J:J,'6.Reportes de Pagos'!H:H,"&gt;"&amp;(EOMONTH(FECHA,-1)),'6.Reportes de Pagos'!H:H,"&lt;="&amp;(EOMONTH(FECHA,0)),'6.Reportes de Pagos'!D:D,$P60)</f>
        <v>7547345.8700000001</v>
      </c>
      <c r="AF60" s="179">
        <v>0</v>
      </c>
      <c r="AG60" s="177">
        <f>SUMIFS('6.Reportes de Pagos'!I:I,'6.Reportes de Pagos'!H:H,"&lt;="&amp;(EOMONTH(FECHA,0)),'6.Reportes de Pagos'!D:D,$P60)</f>
        <v>384644577.50999999</v>
      </c>
      <c r="AH60" s="177">
        <f>SUMIFS('6.Reportes de Pagos'!J:J,'6.Reportes de Pagos'!H:H,"&lt;="&amp;(EOMONTH(FECHA,0)),'6.Reportes de Pagos'!D:D,$P60)</f>
        <v>38464457.759999998</v>
      </c>
      <c r="AI60" s="177">
        <f t="shared" si="6"/>
        <v>0</v>
      </c>
      <c r="AJ60" s="177"/>
      <c r="AK60" s="180">
        <f t="shared" si="7"/>
        <v>161465289.68000001</v>
      </c>
      <c r="AL60" s="208">
        <f t="shared" si="8"/>
        <v>0.68193292664401661</v>
      </c>
      <c r="AM60" s="210" t="s">
        <v>1218</v>
      </c>
    </row>
    <row r="61" spans="1:40" s="204" customFormat="1" ht="85.35" customHeight="1" x14ac:dyDescent="0.25">
      <c r="A61" s="295">
        <f t="shared" si="5"/>
        <v>53</v>
      </c>
      <c r="B61" s="116" t="s">
        <v>51</v>
      </c>
      <c r="C61" s="90">
        <v>87123</v>
      </c>
      <c r="D61" s="117" t="s">
        <v>90</v>
      </c>
      <c r="E61" s="118">
        <v>2023</v>
      </c>
      <c r="F61" s="119" t="s">
        <v>1327</v>
      </c>
      <c r="G61" s="120" t="s">
        <v>1328</v>
      </c>
      <c r="H61" s="215">
        <f>2335418322+3972575976.14+1620940225.29+531655657.79+2434972236.12</f>
        <v>10895562417.34</v>
      </c>
      <c r="I61" s="119" t="s">
        <v>264</v>
      </c>
      <c r="J61" s="225" t="s">
        <v>281</v>
      </c>
      <c r="K61" s="225" t="s">
        <v>282</v>
      </c>
      <c r="L61" s="191" t="s">
        <v>283</v>
      </c>
      <c r="M61" s="253">
        <v>7</v>
      </c>
      <c r="N61" s="253">
        <v>6</v>
      </c>
      <c r="O61" s="191" t="s">
        <v>1180</v>
      </c>
      <c r="P61" s="255" t="s">
        <v>284</v>
      </c>
      <c r="Q61" s="188">
        <v>45359</v>
      </c>
      <c r="R61" s="189" t="s">
        <v>126</v>
      </c>
      <c r="S61" s="219" t="s">
        <v>127</v>
      </c>
      <c r="T61" s="191" t="s">
        <v>285</v>
      </c>
      <c r="U61" s="191">
        <v>901803620</v>
      </c>
      <c r="V61" s="175">
        <v>2254604891</v>
      </c>
      <c r="W61" s="175">
        <f>+H61-V61-X61+H62-X62</f>
        <v>80813431</v>
      </c>
      <c r="X61" s="175">
        <f>3972575976.14+1620940225.29+531655657.79+2434972236.12</f>
        <v>8560144095.3400002</v>
      </c>
      <c r="Y61" s="175"/>
      <c r="Z61" s="193">
        <f t="shared" si="10"/>
        <v>10814748986.34</v>
      </c>
      <c r="AA61" s="192">
        <f>SUMIFS('6.Reportes de Pagos'!I:I,'6.Reportes de Pagos'!H:H,"&lt;="&amp;(EOMONTH(FECHA,-1)),'6.Reportes de Pagos'!D:D,$P61)</f>
        <v>6233916338.7699995</v>
      </c>
      <c r="AB61" s="192">
        <f>SUMIFS('6.Reportes de Pagos'!J:J,'6.Reportes de Pagos'!H:H,"&lt;="&amp;(EOMONTH(FECHA,-1)),'6.Reportes de Pagos'!D:D,$P61)</f>
        <v>623391633.87</v>
      </c>
      <c r="AC61" s="192">
        <v>0</v>
      </c>
      <c r="AD61" s="194">
        <f>SUMIFS('6.Reportes de Pagos'!I:I,'6.Reportes de Pagos'!H:H,"&gt;"&amp;(EOMONTH(FECHA,-1)),'6.Reportes de Pagos'!H:H,"&lt;="&amp;(EOMONTH(FECHA,0)),'6.Reportes de Pagos'!D:D,$P61)</f>
        <v>987681573.77999997</v>
      </c>
      <c r="AE61" s="194">
        <f>SUMIFS('6.Reportes de Pagos'!J:J,'6.Reportes de Pagos'!H:H,"&gt;"&amp;(EOMONTH(FECHA,-1)),'6.Reportes de Pagos'!H:H,"&lt;="&amp;(EOMONTH(FECHA,0)),'6.Reportes de Pagos'!D:D,$P61)</f>
        <v>98768157.379999995</v>
      </c>
      <c r="AF61" s="194">
        <v>0</v>
      </c>
      <c r="AG61" s="192">
        <f>SUMIFS('6.Reportes de Pagos'!I:I,'6.Reportes de Pagos'!H:H,"&lt;="&amp;(EOMONTH(FECHA,0)),'6.Reportes de Pagos'!D:D,$P61)</f>
        <v>7221597912.5499992</v>
      </c>
      <c r="AH61" s="192">
        <f>SUMIFS('6.Reportes de Pagos'!J:J,'6.Reportes de Pagos'!H:H,"&lt;="&amp;(EOMONTH(FECHA,0)),'6.Reportes de Pagos'!D:D,$P61)</f>
        <v>722159791.25</v>
      </c>
      <c r="AI61" s="192">
        <f t="shared" si="6"/>
        <v>0</v>
      </c>
      <c r="AJ61" s="192"/>
      <c r="AK61" s="193">
        <f>+Z61+Z62-(AG61-AH61-AG62-AH62)-AI61-AI62</f>
        <v>7351514552.6800003</v>
      </c>
      <c r="AL61" s="209">
        <f t="shared" si="8"/>
        <v>0.60097910081032613</v>
      </c>
      <c r="AM61" s="257" t="s">
        <v>1218</v>
      </c>
    </row>
    <row r="62" spans="1:40" s="204" customFormat="1" ht="15" x14ac:dyDescent="0.25">
      <c r="A62" s="296"/>
      <c r="B62" s="116" t="s">
        <v>51</v>
      </c>
      <c r="C62" s="90">
        <v>11424</v>
      </c>
      <c r="D62" s="117" t="s">
        <v>90</v>
      </c>
      <c r="E62" s="118">
        <v>2024</v>
      </c>
      <c r="F62" s="119">
        <v>195</v>
      </c>
      <c r="G62" s="120">
        <v>45758</v>
      </c>
      <c r="H62" s="121">
        <v>3036203687.6399999</v>
      </c>
      <c r="I62" s="119" t="s">
        <v>264</v>
      </c>
      <c r="J62" s="226"/>
      <c r="K62" s="226"/>
      <c r="L62" s="221"/>
      <c r="M62" s="254"/>
      <c r="N62" s="254"/>
      <c r="O62" s="221"/>
      <c r="P62" s="256"/>
      <c r="Q62" s="223"/>
      <c r="R62" s="222"/>
      <c r="S62" s="219" t="s">
        <v>127</v>
      </c>
      <c r="T62" s="221"/>
      <c r="U62" s="221"/>
      <c r="V62" s="175"/>
      <c r="W62" s="175"/>
      <c r="X62" s="175">
        <v>3036203687.6399999</v>
      </c>
      <c r="Y62" s="175"/>
      <c r="Z62" s="193">
        <f t="shared" si="10"/>
        <v>3036203687.6399999</v>
      </c>
      <c r="AA62" s="192">
        <f>SUMIFS('6.Reportes de Pagos'!I:I,'6.Reportes de Pagos'!H:H,"&lt;="&amp;(EOMONTH(FECHA,-1)),'6.Reportes de Pagos'!D:D,$P62)</f>
        <v>0</v>
      </c>
      <c r="AB62" s="192">
        <f>SUMIFS('6.Reportes de Pagos'!J:J,'6.Reportes de Pagos'!H:H,"&lt;="&amp;(EOMONTH(FECHA,-1)),'6.Reportes de Pagos'!D:D,$P62)</f>
        <v>0</v>
      </c>
      <c r="AC62" s="192">
        <v>0</v>
      </c>
      <c r="AD62" s="194">
        <f>SUMIFS('6.Reportes de Pagos'!I:I,'6.Reportes de Pagos'!H:H,"&gt;"&amp;(EOMONTH(FECHA,-1)),'6.Reportes de Pagos'!H:H,"&lt;="&amp;(EOMONTH(FECHA,0)),'6.Reportes de Pagos'!D:D,$P62)</f>
        <v>0</v>
      </c>
      <c r="AE62" s="194">
        <f>SUMIFS('6.Reportes de Pagos'!J:J,'6.Reportes de Pagos'!H:H,"&gt;"&amp;(EOMONTH(FECHA,-1)),'6.Reportes de Pagos'!H:H,"&lt;="&amp;(EOMONTH(FECHA,0)),'6.Reportes de Pagos'!D:D,$P62)</f>
        <v>0</v>
      </c>
      <c r="AF62" s="194">
        <v>0</v>
      </c>
      <c r="AG62" s="192">
        <f>SUMIFS('6.Reportes de Pagos'!I:I,'6.Reportes de Pagos'!H:H,"&lt;="&amp;(EOMONTH(FECHA,0)),'6.Reportes de Pagos'!D:D,$P62)</f>
        <v>0</v>
      </c>
      <c r="AH62" s="192">
        <f>SUMIFS('6.Reportes de Pagos'!J:J,'6.Reportes de Pagos'!H:H,"&lt;="&amp;(EOMONTH(FECHA,0)),'6.Reportes de Pagos'!D:D,$P62)</f>
        <v>0</v>
      </c>
      <c r="AI62" s="217"/>
      <c r="AJ62" s="217"/>
      <c r="AK62" s="227"/>
      <c r="AL62" s="228"/>
      <c r="AM62" s="258"/>
      <c r="AN62" s="220">
        <v>3302124805.6700001</v>
      </c>
    </row>
    <row r="63" spans="1:40" s="204" customFormat="1" ht="84" customHeight="1" x14ac:dyDescent="0.25">
      <c r="A63" s="295">
        <f>+A61+1</f>
        <v>54</v>
      </c>
      <c r="B63" s="116" t="s">
        <v>51</v>
      </c>
      <c r="C63" s="90">
        <v>87123</v>
      </c>
      <c r="D63" s="117" t="s">
        <v>90</v>
      </c>
      <c r="E63" s="118">
        <v>2023</v>
      </c>
      <c r="F63" s="119" t="s">
        <v>1329</v>
      </c>
      <c r="G63" s="120" t="s">
        <v>1330</v>
      </c>
      <c r="H63" s="215">
        <f>502109790+519272174.86+67637077.54+265027763.88</f>
        <v>1354046806.2800002</v>
      </c>
      <c r="I63" s="119" t="s">
        <v>264</v>
      </c>
      <c r="J63" s="225" t="s">
        <v>286</v>
      </c>
      <c r="K63" s="225" t="s">
        <v>282</v>
      </c>
      <c r="L63" s="191" t="s">
        <v>283</v>
      </c>
      <c r="M63" s="253">
        <v>7</v>
      </c>
      <c r="N63" s="253">
        <v>6</v>
      </c>
      <c r="O63" s="191" t="s">
        <v>1181</v>
      </c>
      <c r="P63" s="255" t="s">
        <v>287</v>
      </c>
      <c r="Q63" s="188">
        <v>45356</v>
      </c>
      <c r="R63" s="189" t="s">
        <v>131</v>
      </c>
      <c r="S63" s="219" t="s">
        <v>127</v>
      </c>
      <c r="T63" s="191" t="s">
        <v>288</v>
      </c>
      <c r="U63" s="191">
        <v>9050725</v>
      </c>
      <c r="V63" s="175">
        <v>471983203</v>
      </c>
      <c r="W63" s="175">
        <f>+H63-V63-X63</f>
        <v>30126587.000000238</v>
      </c>
      <c r="X63" s="175">
        <f>519272174.86+67637077.54+265027763.88</f>
        <v>851937016.27999997</v>
      </c>
      <c r="Y63" s="175"/>
      <c r="Z63" s="176">
        <f t="shared" si="10"/>
        <v>1323920219.28</v>
      </c>
      <c r="AA63" s="177">
        <f>SUMIFS('6.Reportes de Pagos'!I:I,'6.Reportes de Pagos'!H:H,"&lt;="&amp;(EOMONTH(FECHA,-1)),'6.Reportes de Pagos'!D:D,$P63)</f>
        <v>779037016.64999998</v>
      </c>
      <c r="AB63" s="177">
        <f>SUMIFS('6.Reportes de Pagos'!J:J,'6.Reportes de Pagos'!H:H,"&lt;="&amp;(EOMONTH(FECHA,-1)),'6.Reportes de Pagos'!D:D,$P63)</f>
        <v>77903702.670000002</v>
      </c>
      <c r="AC63" s="178">
        <v>0</v>
      </c>
      <c r="AD63" s="179">
        <f>SUMIFS('6.Reportes de Pagos'!I:I,'6.Reportes de Pagos'!H:H,"&gt;"&amp;(EOMONTH(FECHA,-1)),'6.Reportes de Pagos'!H:H,"&lt;="&amp;(EOMONTH(FECHA,0)),'6.Reportes de Pagos'!D:D,$P63)</f>
        <v>40075441.530000001</v>
      </c>
      <c r="AE63" s="179">
        <f>SUMIFS('6.Reportes de Pagos'!J:J,'6.Reportes de Pagos'!H:H,"&gt;"&amp;(EOMONTH(FECHA,-1)),'6.Reportes de Pagos'!H:H,"&lt;="&amp;(EOMONTH(FECHA,0)),'6.Reportes de Pagos'!D:D,$P63)</f>
        <v>4007544.15</v>
      </c>
      <c r="AF63" s="179">
        <v>0</v>
      </c>
      <c r="AG63" s="177">
        <f>SUMIFS('6.Reportes de Pagos'!I:I,'6.Reportes de Pagos'!H:H,"&lt;="&amp;(EOMONTH(FECHA,0)),'6.Reportes de Pagos'!D:D,$P63)</f>
        <v>819112458.17999995</v>
      </c>
      <c r="AH63" s="177">
        <f>SUMIFS('6.Reportes de Pagos'!J:J,'6.Reportes de Pagos'!H:H,"&lt;="&amp;(EOMONTH(FECHA,0)),'6.Reportes de Pagos'!D:D,$P63)</f>
        <v>81911246.820000008</v>
      </c>
      <c r="AI63" s="177">
        <f t="shared" si="6"/>
        <v>0</v>
      </c>
      <c r="AJ63" s="177"/>
      <c r="AK63" s="193">
        <f>+Z63+Z64-(AG63-AH63-AG64-AH64)-AI63-AI64</f>
        <v>852640125.95000005</v>
      </c>
      <c r="AL63" s="209">
        <f t="shared" si="8"/>
        <v>0.55683205122504964</v>
      </c>
      <c r="AM63" s="257" t="s">
        <v>1218</v>
      </c>
    </row>
    <row r="64" spans="1:40" s="204" customFormat="1" ht="15" x14ac:dyDescent="0.25">
      <c r="A64" s="296"/>
      <c r="B64" s="116" t="s">
        <v>51</v>
      </c>
      <c r="C64" s="90">
        <v>11424</v>
      </c>
      <c r="D64" s="117" t="s">
        <v>90</v>
      </c>
      <c r="E64" s="118">
        <v>2024</v>
      </c>
      <c r="F64" s="119">
        <v>196</v>
      </c>
      <c r="G64" s="120">
        <v>45758</v>
      </c>
      <c r="H64" s="121">
        <v>265921118.03</v>
      </c>
      <c r="I64" s="119" t="s">
        <v>264</v>
      </c>
      <c r="J64" s="226"/>
      <c r="K64" s="226"/>
      <c r="L64" s="221"/>
      <c r="M64" s="254"/>
      <c r="N64" s="254"/>
      <c r="O64" s="221"/>
      <c r="P64" s="224"/>
      <c r="Q64" s="223"/>
      <c r="R64" s="222"/>
      <c r="S64" s="219" t="s">
        <v>127</v>
      </c>
      <c r="T64" s="221"/>
      <c r="U64" s="221"/>
      <c r="V64" s="175"/>
      <c r="W64" s="175"/>
      <c r="X64" s="175">
        <v>265921118.03</v>
      </c>
      <c r="Y64" s="175"/>
      <c r="Z64" s="193">
        <f t="shared" si="10"/>
        <v>265921118.03</v>
      </c>
      <c r="AA64" s="192">
        <f>SUMIFS('6.Reportes de Pagos'!I:I,'6.Reportes de Pagos'!H:H,"&lt;="&amp;(EOMONTH(FECHA,-1)),'6.Reportes de Pagos'!D:D,$P64)</f>
        <v>0</v>
      </c>
      <c r="AB64" s="192">
        <f>SUMIFS('6.Reportes de Pagos'!J:J,'6.Reportes de Pagos'!H:H,"&lt;="&amp;(EOMONTH(FECHA,-1)),'6.Reportes de Pagos'!D:D,$P64)</f>
        <v>0</v>
      </c>
      <c r="AC64" s="192">
        <v>0</v>
      </c>
      <c r="AD64" s="194">
        <f>SUMIFS('6.Reportes de Pagos'!I:I,'6.Reportes de Pagos'!H:H,"&gt;"&amp;(EOMONTH(FECHA,-1)),'6.Reportes de Pagos'!H:H,"&lt;="&amp;(EOMONTH(FECHA,0)),'6.Reportes de Pagos'!D:D,$P64)</f>
        <v>0</v>
      </c>
      <c r="AE64" s="194">
        <f>SUMIFS('6.Reportes de Pagos'!J:J,'6.Reportes de Pagos'!H:H,"&gt;"&amp;(EOMONTH(FECHA,-1)),'6.Reportes de Pagos'!H:H,"&lt;="&amp;(EOMONTH(FECHA,0)),'6.Reportes de Pagos'!D:D,$P64)</f>
        <v>0</v>
      </c>
      <c r="AF64" s="194">
        <v>0</v>
      </c>
      <c r="AG64" s="192">
        <f>SUMIFS('6.Reportes de Pagos'!I:I,'6.Reportes de Pagos'!H:H,"&lt;="&amp;(EOMONTH(FECHA,0)),'6.Reportes de Pagos'!D:D,$P64)</f>
        <v>0</v>
      </c>
      <c r="AH64" s="192">
        <f>SUMIFS('6.Reportes de Pagos'!J:J,'6.Reportes de Pagos'!H:H,"&lt;="&amp;(EOMONTH(FECHA,0)),'6.Reportes de Pagos'!D:D,$P64)</f>
        <v>0</v>
      </c>
      <c r="AI64" s="177"/>
      <c r="AJ64" s="177"/>
      <c r="AK64" s="227"/>
      <c r="AL64" s="228"/>
      <c r="AM64" s="258"/>
    </row>
    <row r="65" spans="1:39" s="204" customFormat="1" ht="105" x14ac:dyDescent="0.25">
      <c r="A65" s="115">
        <f>+A63+1</f>
        <v>55</v>
      </c>
      <c r="B65" s="116" t="s">
        <v>51</v>
      </c>
      <c r="C65" s="90">
        <v>87123</v>
      </c>
      <c r="D65" s="117" t="s">
        <v>90</v>
      </c>
      <c r="E65" s="118">
        <v>2023</v>
      </c>
      <c r="F65" s="119">
        <v>58</v>
      </c>
      <c r="G65" s="120">
        <v>45300</v>
      </c>
      <c r="H65" s="121">
        <v>413483220</v>
      </c>
      <c r="I65" s="119" t="s">
        <v>120</v>
      </c>
      <c r="J65" s="76" t="s">
        <v>289</v>
      </c>
      <c r="K65" s="83" t="s">
        <v>290</v>
      </c>
      <c r="L65" s="119" t="s">
        <v>291</v>
      </c>
      <c r="M65" s="119" t="s">
        <v>124</v>
      </c>
      <c r="N65" s="119">
        <v>1</v>
      </c>
      <c r="O65" s="119" t="s">
        <v>1182</v>
      </c>
      <c r="P65" s="144" t="s">
        <v>292</v>
      </c>
      <c r="Q65" s="122">
        <v>45373</v>
      </c>
      <c r="R65" s="120" t="s">
        <v>131</v>
      </c>
      <c r="S65" s="115" t="s">
        <v>127</v>
      </c>
      <c r="T65" s="123" t="s">
        <v>293</v>
      </c>
      <c r="U65" s="119">
        <v>900503646</v>
      </c>
      <c r="V65" s="175">
        <v>389595668</v>
      </c>
      <c r="W65" s="175">
        <f t="shared" si="9"/>
        <v>23887552</v>
      </c>
      <c r="X65" s="175"/>
      <c r="Y65" s="175"/>
      <c r="Z65" s="176">
        <f t="shared" si="10"/>
        <v>389595668</v>
      </c>
      <c r="AA65" s="177">
        <f>SUMIFS('6.Reportes de Pagos'!I:I,'6.Reportes de Pagos'!H:H,"&lt;="&amp;(EOMONTH(FECHA,-1)),'6.Reportes de Pagos'!D:D,$P65)</f>
        <v>44104914.900000006</v>
      </c>
      <c r="AB65" s="177">
        <f>SUMIFS('6.Reportes de Pagos'!J:J,'6.Reportes de Pagos'!H:H,"&lt;="&amp;(EOMONTH(FECHA,-1)),'6.Reportes de Pagos'!D:D,$P65)</f>
        <v>4410491.49</v>
      </c>
      <c r="AC65" s="178">
        <v>0</v>
      </c>
      <c r="AD65" s="179">
        <f>SUMIFS('6.Reportes de Pagos'!I:I,'6.Reportes de Pagos'!H:H,"&gt;"&amp;(EOMONTH(FECHA,-1)),'6.Reportes de Pagos'!H:H,"&lt;="&amp;(EOMONTH(FECHA,0)),'6.Reportes de Pagos'!D:D,$P65)</f>
        <v>0</v>
      </c>
      <c r="AE65" s="179">
        <f>SUMIFS('6.Reportes de Pagos'!J:J,'6.Reportes de Pagos'!H:H,"&gt;"&amp;(EOMONTH(FECHA,-1)),'6.Reportes de Pagos'!H:H,"&lt;="&amp;(EOMONTH(FECHA,0)),'6.Reportes de Pagos'!D:D,$P65)</f>
        <v>0</v>
      </c>
      <c r="AF65" s="179">
        <v>0</v>
      </c>
      <c r="AG65" s="177">
        <f>SUMIFS('6.Reportes de Pagos'!I:I,'6.Reportes de Pagos'!H:H,"&lt;="&amp;(EOMONTH(FECHA,0)),'6.Reportes de Pagos'!D:D,$P65)</f>
        <v>44104914.900000006</v>
      </c>
      <c r="AH65" s="177">
        <f>SUMIFS('6.Reportes de Pagos'!J:J,'6.Reportes de Pagos'!H:H,"&lt;="&amp;(EOMONTH(FECHA,0)),'6.Reportes de Pagos'!D:D,$P65)</f>
        <v>4410491.49</v>
      </c>
      <c r="AI65" s="177">
        <f t="shared" si="6"/>
        <v>0</v>
      </c>
      <c r="AJ65" s="177"/>
      <c r="AK65" s="180">
        <f t="shared" si="7"/>
        <v>349901244.58999997</v>
      </c>
      <c r="AL65" s="208">
        <f t="shared" si="8"/>
        <v>0.10188620323673621</v>
      </c>
      <c r="AM65" s="210" t="s">
        <v>1218</v>
      </c>
    </row>
    <row r="66" spans="1:39" s="204" customFormat="1" ht="60" x14ac:dyDescent="0.25">
      <c r="A66" s="115">
        <f t="shared" si="5"/>
        <v>56</v>
      </c>
      <c r="B66" s="116" t="s">
        <v>51</v>
      </c>
      <c r="C66" s="90">
        <v>87123</v>
      </c>
      <c r="D66" s="117" t="s">
        <v>90</v>
      </c>
      <c r="E66" s="118">
        <v>2023</v>
      </c>
      <c r="F66" s="119">
        <v>63</v>
      </c>
      <c r="G66" s="120">
        <v>45303</v>
      </c>
      <c r="H66" s="121">
        <v>3414281550</v>
      </c>
      <c r="I66" s="119" t="s">
        <v>120</v>
      </c>
      <c r="J66" s="76" t="s">
        <v>294</v>
      </c>
      <c r="K66" s="83" t="s">
        <v>290</v>
      </c>
      <c r="L66" s="119" t="s">
        <v>291</v>
      </c>
      <c r="M66" s="119" t="s">
        <v>124</v>
      </c>
      <c r="N66" s="119">
        <v>1</v>
      </c>
      <c r="O66" s="119" t="s">
        <v>1183</v>
      </c>
      <c r="P66" s="144" t="s">
        <v>482</v>
      </c>
      <c r="Q66" s="122">
        <v>45478</v>
      </c>
      <c r="R66" s="120" t="s">
        <v>126</v>
      </c>
      <c r="S66" s="115" t="s">
        <v>127</v>
      </c>
      <c r="T66" s="123" t="s">
        <v>483</v>
      </c>
      <c r="U66" s="119">
        <v>901835558</v>
      </c>
      <c r="V66" s="175">
        <v>3221231493</v>
      </c>
      <c r="W66" s="175">
        <f t="shared" si="9"/>
        <v>193050057</v>
      </c>
      <c r="X66" s="175"/>
      <c r="Y66" s="175"/>
      <c r="Z66" s="176">
        <f t="shared" si="10"/>
        <v>3221231493</v>
      </c>
      <c r="AA66" s="177">
        <f>SUMIFS('6.Reportes de Pagos'!I:I,'6.Reportes de Pagos'!H:H,"&lt;="&amp;(EOMONTH(FECHA,-1)),'6.Reportes de Pagos'!D:D,$P66)</f>
        <v>211431143.69999999</v>
      </c>
      <c r="AB66" s="177">
        <f>SUMIFS('6.Reportes de Pagos'!J:J,'6.Reportes de Pagos'!H:H,"&lt;="&amp;(EOMONTH(FECHA,-1)),'6.Reportes de Pagos'!D:D,$P66)</f>
        <v>21143114.370000001</v>
      </c>
      <c r="AC66" s="178">
        <v>0</v>
      </c>
      <c r="AD66" s="179">
        <f>SUMIFS('6.Reportes de Pagos'!I:I,'6.Reportes de Pagos'!H:H,"&gt;"&amp;(EOMONTH(FECHA,-1)),'6.Reportes de Pagos'!H:H,"&lt;="&amp;(EOMONTH(FECHA,0)),'6.Reportes de Pagos'!D:D,$P66)</f>
        <v>0</v>
      </c>
      <c r="AE66" s="179">
        <f>SUMIFS('6.Reportes de Pagos'!J:J,'6.Reportes de Pagos'!H:H,"&gt;"&amp;(EOMONTH(FECHA,-1)),'6.Reportes de Pagos'!H:H,"&lt;="&amp;(EOMONTH(FECHA,0)),'6.Reportes de Pagos'!D:D,$P66)</f>
        <v>0</v>
      </c>
      <c r="AF66" s="179">
        <v>0</v>
      </c>
      <c r="AG66" s="177">
        <f>SUMIFS('6.Reportes de Pagos'!I:I,'6.Reportes de Pagos'!H:H,"&lt;="&amp;(EOMONTH(FECHA,0)),'6.Reportes de Pagos'!D:D,$P66)</f>
        <v>211431143.69999999</v>
      </c>
      <c r="AH66" s="177">
        <f>SUMIFS('6.Reportes de Pagos'!J:J,'6.Reportes de Pagos'!H:H,"&lt;="&amp;(EOMONTH(FECHA,0)),'6.Reportes de Pagos'!D:D,$P66)</f>
        <v>21143114.370000001</v>
      </c>
      <c r="AI66" s="177">
        <f t="shared" si="6"/>
        <v>0</v>
      </c>
      <c r="AJ66" s="177"/>
      <c r="AK66" s="180">
        <f t="shared" si="7"/>
        <v>3030943463.6700001</v>
      </c>
      <c r="AL66" s="208">
        <f t="shared" si="8"/>
        <v>5.9073068714096288E-2</v>
      </c>
      <c r="AM66" s="210" t="s">
        <v>1218</v>
      </c>
    </row>
    <row r="67" spans="1:39" s="204" customFormat="1" ht="75" x14ac:dyDescent="0.25">
      <c r="A67" s="115">
        <f t="shared" si="5"/>
        <v>57</v>
      </c>
      <c r="B67" s="116" t="s">
        <v>51</v>
      </c>
      <c r="C67" s="90">
        <v>87123</v>
      </c>
      <c r="D67" s="117" t="s">
        <v>90</v>
      </c>
      <c r="E67" s="118">
        <v>2023</v>
      </c>
      <c r="F67" s="119">
        <v>59</v>
      </c>
      <c r="G67" s="120">
        <v>45301</v>
      </c>
      <c r="H67" s="215">
        <v>1532454348</v>
      </c>
      <c r="I67" s="119" t="s">
        <v>264</v>
      </c>
      <c r="J67" s="76" t="s">
        <v>295</v>
      </c>
      <c r="K67" s="83" t="s">
        <v>296</v>
      </c>
      <c r="L67" s="119" t="s">
        <v>246</v>
      </c>
      <c r="M67" s="119">
        <v>10</v>
      </c>
      <c r="N67" s="119">
        <v>4</v>
      </c>
      <c r="O67" s="119" t="s">
        <v>1184</v>
      </c>
      <c r="P67" s="144" t="s">
        <v>430</v>
      </c>
      <c r="Q67" s="122">
        <v>45420</v>
      </c>
      <c r="R67" s="120" t="s">
        <v>126</v>
      </c>
      <c r="S67" s="115" t="s">
        <v>127</v>
      </c>
      <c r="T67" s="123" t="s">
        <v>431</v>
      </c>
      <c r="U67" s="119">
        <v>901819116</v>
      </c>
      <c r="V67" s="175">
        <v>1465491420</v>
      </c>
      <c r="W67" s="175">
        <f t="shared" si="9"/>
        <v>66962928</v>
      </c>
      <c r="X67" s="175"/>
      <c r="Y67" s="175"/>
      <c r="Z67" s="176">
        <f t="shared" si="10"/>
        <v>1465491420</v>
      </c>
      <c r="AA67" s="177">
        <f>SUMIFS('6.Reportes de Pagos'!I:I,'6.Reportes de Pagos'!H:H,"&lt;="&amp;(EOMONTH(FECHA,-1)),'6.Reportes de Pagos'!D:D,$P67)</f>
        <v>1465491420</v>
      </c>
      <c r="AB67" s="177">
        <f>SUMIFS('6.Reportes de Pagos'!J:J,'6.Reportes de Pagos'!H:H,"&lt;="&amp;(EOMONTH(FECHA,-1)),'6.Reportes de Pagos'!D:D,$P67)</f>
        <v>146549142</v>
      </c>
      <c r="AC67" s="178">
        <v>0</v>
      </c>
      <c r="AD67" s="179">
        <f>SUMIFS('6.Reportes de Pagos'!I:I,'6.Reportes de Pagos'!H:H,"&gt;"&amp;(EOMONTH(FECHA,-1)),'6.Reportes de Pagos'!H:H,"&lt;="&amp;(EOMONTH(FECHA,0)),'6.Reportes de Pagos'!D:D,$P67)</f>
        <v>0</v>
      </c>
      <c r="AE67" s="179">
        <f>SUMIFS('6.Reportes de Pagos'!J:J,'6.Reportes de Pagos'!H:H,"&gt;"&amp;(EOMONTH(FECHA,-1)),'6.Reportes de Pagos'!H:H,"&lt;="&amp;(EOMONTH(FECHA,0)),'6.Reportes de Pagos'!D:D,$P67)</f>
        <v>-146549142</v>
      </c>
      <c r="AF67" s="179">
        <v>0</v>
      </c>
      <c r="AG67" s="177">
        <f>SUMIFS('6.Reportes de Pagos'!I:I,'6.Reportes de Pagos'!H:H,"&lt;="&amp;(EOMONTH(FECHA,0)),'6.Reportes de Pagos'!D:D,$P67)</f>
        <v>1465491420</v>
      </c>
      <c r="AH67" s="177">
        <f>SUMIFS('6.Reportes de Pagos'!J:J,'6.Reportes de Pagos'!H:H,"&lt;="&amp;(EOMONTH(FECHA,0)),'6.Reportes de Pagos'!D:D,$P67)</f>
        <v>0</v>
      </c>
      <c r="AI67" s="177">
        <f t="shared" si="6"/>
        <v>0</v>
      </c>
      <c r="AJ67" s="177"/>
      <c r="AK67" s="180">
        <f t="shared" si="7"/>
        <v>0</v>
      </c>
      <c r="AL67" s="208">
        <f t="shared" si="8"/>
        <v>1</v>
      </c>
      <c r="AM67" s="75" t="s">
        <v>1331</v>
      </c>
    </row>
    <row r="68" spans="1:39" s="204" customFormat="1" ht="105" x14ac:dyDescent="0.25">
      <c r="A68" s="115">
        <f t="shared" si="5"/>
        <v>58</v>
      </c>
      <c r="B68" s="116" t="s">
        <v>51</v>
      </c>
      <c r="C68" s="90">
        <v>87123</v>
      </c>
      <c r="D68" s="117" t="s">
        <v>90</v>
      </c>
      <c r="E68" s="118">
        <v>2023</v>
      </c>
      <c r="F68" s="119">
        <v>67</v>
      </c>
      <c r="G68" s="120">
        <v>45308</v>
      </c>
      <c r="H68" s="215">
        <v>359610130</v>
      </c>
      <c r="I68" s="119" t="s">
        <v>264</v>
      </c>
      <c r="J68" s="76" t="s">
        <v>297</v>
      </c>
      <c r="K68" s="83" t="s">
        <v>296</v>
      </c>
      <c r="L68" s="119" t="s">
        <v>246</v>
      </c>
      <c r="M68" s="119">
        <v>10</v>
      </c>
      <c r="N68" s="119">
        <v>4</v>
      </c>
      <c r="O68" s="119" t="s">
        <v>1185</v>
      </c>
      <c r="P68" s="144" t="s">
        <v>405</v>
      </c>
      <c r="Q68" s="122">
        <v>45411</v>
      </c>
      <c r="R68" s="120" t="s">
        <v>131</v>
      </c>
      <c r="S68" s="115" t="s">
        <v>127</v>
      </c>
      <c r="T68" s="123" t="s">
        <v>406</v>
      </c>
      <c r="U68" s="119">
        <v>901820483</v>
      </c>
      <c r="V68" s="175">
        <v>337131848</v>
      </c>
      <c r="W68" s="175">
        <f t="shared" si="9"/>
        <v>22478282</v>
      </c>
      <c r="X68" s="175"/>
      <c r="Y68" s="175"/>
      <c r="Z68" s="176">
        <f t="shared" si="10"/>
        <v>337131848</v>
      </c>
      <c r="AA68" s="177">
        <f>SUMIFS('6.Reportes de Pagos'!I:I,'6.Reportes de Pagos'!H:H,"&lt;="&amp;(EOMONTH(FECHA,-1)),'6.Reportes de Pagos'!D:D,$P68)</f>
        <v>337131848</v>
      </c>
      <c r="AB68" s="177">
        <f>SUMIFS('6.Reportes de Pagos'!J:J,'6.Reportes de Pagos'!H:H,"&lt;="&amp;(EOMONTH(FECHA,-1)),'6.Reportes de Pagos'!D:D,$P68)</f>
        <v>33713184.800000004</v>
      </c>
      <c r="AC68" s="178">
        <v>0</v>
      </c>
      <c r="AD68" s="179">
        <f>SUMIFS('6.Reportes de Pagos'!I:I,'6.Reportes de Pagos'!H:H,"&gt;"&amp;(EOMONTH(FECHA,-1)),'6.Reportes de Pagos'!H:H,"&lt;="&amp;(EOMONTH(FECHA,0)),'6.Reportes de Pagos'!D:D,$P68)</f>
        <v>0</v>
      </c>
      <c r="AE68" s="179">
        <f>SUMIFS('6.Reportes de Pagos'!J:J,'6.Reportes de Pagos'!H:H,"&gt;"&amp;(EOMONTH(FECHA,-1)),'6.Reportes de Pagos'!H:H,"&lt;="&amp;(EOMONTH(FECHA,0)),'6.Reportes de Pagos'!D:D,$P68)</f>
        <v>0</v>
      </c>
      <c r="AF68" s="179">
        <v>0</v>
      </c>
      <c r="AG68" s="177">
        <f>SUMIFS('6.Reportes de Pagos'!I:I,'6.Reportes de Pagos'!H:H,"&lt;="&amp;(EOMONTH(FECHA,0)),'6.Reportes de Pagos'!D:D,$P68)</f>
        <v>337131848</v>
      </c>
      <c r="AH68" s="177">
        <f>SUMIFS('6.Reportes de Pagos'!J:J,'6.Reportes de Pagos'!H:H,"&lt;="&amp;(EOMONTH(FECHA,0)),'6.Reportes de Pagos'!D:D,$P68)</f>
        <v>33713184.800000004</v>
      </c>
      <c r="AI68" s="177">
        <f t="shared" si="6"/>
        <v>0</v>
      </c>
      <c r="AJ68" s="177"/>
      <c r="AK68" s="180">
        <f t="shared" si="7"/>
        <v>33713184.800000012</v>
      </c>
      <c r="AL68" s="208">
        <f t="shared" si="8"/>
        <v>0.89999999999999991</v>
      </c>
      <c r="AM68" s="210" t="s">
        <v>1219</v>
      </c>
    </row>
    <row r="69" spans="1:39" s="204" customFormat="1" ht="90" x14ac:dyDescent="0.25">
      <c r="A69" s="115">
        <f t="shared" si="5"/>
        <v>59</v>
      </c>
      <c r="B69" s="116" t="s">
        <v>51</v>
      </c>
      <c r="C69" s="90">
        <v>87123</v>
      </c>
      <c r="D69" s="117" t="s">
        <v>90</v>
      </c>
      <c r="E69" s="118">
        <v>2023</v>
      </c>
      <c r="F69" s="119">
        <v>60</v>
      </c>
      <c r="G69" s="120">
        <v>45302</v>
      </c>
      <c r="H69" s="121">
        <v>962283090</v>
      </c>
      <c r="I69" s="119" t="s">
        <v>120</v>
      </c>
      <c r="J69" s="76" t="s">
        <v>298</v>
      </c>
      <c r="K69" s="83" t="s">
        <v>299</v>
      </c>
      <c r="L69" s="119" t="s">
        <v>183</v>
      </c>
      <c r="M69" s="119" t="s">
        <v>124</v>
      </c>
      <c r="N69" s="119">
        <v>1</v>
      </c>
      <c r="O69" s="119" t="s">
        <v>1186</v>
      </c>
      <c r="P69" s="144" t="s">
        <v>820</v>
      </c>
      <c r="Q69" s="122">
        <v>45625</v>
      </c>
      <c r="R69" s="120" t="s">
        <v>131</v>
      </c>
      <c r="S69" s="115" t="s">
        <v>127</v>
      </c>
      <c r="T69" s="123" t="s">
        <v>140</v>
      </c>
      <c r="U69" s="119">
        <v>901808808</v>
      </c>
      <c r="V69" s="175">
        <v>907048041</v>
      </c>
      <c r="W69" s="175">
        <f t="shared" si="9"/>
        <v>55235049</v>
      </c>
      <c r="X69" s="175"/>
      <c r="Y69" s="175"/>
      <c r="Z69" s="176">
        <f t="shared" si="10"/>
        <v>907048041</v>
      </c>
      <c r="AA69" s="177">
        <f>SUMIFS('6.Reportes de Pagos'!I:I,'6.Reportes de Pagos'!H:H,"&lt;="&amp;(EOMONTH(FECHA,-1)),'6.Reportes de Pagos'!D:D,$P69)</f>
        <v>0</v>
      </c>
      <c r="AB69" s="177">
        <f>SUMIFS('6.Reportes de Pagos'!J:J,'6.Reportes de Pagos'!H:H,"&lt;="&amp;(EOMONTH(FECHA,-1)),'6.Reportes de Pagos'!D:D,$P69)</f>
        <v>0</v>
      </c>
      <c r="AC69" s="178">
        <v>0</v>
      </c>
      <c r="AD69" s="179">
        <f>SUMIFS('6.Reportes de Pagos'!I:I,'6.Reportes de Pagos'!H:H,"&gt;"&amp;(EOMONTH(FECHA,-1)),'6.Reportes de Pagos'!H:H,"&lt;="&amp;(EOMONTH(FECHA,0)),'6.Reportes de Pagos'!D:D,$P69)</f>
        <v>0</v>
      </c>
      <c r="AE69" s="179">
        <f>SUMIFS('6.Reportes de Pagos'!J:J,'6.Reportes de Pagos'!H:H,"&gt;"&amp;(EOMONTH(FECHA,-1)),'6.Reportes de Pagos'!H:H,"&lt;="&amp;(EOMONTH(FECHA,0)),'6.Reportes de Pagos'!D:D,$P69)</f>
        <v>0</v>
      </c>
      <c r="AF69" s="179">
        <v>0</v>
      </c>
      <c r="AG69" s="177">
        <f>SUMIFS('6.Reportes de Pagos'!I:I,'6.Reportes de Pagos'!H:H,"&lt;="&amp;(EOMONTH(FECHA,0)),'6.Reportes de Pagos'!D:D,$P69)</f>
        <v>0</v>
      </c>
      <c r="AH69" s="177">
        <f>SUMIFS('6.Reportes de Pagos'!J:J,'6.Reportes de Pagos'!H:H,"&lt;="&amp;(EOMONTH(FECHA,0)),'6.Reportes de Pagos'!D:D,$P69)</f>
        <v>0</v>
      </c>
      <c r="AI69" s="177">
        <f t="shared" si="6"/>
        <v>0</v>
      </c>
      <c r="AJ69" s="177"/>
      <c r="AK69" s="180">
        <f t="shared" si="7"/>
        <v>907048041</v>
      </c>
      <c r="AL69" s="208">
        <f t="shared" si="8"/>
        <v>0</v>
      </c>
      <c r="AM69" s="210" t="s">
        <v>1218</v>
      </c>
    </row>
    <row r="70" spans="1:39" s="204" customFormat="1" ht="60" x14ac:dyDescent="0.25">
      <c r="A70" s="115">
        <f t="shared" si="5"/>
        <v>60</v>
      </c>
      <c r="B70" s="116" t="s">
        <v>51</v>
      </c>
      <c r="C70" s="90">
        <v>87123</v>
      </c>
      <c r="D70" s="117" t="s">
        <v>90</v>
      </c>
      <c r="E70" s="118">
        <v>2023</v>
      </c>
      <c r="F70" s="119">
        <v>152</v>
      </c>
      <c r="G70" s="120">
        <v>45539</v>
      </c>
      <c r="H70" s="121">
        <v>13586357614</v>
      </c>
      <c r="I70" s="119" t="s">
        <v>120</v>
      </c>
      <c r="J70" s="76" t="s">
        <v>300</v>
      </c>
      <c r="K70" s="83" t="s">
        <v>299</v>
      </c>
      <c r="L70" s="119" t="s">
        <v>183</v>
      </c>
      <c r="M70" s="119" t="s">
        <v>124</v>
      </c>
      <c r="N70" s="119">
        <v>1</v>
      </c>
      <c r="O70" s="119" t="s">
        <v>1187</v>
      </c>
      <c r="P70" s="144" t="s">
        <v>838</v>
      </c>
      <c r="Q70" s="122">
        <v>45656</v>
      </c>
      <c r="R70" s="120" t="s">
        <v>126</v>
      </c>
      <c r="S70" s="115" t="s">
        <v>127</v>
      </c>
      <c r="T70" s="123" t="s">
        <v>839</v>
      </c>
      <c r="U70" s="119">
        <v>901892672</v>
      </c>
      <c r="V70" s="175">
        <v>13454936346</v>
      </c>
      <c r="W70" s="175">
        <f t="shared" si="9"/>
        <v>131421268</v>
      </c>
      <c r="X70" s="175"/>
      <c r="Y70" s="175"/>
      <c r="Z70" s="176">
        <f t="shared" si="10"/>
        <v>13454936346</v>
      </c>
      <c r="AA70" s="177">
        <f>SUMIFS('6.Reportes de Pagos'!I:I,'6.Reportes de Pagos'!H:H,"&lt;="&amp;(EOMONTH(FECHA,-1)),'6.Reportes de Pagos'!D:D,$P70)</f>
        <v>0</v>
      </c>
      <c r="AB70" s="177">
        <f>SUMIFS('6.Reportes de Pagos'!J:J,'6.Reportes de Pagos'!H:H,"&lt;="&amp;(EOMONTH(FECHA,-1)),'6.Reportes de Pagos'!D:D,$P70)</f>
        <v>0</v>
      </c>
      <c r="AC70" s="178">
        <v>0</v>
      </c>
      <c r="AD70" s="179">
        <f>SUMIFS('6.Reportes de Pagos'!I:I,'6.Reportes de Pagos'!H:H,"&gt;"&amp;(EOMONTH(FECHA,-1)),'6.Reportes de Pagos'!H:H,"&lt;="&amp;(EOMONTH(FECHA,0)),'6.Reportes de Pagos'!D:D,$P70)</f>
        <v>0</v>
      </c>
      <c r="AE70" s="179">
        <f>SUMIFS('6.Reportes de Pagos'!J:J,'6.Reportes de Pagos'!H:H,"&gt;"&amp;(EOMONTH(FECHA,-1)),'6.Reportes de Pagos'!H:H,"&lt;="&amp;(EOMONTH(FECHA,0)),'6.Reportes de Pagos'!D:D,$P70)</f>
        <v>0</v>
      </c>
      <c r="AF70" s="179">
        <v>0</v>
      </c>
      <c r="AG70" s="177">
        <f>SUMIFS('6.Reportes de Pagos'!I:I,'6.Reportes de Pagos'!H:H,"&lt;="&amp;(EOMONTH(FECHA,0)),'6.Reportes de Pagos'!D:D,$P70)</f>
        <v>0</v>
      </c>
      <c r="AH70" s="177">
        <f>SUMIFS('6.Reportes de Pagos'!J:J,'6.Reportes de Pagos'!H:H,"&lt;="&amp;(EOMONTH(FECHA,0)),'6.Reportes de Pagos'!D:D,$P70)</f>
        <v>0</v>
      </c>
      <c r="AI70" s="177">
        <f t="shared" si="6"/>
        <v>0</v>
      </c>
      <c r="AJ70" s="177"/>
      <c r="AK70" s="180">
        <f t="shared" si="7"/>
        <v>13454936346</v>
      </c>
      <c r="AL70" s="208">
        <f t="shared" si="8"/>
        <v>0</v>
      </c>
      <c r="AM70" s="210" t="s">
        <v>1218</v>
      </c>
    </row>
    <row r="71" spans="1:39" s="204" customFormat="1" ht="75" x14ac:dyDescent="0.25">
      <c r="A71" s="115">
        <f t="shared" si="5"/>
        <v>61</v>
      </c>
      <c r="B71" s="116" t="s">
        <v>51</v>
      </c>
      <c r="C71" s="90">
        <v>87123</v>
      </c>
      <c r="D71" s="117" t="s">
        <v>90</v>
      </c>
      <c r="E71" s="118">
        <v>2023</v>
      </c>
      <c r="F71" s="119">
        <v>61</v>
      </c>
      <c r="G71" s="120">
        <v>45303</v>
      </c>
      <c r="H71" s="215">
        <v>2335418322</v>
      </c>
      <c r="I71" s="119" t="s">
        <v>264</v>
      </c>
      <c r="J71" s="76" t="s">
        <v>301</v>
      </c>
      <c r="K71" s="83" t="s">
        <v>302</v>
      </c>
      <c r="L71" s="119" t="s">
        <v>303</v>
      </c>
      <c r="M71" s="119">
        <v>9</v>
      </c>
      <c r="N71" s="119">
        <v>6</v>
      </c>
      <c r="O71" s="119" t="s">
        <v>1188</v>
      </c>
      <c r="P71" s="144" t="s">
        <v>304</v>
      </c>
      <c r="Q71" s="122">
        <v>45411</v>
      </c>
      <c r="R71" s="120" t="s">
        <v>126</v>
      </c>
      <c r="S71" s="115" t="s">
        <v>127</v>
      </c>
      <c r="T71" s="123" t="s">
        <v>305</v>
      </c>
      <c r="U71" s="119">
        <v>900185357</v>
      </c>
      <c r="V71" s="175">
        <v>2256714724</v>
      </c>
      <c r="W71" s="175">
        <f t="shared" si="9"/>
        <v>78703598</v>
      </c>
      <c r="X71" s="175"/>
      <c r="Y71" s="175"/>
      <c r="Z71" s="176">
        <f t="shared" si="10"/>
        <v>2256714724</v>
      </c>
      <c r="AA71" s="177">
        <f>SUMIFS('6.Reportes de Pagos'!I:I,'6.Reportes de Pagos'!H:H,"&lt;="&amp;(EOMONTH(FECHA,-1)),'6.Reportes de Pagos'!D:D,$P71)</f>
        <v>2256714724</v>
      </c>
      <c r="AB71" s="177">
        <f>SUMIFS('6.Reportes de Pagos'!J:J,'6.Reportes de Pagos'!H:H,"&lt;="&amp;(EOMONTH(FECHA,-1)),'6.Reportes de Pagos'!D:D,$P71)</f>
        <v>225671472.39999998</v>
      </c>
      <c r="AC71" s="178">
        <v>0</v>
      </c>
      <c r="AD71" s="179">
        <f>SUMIFS('6.Reportes de Pagos'!I:I,'6.Reportes de Pagos'!H:H,"&gt;"&amp;(EOMONTH(FECHA,-1)),'6.Reportes de Pagos'!H:H,"&lt;="&amp;(EOMONTH(FECHA,0)),'6.Reportes de Pagos'!D:D,$P71)</f>
        <v>0</v>
      </c>
      <c r="AE71" s="179">
        <f>SUMIFS('6.Reportes de Pagos'!J:J,'6.Reportes de Pagos'!H:H,"&gt;"&amp;(EOMONTH(FECHA,-1)),'6.Reportes de Pagos'!H:H,"&lt;="&amp;(EOMONTH(FECHA,0)),'6.Reportes de Pagos'!D:D,$P71)</f>
        <v>0</v>
      </c>
      <c r="AF71" s="179">
        <v>0</v>
      </c>
      <c r="AG71" s="177">
        <f>SUMIFS('6.Reportes de Pagos'!I:I,'6.Reportes de Pagos'!H:H,"&lt;="&amp;(EOMONTH(FECHA,0)),'6.Reportes de Pagos'!D:D,$P71)</f>
        <v>2256714724</v>
      </c>
      <c r="AH71" s="177">
        <f>SUMIFS('6.Reportes de Pagos'!J:J,'6.Reportes de Pagos'!H:H,"&lt;="&amp;(EOMONTH(FECHA,0)),'6.Reportes de Pagos'!D:D,$P71)</f>
        <v>225671472.39999998</v>
      </c>
      <c r="AI71" s="177">
        <f t="shared" si="6"/>
        <v>0</v>
      </c>
      <c r="AJ71" s="177"/>
      <c r="AK71" s="180">
        <f t="shared" si="7"/>
        <v>225671472.4000001</v>
      </c>
      <c r="AL71" s="208">
        <f t="shared" si="8"/>
        <v>0.89999999999999991</v>
      </c>
      <c r="AM71" s="211" t="s">
        <v>1219</v>
      </c>
    </row>
    <row r="72" spans="1:39" s="204" customFormat="1" ht="105" x14ac:dyDescent="0.25">
      <c r="A72" s="115">
        <f t="shared" si="5"/>
        <v>62</v>
      </c>
      <c r="B72" s="116" t="s">
        <v>51</v>
      </c>
      <c r="C72" s="90">
        <v>87123</v>
      </c>
      <c r="D72" s="117" t="s">
        <v>90</v>
      </c>
      <c r="E72" s="118">
        <v>2023</v>
      </c>
      <c r="F72" s="119">
        <v>66</v>
      </c>
      <c r="G72" s="120">
        <v>45308</v>
      </c>
      <c r="H72" s="215">
        <v>502109790</v>
      </c>
      <c r="I72" s="119" t="s">
        <v>264</v>
      </c>
      <c r="J72" s="76" t="s">
        <v>306</v>
      </c>
      <c r="K72" s="83" t="s">
        <v>302</v>
      </c>
      <c r="L72" s="119" t="s">
        <v>303</v>
      </c>
      <c r="M72" s="119">
        <v>9</v>
      </c>
      <c r="N72" s="119">
        <v>6</v>
      </c>
      <c r="O72" s="119" t="s">
        <v>1189</v>
      </c>
      <c r="P72" s="144" t="s">
        <v>307</v>
      </c>
      <c r="Q72" s="122">
        <v>45373</v>
      </c>
      <c r="R72" s="120" t="s">
        <v>131</v>
      </c>
      <c r="S72" s="115" t="s">
        <v>127</v>
      </c>
      <c r="T72" s="123" t="s">
        <v>288</v>
      </c>
      <c r="U72" s="119">
        <v>9050725</v>
      </c>
      <c r="V72" s="175">
        <v>471983203</v>
      </c>
      <c r="W72" s="175">
        <f t="shared" si="9"/>
        <v>30126587</v>
      </c>
      <c r="X72" s="175"/>
      <c r="Y72" s="175"/>
      <c r="Z72" s="176">
        <f t="shared" si="10"/>
        <v>471983203</v>
      </c>
      <c r="AA72" s="177">
        <f>SUMIFS('6.Reportes de Pagos'!I:I,'6.Reportes de Pagos'!H:H,"&lt;="&amp;(EOMONTH(FECHA,-1)),'6.Reportes de Pagos'!D:D,$P72)</f>
        <v>439377638.30000001</v>
      </c>
      <c r="AB72" s="177">
        <f>SUMIFS('6.Reportes de Pagos'!J:J,'6.Reportes de Pagos'!H:H,"&lt;="&amp;(EOMONTH(FECHA,-1)),'6.Reportes de Pagos'!D:D,$P72)</f>
        <v>43937763.829999998</v>
      </c>
      <c r="AC72" s="178">
        <v>0</v>
      </c>
      <c r="AD72" s="179">
        <f>SUMIFS('6.Reportes de Pagos'!I:I,'6.Reportes de Pagos'!H:H,"&gt;"&amp;(EOMONTH(FECHA,-1)),'6.Reportes de Pagos'!H:H,"&lt;="&amp;(EOMONTH(FECHA,0)),'6.Reportes de Pagos'!D:D,$P72)</f>
        <v>0</v>
      </c>
      <c r="AE72" s="179">
        <f>SUMIFS('6.Reportes de Pagos'!J:J,'6.Reportes de Pagos'!H:H,"&gt;"&amp;(EOMONTH(FECHA,-1)),'6.Reportes de Pagos'!H:H,"&lt;="&amp;(EOMONTH(FECHA,0)),'6.Reportes de Pagos'!D:D,$P72)</f>
        <v>0</v>
      </c>
      <c r="AF72" s="179">
        <v>0</v>
      </c>
      <c r="AG72" s="177">
        <f>SUMIFS('6.Reportes de Pagos'!I:I,'6.Reportes de Pagos'!H:H,"&lt;="&amp;(EOMONTH(FECHA,0)),'6.Reportes de Pagos'!D:D,$P72)</f>
        <v>439377638.30000001</v>
      </c>
      <c r="AH72" s="177">
        <f>SUMIFS('6.Reportes de Pagos'!J:J,'6.Reportes de Pagos'!H:H,"&lt;="&amp;(EOMONTH(FECHA,0)),'6.Reportes de Pagos'!D:D,$P72)</f>
        <v>43937763.829999998</v>
      </c>
      <c r="AI72" s="177">
        <f t="shared" si="6"/>
        <v>0</v>
      </c>
      <c r="AJ72" s="177"/>
      <c r="AK72" s="180">
        <f t="shared" si="7"/>
        <v>76543328.529999971</v>
      </c>
      <c r="AL72" s="208">
        <f t="shared" si="8"/>
        <v>0.83782615982204778</v>
      </c>
      <c r="AM72" s="210" t="s">
        <v>1218</v>
      </c>
    </row>
    <row r="73" spans="1:39" s="204" customFormat="1" ht="105" x14ac:dyDescent="0.25">
      <c r="A73" s="115">
        <f t="shared" si="5"/>
        <v>63</v>
      </c>
      <c r="B73" s="116" t="s">
        <v>51</v>
      </c>
      <c r="C73" s="90">
        <v>87123</v>
      </c>
      <c r="D73" s="117" t="s">
        <v>90</v>
      </c>
      <c r="E73" s="118">
        <v>2023</v>
      </c>
      <c r="F73" s="119">
        <v>69</v>
      </c>
      <c r="G73" s="120">
        <v>45313</v>
      </c>
      <c r="H73" s="215">
        <v>359610130</v>
      </c>
      <c r="I73" s="119" t="s">
        <v>264</v>
      </c>
      <c r="J73" s="76" t="s">
        <v>308</v>
      </c>
      <c r="K73" s="83" t="s">
        <v>309</v>
      </c>
      <c r="L73" s="119" t="s">
        <v>310</v>
      </c>
      <c r="M73" s="119">
        <v>1</v>
      </c>
      <c r="N73" s="119">
        <v>4</v>
      </c>
      <c r="O73" s="119"/>
      <c r="P73" s="144"/>
      <c r="Q73" s="122"/>
      <c r="R73" s="120" t="s">
        <v>131</v>
      </c>
      <c r="S73" s="115" t="s">
        <v>167</v>
      </c>
      <c r="T73" s="123"/>
      <c r="U73" s="119"/>
      <c r="V73" s="175"/>
      <c r="W73" s="175">
        <f t="shared" si="9"/>
        <v>359610130</v>
      </c>
      <c r="X73" s="175"/>
      <c r="Y73" s="175"/>
      <c r="Z73" s="176">
        <f t="shared" si="10"/>
        <v>0</v>
      </c>
      <c r="AA73" s="177">
        <f>SUMIFS('6.Reportes de Pagos'!I:I,'6.Reportes de Pagos'!H:H,"&lt;="&amp;(EOMONTH(FECHA,-1)),'6.Reportes de Pagos'!D:D,$P73)</f>
        <v>0</v>
      </c>
      <c r="AB73" s="177">
        <f>SUMIFS('6.Reportes de Pagos'!J:J,'6.Reportes de Pagos'!H:H,"&lt;="&amp;(EOMONTH(FECHA,-1)),'6.Reportes de Pagos'!D:D,$P73)</f>
        <v>0</v>
      </c>
      <c r="AC73" s="178">
        <v>0</v>
      </c>
      <c r="AD73" s="179">
        <f>SUMIFS('6.Reportes de Pagos'!I:I,'6.Reportes de Pagos'!H:H,"&gt;"&amp;(EOMONTH(FECHA,-1)),'6.Reportes de Pagos'!H:H,"&lt;="&amp;(EOMONTH(FECHA,0)),'6.Reportes de Pagos'!D:D,$P73)</f>
        <v>0</v>
      </c>
      <c r="AE73" s="179">
        <f>SUMIFS('6.Reportes de Pagos'!J:J,'6.Reportes de Pagos'!H:H,"&gt;"&amp;(EOMONTH(FECHA,-1)),'6.Reportes de Pagos'!H:H,"&lt;="&amp;(EOMONTH(FECHA,0)),'6.Reportes de Pagos'!D:D,$P73)</f>
        <v>0</v>
      </c>
      <c r="AF73" s="179">
        <v>0</v>
      </c>
      <c r="AG73" s="177">
        <f>SUMIFS('6.Reportes de Pagos'!I:I,'6.Reportes de Pagos'!H:H,"&lt;="&amp;(EOMONTH(FECHA,0)),'6.Reportes de Pagos'!D:D,$P73)</f>
        <v>0</v>
      </c>
      <c r="AH73" s="177">
        <f>SUMIFS('6.Reportes de Pagos'!J:J,'6.Reportes de Pagos'!H:H,"&lt;="&amp;(EOMONTH(FECHA,0)),'6.Reportes de Pagos'!D:D,$P73)</f>
        <v>0</v>
      </c>
      <c r="AI73" s="177">
        <f t="shared" si="6"/>
        <v>0</v>
      </c>
      <c r="AJ73" s="177"/>
      <c r="AK73" s="180">
        <f t="shared" si="7"/>
        <v>0</v>
      </c>
      <c r="AL73" s="182">
        <f t="shared" si="8"/>
        <v>0</v>
      </c>
      <c r="AM73" s="210" t="s">
        <v>167</v>
      </c>
    </row>
    <row r="74" spans="1:39" s="204" customFormat="1" ht="75" x14ac:dyDescent="0.25">
      <c r="A74" s="115">
        <f t="shared" si="5"/>
        <v>64</v>
      </c>
      <c r="B74" s="116" t="s">
        <v>51</v>
      </c>
      <c r="C74" s="90">
        <v>87123</v>
      </c>
      <c r="D74" s="117" t="s">
        <v>90</v>
      </c>
      <c r="E74" s="118">
        <v>2023</v>
      </c>
      <c r="F74" s="119">
        <v>71</v>
      </c>
      <c r="G74" s="120">
        <v>45313</v>
      </c>
      <c r="H74" s="215">
        <v>1532454348</v>
      </c>
      <c r="I74" s="119" t="s">
        <v>264</v>
      </c>
      <c r="J74" s="76" t="s">
        <v>311</v>
      </c>
      <c r="K74" s="83" t="s">
        <v>309</v>
      </c>
      <c r="L74" s="119" t="s">
        <v>310</v>
      </c>
      <c r="M74" s="119">
        <v>1</v>
      </c>
      <c r="N74" s="119">
        <v>4</v>
      </c>
      <c r="O74" s="119"/>
      <c r="P74" s="144"/>
      <c r="Q74" s="122"/>
      <c r="R74" s="120" t="s">
        <v>126</v>
      </c>
      <c r="S74" s="115" t="s">
        <v>167</v>
      </c>
      <c r="T74" s="123"/>
      <c r="U74" s="119"/>
      <c r="V74" s="175"/>
      <c r="W74" s="175">
        <f t="shared" si="9"/>
        <v>1532454348</v>
      </c>
      <c r="X74" s="175"/>
      <c r="Y74" s="175"/>
      <c r="Z74" s="176">
        <f t="shared" si="10"/>
        <v>0</v>
      </c>
      <c r="AA74" s="177">
        <f>SUMIFS('6.Reportes de Pagos'!I:I,'6.Reportes de Pagos'!H:H,"&lt;="&amp;(EOMONTH(FECHA,-1)),'6.Reportes de Pagos'!D:D,$P74)</f>
        <v>0</v>
      </c>
      <c r="AB74" s="177">
        <f>SUMIFS('6.Reportes de Pagos'!J:J,'6.Reportes de Pagos'!H:H,"&lt;="&amp;(EOMONTH(FECHA,-1)),'6.Reportes de Pagos'!D:D,$P74)</f>
        <v>0</v>
      </c>
      <c r="AC74" s="178">
        <v>0</v>
      </c>
      <c r="AD74" s="179">
        <f>SUMIFS('6.Reportes de Pagos'!I:I,'6.Reportes de Pagos'!H:H,"&gt;"&amp;(EOMONTH(FECHA,-1)),'6.Reportes de Pagos'!H:H,"&lt;="&amp;(EOMONTH(FECHA,0)),'6.Reportes de Pagos'!D:D,$P74)</f>
        <v>0</v>
      </c>
      <c r="AE74" s="179">
        <f>SUMIFS('6.Reportes de Pagos'!J:J,'6.Reportes de Pagos'!H:H,"&gt;"&amp;(EOMONTH(FECHA,-1)),'6.Reportes de Pagos'!H:H,"&lt;="&amp;(EOMONTH(FECHA,0)),'6.Reportes de Pagos'!D:D,$P74)</f>
        <v>0</v>
      </c>
      <c r="AF74" s="179">
        <v>0</v>
      </c>
      <c r="AG74" s="177">
        <f>SUMIFS('6.Reportes de Pagos'!I:I,'6.Reportes de Pagos'!H:H,"&lt;="&amp;(EOMONTH(FECHA,0)),'6.Reportes de Pagos'!D:D,$P74)</f>
        <v>0</v>
      </c>
      <c r="AH74" s="177">
        <f>SUMIFS('6.Reportes de Pagos'!J:J,'6.Reportes de Pagos'!H:H,"&lt;="&amp;(EOMONTH(FECHA,0)),'6.Reportes de Pagos'!D:D,$P74)</f>
        <v>0</v>
      </c>
      <c r="AI74" s="177">
        <f t="shared" si="6"/>
        <v>0</v>
      </c>
      <c r="AJ74" s="177"/>
      <c r="AK74" s="180">
        <f t="shared" si="7"/>
        <v>0</v>
      </c>
      <c r="AL74" s="182">
        <f t="shared" si="8"/>
        <v>0</v>
      </c>
      <c r="AM74" s="210" t="s">
        <v>167</v>
      </c>
    </row>
    <row r="75" spans="1:39" s="204" customFormat="1" ht="75" x14ac:dyDescent="0.25">
      <c r="A75" s="115">
        <f t="shared" si="5"/>
        <v>65</v>
      </c>
      <c r="B75" s="116" t="s">
        <v>51</v>
      </c>
      <c r="C75" s="90">
        <v>87123</v>
      </c>
      <c r="D75" s="117" t="s">
        <v>90</v>
      </c>
      <c r="E75" s="118">
        <v>2023</v>
      </c>
      <c r="F75" s="119">
        <v>138</v>
      </c>
      <c r="G75" s="120">
        <v>45489</v>
      </c>
      <c r="H75" s="215">
        <v>1900764019</v>
      </c>
      <c r="I75" s="119" t="s">
        <v>264</v>
      </c>
      <c r="J75" s="76" t="s">
        <v>312</v>
      </c>
      <c r="K75" s="83" t="s">
        <v>313</v>
      </c>
      <c r="L75" s="119" t="s">
        <v>183</v>
      </c>
      <c r="M75" s="119">
        <v>4</v>
      </c>
      <c r="N75" s="119">
        <v>5</v>
      </c>
      <c r="O75" s="119" t="s">
        <v>1190</v>
      </c>
      <c r="P75" s="144" t="s">
        <v>615</v>
      </c>
      <c r="Q75" s="122">
        <v>45565</v>
      </c>
      <c r="R75" s="120" t="s">
        <v>126</v>
      </c>
      <c r="S75" s="115" t="s">
        <v>127</v>
      </c>
      <c r="T75" s="123" t="s">
        <v>616</v>
      </c>
      <c r="U75" s="119">
        <v>901871560</v>
      </c>
      <c r="V75" s="175">
        <v>1899188797</v>
      </c>
      <c r="W75" s="175">
        <f t="shared" si="9"/>
        <v>1575222</v>
      </c>
      <c r="X75" s="175"/>
      <c r="Y75" s="175">
        <v>24260223</v>
      </c>
      <c r="Z75" s="176">
        <f t="shared" si="10"/>
        <v>1899188797</v>
      </c>
      <c r="AA75" s="177">
        <f>SUMIFS('6.Reportes de Pagos'!I:I,'6.Reportes de Pagos'!H:H,"&lt;="&amp;(EOMONTH(FECHA,-1)),'6.Reportes de Pagos'!D:D,$P75)</f>
        <v>313626687.22000003</v>
      </c>
      <c r="AB75" s="177">
        <f>SUMIFS('6.Reportes de Pagos'!J:J,'6.Reportes de Pagos'!H:H,"&lt;="&amp;(EOMONTH(FECHA,-1)),'6.Reportes de Pagos'!D:D,$P75)</f>
        <v>31362668.719999999</v>
      </c>
      <c r="AC75" s="178">
        <v>0</v>
      </c>
      <c r="AD75" s="179">
        <f>SUMIFS('6.Reportes de Pagos'!I:I,'6.Reportes de Pagos'!H:H,"&gt;"&amp;(EOMONTH(FECHA,-1)),'6.Reportes de Pagos'!H:H,"&lt;="&amp;(EOMONTH(FECHA,0)),'6.Reportes de Pagos'!D:D,$P75)</f>
        <v>86672818.25999999</v>
      </c>
      <c r="AE75" s="179">
        <f>SUMIFS('6.Reportes de Pagos'!J:J,'6.Reportes de Pagos'!H:H,"&gt;"&amp;(EOMONTH(FECHA,-1)),'6.Reportes de Pagos'!H:H,"&lt;="&amp;(EOMONTH(FECHA,0)),'6.Reportes de Pagos'!D:D,$P75)</f>
        <v>8667281.8300000001</v>
      </c>
      <c r="AF75" s="179">
        <v>0</v>
      </c>
      <c r="AG75" s="177">
        <f>SUMIFS('6.Reportes de Pagos'!I:I,'6.Reportes de Pagos'!H:H,"&lt;="&amp;(EOMONTH(FECHA,0)),'6.Reportes de Pagos'!D:D,$P75)</f>
        <v>400299505.48000002</v>
      </c>
      <c r="AH75" s="177">
        <f>SUMIFS('6.Reportes de Pagos'!J:J,'6.Reportes de Pagos'!H:H,"&lt;="&amp;(EOMONTH(FECHA,0)),'6.Reportes de Pagos'!D:D,$P75)</f>
        <v>40029950.549999997</v>
      </c>
      <c r="AI75" s="177">
        <f t="shared" si="6"/>
        <v>0</v>
      </c>
      <c r="AJ75" s="177"/>
      <c r="AK75" s="180">
        <f t="shared" si="7"/>
        <v>1538919242.0699999</v>
      </c>
      <c r="AL75" s="208">
        <f t="shared" si="8"/>
        <v>0.1896965459669358</v>
      </c>
      <c r="AM75" s="210" t="s">
        <v>1219</v>
      </c>
    </row>
    <row r="76" spans="1:39" s="204" customFormat="1" ht="105" x14ac:dyDescent="0.25">
      <c r="A76" s="115">
        <f t="shared" si="5"/>
        <v>66</v>
      </c>
      <c r="B76" s="116" t="s">
        <v>51</v>
      </c>
      <c r="C76" s="90">
        <v>87123</v>
      </c>
      <c r="D76" s="117" t="s">
        <v>90</v>
      </c>
      <c r="E76" s="118">
        <v>2023</v>
      </c>
      <c r="F76" s="119">
        <v>74</v>
      </c>
      <c r="G76" s="120">
        <v>45314</v>
      </c>
      <c r="H76" s="215">
        <v>464289510</v>
      </c>
      <c r="I76" s="119" t="s">
        <v>264</v>
      </c>
      <c r="J76" s="76" t="s">
        <v>314</v>
      </c>
      <c r="K76" s="83" t="s">
        <v>313</v>
      </c>
      <c r="L76" s="119" t="s">
        <v>183</v>
      </c>
      <c r="M76" s="119">
        <v>4</v>
      </c>
      <c r="N76" s="119">
        <v>5</v>
      </c>
      <c r="O76" s="119" t="s">
        <v>1191</v>
      </c>
      <c r="P76" s="144" t="s">
        <v>613</v>
      </c>
      <c r="Q76" s="122">
        <v>45559</v>
      </c>
      <c r="R76" s="120" t="s">
        <v>131</v>
      </c>
      <c r="S76" s="115" t="s">
        <v>127</v>
      </c>
      <c r="T76" s="123" t="s">
        <v>614</v>
      </c>
      <c r="U76" s="119">
        <v>901871898</v>
      </c>
      <c r="V76" s="175">
        <v>437360718</v>
      </c>
      <c r="W76" s="175">
        <f t="shared" si="9"/>
        <v>26928792</v>
      </c>
      <c r="X76" s="175">
        <v>24260223</v>
      </c>
      <c r="Y76" s="175"/>
      <c r="Z76" s="176">
        <f t="shared" ref="Z76:Z104" si="11">+V76+X76</f>
        <v>461620941</v>
      </c>
      <c r="AA76" s="177">
        <f>SUMIFS('6.Reportes de Pagos'!I:I,'6.Reportes de Pagos'!H:H,"&lt;="&amp;(EOMONTH(FECHA,-1)),'6.Reportes de Pagos'!D:D,$P76)</f>
        <v>197844644.56999999</v>
      </c>
      <c r="AB76" s="177">
        <f>SUMIFS('6.Reportes de Pagos'!J:J,'6.Reportes de Pagos'!H:H,"&lt;="&amp;(EOMONTH(FECHA,-1)),'6.Reportes de Pagos'!D:D,$P76)</f>
        <v>19784464.449999999</v>
      </c>
      <c r="AC76" s="178">
        <v>0</v>
      </c>
      <c r="AD76" s="179">
        <f>SUMIFS('6.Reportes de Pagos'!I:I,'6.Reportes de Pagos'!H:H,"&gt;"&amp;(EOMONTH(FECHA,-1)),'6.Reportes de Pagos'!H:H,"&lt;="&amp;(EOMONTH(FECHA,0)),'6.Reportes de Pagos'!D:D,$P76)</f>
        <v>30769726.349999998</v>
      </c>
      <c r="AE76" s="179">
        <f>SUMIFS('6.Reportes de Pagos'!J:J,'6.Reportes de Pagos'!H:H,"&gt;"&amp;(EOMONTH(FECHA,-1)),'6.Reportes de Pagos'!H:H,"&lt;="&amp;(EOMONTH(FECHA,0)),'6.Reportes de Pagos'!D:D,$P76)</f>
        <v>3076972.64</v>
      </c>
      <c r="AF76" s="179">
        <v>0</v>
      </c>
      <c r="AG76" s="177">
        <f>SUMIFS('6.Reportes de Pagos'!I:I,'6.Reportes de Pagos'!H:H,"&lt;="&amp;(EOMONTH(FECHA,0)),'6.Reportes de Pagos'!D:D,$P76)</f>
        <v>228614370.91999999</v>
      </c>
      <c r="AH76" s="177">
        <f>SUMIFS('6.Reportes de Pagos'!J:J,'6.Reportes de Pagos'!H:H,"&lt;="&amp;(EOMONTH(FECHA,0)),'6.Reportes de Pagos'!D:D,$P76)</f>
        <v>22861437.09</v>
      </c>
      <c r="AI76" s="177">
        <f t="shared" ref="AI76:AI104" si="12">+AC76+AF76</f>
        <v>0</v>
      </c>
      <c r="AJ76" s="177"/>
      <c r="AK76" s="180">
        <f t="shared" ref="AK76:AK104" si="13">+Z76-(AG76-AH76)-AI76</f>
        <v>255868007.17000002</v>
      </c>
      <c r="AL76" s="208">
        <f t="shared" ref="AL76:AL104" si="14">IFERROR(((AG76-AH76+AI76)/Z76),0)</f>
        <v>0.4457183709739892</v>
      </c>
      <c r="AM76" s="210" t="s">
        <v>1218</v>
      </c>
    </row>
    <row r="77" spans="1:39" s="204" customFormat="1" ht="75" x14ac:dyDescent="0.25">
      <c r="A77" s="115">
        <f t="shared" ref="A77:A111" si="15">+A76+1</f>
        <v>67</v>
      </c>
      <c r="B77" s="116" t="s">
        <v>51</v>
      </c>
      <c r="C77" s="90">
        <v>87123</v>
      </c>
      <c r="D77" s="117" t="s">
        <v>90</v>
      </c>
      <c r="E77" s="118">
        <v>2023</v>
      </c>
      <c r="F77" s="119">
        <v>166</v>
      </c>
      <c r="G77" s="120">
        <v>45590</v>
      </c>
      <c r="H77" s="215">
        <v>1900764019</v>
      </c>
      <c r="I77" s="119" t="s">
        <v>264</v>
      </c>
      <c r="J77" s="76" t="s">
        <v>415</v>
      </c>
      <c r="K77" s="83" t="s">
        <v>423</v>
      </c>
      <c r="L77" s="119" t="s">
        <v>424</v>
      </c>
      <c r="M77" s="119">
        <v>2</v>
      </c>
      <c r="N77" s="119">
        <v>5</v>
      </c>
      <c r="O77" s="119" t="s">
        <v>1192</v>
      </c>
      <c r="P77" s="144" t="s">
        <v>931</v>
      </c>
      <c r="Q77" s="122">
        <v>45672</v>
      </c>
      <c r="R77" s="120" t="s">
        <v>126</v>
      </c>
      <c r="S77" s="115" t="s">
        <v>127</v>
      </c>
      <c r="T77" s="123" t="s">
        <v>932</v>
      </c>
      <c r="U77" s="119">
        <v>901895097</v>
      </c>
      <c r="V77" s="175">
        <v>1900764019</v>
      </c>
      <c r="W77" s="175">
        <f t="shared" si="9"/>
        <v>0</v>
      </c>
      <c r="X77" s="175"/>
      <c r="Y77" s="175"/>
      <c r="Z77" s="176">
        <f>+V77+X77</f>
        <v>1900764019</v>
      </c>
      <c r="AA77" s="177">
        <f>SUMIFS('6.Reportes de Pagos'!I:I,'6.Reportes de Pagos'!H:H,"&lt;="&amp;(EOMONTH(FECHA,-1)),'6.Reportes de Pagos'!D:D,$P77)</f>
        <v>538635817</v>
      </c>
      <c r="AB77" s="177">
        <f>SUMIFS('6.Reportes de Pagos'!J:J,'6.Reportes de Pagos'!H:H,"&lt;="&amp;(EOMONTH(FECHA,-1)),'6.Reportes de Pagos'!D:D,$P77)</f>
        <v>53863581.700000003</v>
      </c>
      <c r="AC77" s="178">
        <v>0</v>
      </c>
      <c r="AD77" s="179">
        <f>SUMIFS('6.Reportes de Pagos'!I:I,'6.Reportes de Pagos'!H:H,"&gt;"&amp;(EOMONTH(FECHA,-1)),'6.Reportes de Pagos'!H:H,"&lt;="&amp;(EOMONTH(FECHA,0)),'6.Reportes de Pagos'!D:D,$P77)</f>
        <v>420681388</v>
      </c>
      <c r="AE77" s="179">
        <f>SUMIFS('6.Reportes de Pagos'!J:J,'6.Reportes de Pagos'!H:H,"&gt;"&amp;(EOMONTH(FECHA,-1)),'6.Reportes de Pagos'!H:H,"&lt;="&amp;(EOMONTH(FECHA,0)),'6.Reportes de Pagos'!D:D,$P77)</f>
        <v>42068138.800000004</v>
      </c>
      <c r="AF77" s="179">
        <v>0</v>
      </c>
      <c r="AG77" s="177">
        <f>SUMIFS('6.Reportes de Pagos'!I:I,'6.Reportes de Pagos'!H:H,"&lt;="&amp;(EOMONTH(FECHA,0)),'6.Reportes de Pagos'!D:D,$P77)</f>
        <v>959317205</v>
      </c>
      <c r="AH77" s="177">
        <f>SUMIFS('6.Reportes de Pagos'!J:J,'6.Reportes de Pagos'!H:H,"&lt;="&amp;(EOMONTH(FECHA,0)),'6.Reportes de Pagos'!D:D,$P77)</f>
        <v>95931720.5</v>
      </c>
      <c r="AI77" s="177">
        <f>+AC77+AF77</f>
        <v>0</v>
      </c>
      <c r="AJ77" s="177"/>
      <c r="AK77" s="180">
        <f>+Z77-(AG77-AH77)-AI77</f>
        <v>1037378534.5</v>
      </c>
      <c r="AL77" s="208">
        <f>IFERROR(((AG77-AH77+AI77)/Z77),0)</f>
        <v>0.45423075977323624</v>
      </c>
      <c r="AM77" s="210" t="s">
        <v>1218</v>
      </c>
    </row>
    <row r="78" spans="1:39" s="204" customFormat="1" ht="105" x14ac:dyDescent="0.25">
      <c r="A78" s="115">
        <f t="shared" si="15"/>
        <v>68</v>
      </c>
      <c r="B78" s="116" t="s">
        <v>51</v>
      </c>
      <c r="C78" s="90">
        <v>87123</v>
      </c>
      <c r="D78" s="117" t="s">
        <v>90</v>
      </c>
      <c r="E78" s="118">
        <v>2023</v>
      </c>
      <c r="F78" s="119">
        <v>77</v>
      </c>
      <c r="G78" s="120">
        <v>45320</v>
      </c>
      <c r="H78" s="215">
        <v>464289510</v>
      </c>
      <c r="I78" s="119" t="s">
        <v>264</v>
      </c>
      <c r="J78" s="76" t="s">
        <v>316</v>
      </c>
      <c r="K78" s="83" t="s">
        <v>315</v>
      </c>
      <c r="L78" s="119" t="s">
        <v>166</v>
      </c>
      <c r="M78" s="119">
        <v>2</v>
      </c>
      <c r="N78" s="119">
        <v>5</v>
      </c>
      <c r="O78" s="119" t="s">
        <v>1193</v>
      </c>
      <c r="P78" s="144" t="s">
        <v>929</v>
      </c>
      <c r="Q78" s="122">
        <v>45664</v>
      </c>
      <c r="R78" s="120" t="s">
        <v>131</v>
      </c>
      <c r="S78" s="115" t="s">
        <v>127</v>
      </c>
      <c r="T78" s="123" t="s">
        <v>930</v>
      </c>
      <c r="U78" s="119">
        <v>901896417</v>
      </c>
      <c r="V78" s="175">
        <v>436107137</v>
      </c>
      <c r="W78" s="175">
        <f t="shared" si="9"/>
        <v>28182373</v>
      </c>
      <c r="X78" s="175"/>
      <c r="Y78" s="175"/>
      <c r="Z78" s="176">
        <f t="shared" si="11"/>
        <v>436107137</v>
      </c>
      <c r="AA78" s="177">
        <f>SUMIFS('6.Reportes de Pagos'!I:I,'6.Reportes de Pagos'!H:H,"&lt;="&amp;(EOMONTH(FECHA,-1)),'6.Reportes de Pagos'!D:D,$P78)</f>
        <v>184266855.10000002</v>
      </c>
      <c r="AB78" s="177">
        <f>SUMIFS('6.Reportes de Pagos'!J:J,'6.Reportes de Pagos'!H:H,"&lt;="&amp;(EOMONTH(FECHA,-1)),'6.Reportes de Pagos'!D:D,$P78)</f>
        <v>18426685.509999998</v>
      </c>
      <c r="AC78" s="178">
        <v>0</v>
      </c>
      <c r="AD78" s="179">
        <f>SUMIFS('6.Reportes de Pagos'!I:I,'6.Reportes de Pagos'!H:H,"&gt;"&amp;(EOMONTH(FECHA,-1)),'6.Reportes de Pagos'!H:H,"&lt;="&amp;(EOMONTH(FECHA,0)),'6.Reportes de Pagos'!D:D,$P78)</f>
        <v>67788112.370000005</v>
      </c>
      <c r="AE78" s="179">
        <f>SUMIFS('6.Reportes de Pagos'!J:J,'6.Reportes de Pagos'!H:H,"&gt;"&amp;(EOMONTH(FECHA,-1)),'6.Reportes de Pagos'!H:H,"&lt;="&amp;(EOMONTH(FECHA,0)),'6.Reportes de Pagos'!D:D,$P78)</f>
        <v>6778811.2400000002</v>
      </c>
      <c r="AF78" s="179">
        <v>0</v>
      </c>
      <c r="AG78" s="177">
        <f>SUMIFS('6.Reportes de Pagos'!I:I,'6.Reportes de Pagos'!H:H,"&lt;="&amp;(EOMONTH(FECHA,0)),'6.Reportes de Pagos'!D:D,$P78)</f>
        <v>252054967.47000003</v>
      </c>
      <c r="AH78" s="177">
        <f>SUMIFS('6.Reportes de Pagos'!J:J,'6.Reportes de Pagos'!H:H,"&lt;="&amp;(EOMONTH(FECHA,0)),'6.Reportes de Pagos'!D:D,$P78)</f>
        <v>25205496.75</v>
      </c>
      <c r="AI78" s="177">
        <f t="shared" si="12"/>
        <v>0</v>
      </c>
      <c r="AJ78" s="177"/>
      <c r="AK78" s="180">
        <f t="shared" si="13"/>
        <v>209257666.27999997</v>
      </c>
      <c r="AL78" s="208">
        <f t="shared" si="14"/>
        <v>0.52016913155906463</v>
      </c>
      <c r="AM78" s="210" t="s">
        <v>1218</v>
      </c>
    </row>
    <row r="79" spans="1:39" s="204" customFormat="1" ht="90" x14ac:dyDescent="0.25">
      <c r="A79" s="115">
        <f t="shared" si="15"/>
        <v>69</v>
      </c>
      <c r="B79" s="116" t="s">
        <v>51</v>
      </c>
      <c r="C79" s="90">
        <v>87123</v>
      </c>
      <c r="D79" s="117" t="s">
        <v>90</v>
      </c>
      <c r="E79" s="118">
        <v>2023</v>
      </c>
      <c r="F79" s="119">
        <v>78</v>
      </c>
      <c r="G79" s="120">
        <v>45322</v>
      </c>
      <c r="H79" s="215">
        <v>6944210003</v>
      </c>
      <c r="I79" s="119" t="s">
        <v>141</v>
      </c>
      <c r="J79" s="76" t="s">
        <v>317</v>
      </c>
      <c r="K79" s="83" t="s">
        <v>318</v>
      </c>
      <c r="L79" s="119" t="s">
        <v>246</v>
      </c>
      <c r="M79" s="119">
        <v>23</v>
      </c>
      <c r="N79" s="119">
        <v>21</v>
      </c>
      <c r="O79" s="119" t="s">
        <v>1194</v>
      </c>
      <c r="P79" s="144" t="s">
        <v>432</v>
      </c>
      <c r="Q79" s="122">
        <v>45434</v>
      </c>
      <c r="R79" s="120" t="s">
        <v>126</v>
      </c>
      <c r="S79" s="115" t="s">
        <v>127</v>
      </c>
      <c r="T79" s="123" t="s">
        <v>433</v>
      </c>
      <c r="U79" s="119">
        <v>901830109</v>
      </c>
      <c r="V79" s="175">
        <v>6658190000</v>
      </c>
      <c r="W79" s="175">
        <f>+H79-V79</f>
        <v>286020003</v>
      </c>
      <c r="X79" s="175"/>
      <c r="Y79" s="175">
        <v>60000000</v>
      </c>
      <c r="Z79" s="176">
        <f t="shared" si="11"/>
        <v>6658190000</v>
      </c>
      <c r="AA79" s="177">
        <f>SUMIFS('6.Reportes de Pagos'!I:I,'6.Reportes de Pagos'!H:H,"&lt;="&amp;(EOMONTH(FECHA,-1)),'6.Reportes de Pagos'!D:D,$P79)</f>
        <v>5740963086.1900005</v>
      </c>
      <c r="AB79" s="177">
        <f>SUMIFS('6.Reportes de Pagos'!J:J,'6.Reportes de Pagos'!H:H,"&lt;="&amp;(EOMONTH(FECHA,-1)),'6.Reportes de Pagos'!D:D,$P79)</f>
        <v>574096308.62</v>
      </c>
      <c r="AC79" s="178">
        <v>0</v>
      </c>
      <c r="AD79" s="179">
        <f>SUMIFS('6.Reportes de Pagos'!I:I,'6.Reportes de Pagos'!H:H,"&gt;"&amp;(EOMONTH(FECHA,-1)),'6.Reportes de Pagos'!H:H,"&lt;="&amp;(EOMONTH(FECHA,0)),'6.Reportes de Pagos'!D:D,$P79)</f>
        <v>0</v>
      </c>
      <c r="AE79" s="179">
        <f>SUMIFS('6.Reportes de Pagos'!J:J,'6.Reportes de Pagos'!H:H,"&gt;"&amp;(EOMONTH(FECHA,-1)),'6.Reportes de Pagos'!H:H,"&lt;="&amp;(EOMONTH(FECHA,0)),'6.Reportes de Pagos'!D:D,$P79)</f>
        <v>0</v>
      </c>
      <c r="AF79" s="179">
        <v>0</v>
      </c>
      <c r="AG79" s="177">
        <f>SUMIFS('6.Reportes de Pagos'!I:I,'6.Reportes de Pagos'!H:H,"&lt;="&amp;(EOMONTH(FECHA,0)),'6.Reportes de Pagos'!D:D,$P79)</f>
        <v>5740963086.1900005</v>
      </c>
      <c r="AH79" s="177">
        <f>SUMIFS('6.Reportes de Pagos'!J:J,'6.Reportes de Pagos'!H:H,"&lt;="&amp;(EOMONTH(FECHA,0)),'6.Reportes de Pagos'!D:D,$P79)</f>
        <v>574096308.62</v>
      </c>
      <c r="AI79" s="177">
        <f t="shared" si="12"/>
        <v>0</v>
      </c>
      <c r="AJ79" s="177"/>
      <c r="AK79" s="180">
        <f t="shared" si="13"/>
        <v>1491323222.4299994</v>
      </c>
      <c r="AL79" s="208">
        <f t="shared" si="14"/>
        <v>0.77601672189739268</v>
      </c>
      <c r="AM79" s="210" t="s">
        <v>1218</v>
      </c>
    </row>
    <row r="80" spans="1:39" s="204" customFormat="1" ht="120" x14ac:dyDescent="0.25">
      <c r="A80" s="115">
        <f t="shared" si="15"/>
        <v>70</v>
      </c>
      <c r="B80" s="116" t="s">
        <v>51</v>
      </c>
      <c r="C80" s="90">
        <v>87123</v>
      </c>
      <c r="D80" s="117" t="s">
        <v>90</v>
      </c>
      <c r="E80" s="118">
        <v>2023</v>
      </c>
      <c r="F80" s="119">
        <v>79</v>
      </c>
      <c r="G80" s="120">
        <v>45322</v>
      </c>
      <c r="H80" s="215">
        <v>321181280</v>
      </c>
      <c r="I80" s="119" t="s">
        <v>141</v>
      </c>
      <c r="J80" s="76" t="s">
        <v>319</v>
      </c>
      <c r="K80" s="83" t="s">
        <v>318</v>
      </c>
      <c r="L80" s="119" t="s">
        <v>246</v>
      </c>
      <c r="M80" s="119">
        <v>23</v>
      </c>
      <c r="N80" s="119">
        <v>21</v>
      </c>
      <c r="O80" s="119" t="s">
        <v>1195</v>
      </c>
      <c r="P80" s="144" t="s">
        <v>407</v>
      </c>
      <c r="Q80" s="122">
        <v>45412</v>
      </c>
      <c r="R80" s="120" t="s">
        <v>131</v>
      </c>
      <c r="S80" s="115" t="s">
        <v>127</v>
      </c>
      <c r="T80" s="123" t="s">
        <v>408</v>
      </c>
      <c r="U80" s="119">
        <v>85476995</v>
      </c>
      <c r="V80" s="175">
        <v>302552766</v>
      </c>
      <c r="W80" s="175">
        <f t="shared" si="9"/>
        <v>18628514</v>
      </c>
      <c r="X80" s="175">
        <v>60000000</v>
      </c>
      <c r="Y80" s="175"/>
      <c r="Z80" s="176">
        <f t="shared" si="11"/>
        <v>362552766</v>
      </c>
      <c r="AA80" s="177">
        <f>SUMIFS('6.Reportes de Pagos'!I:I,'6.Reportes de Pagos'!H:H,"&lt;="&amp;(EOMONTH(FECHA,-1)),'6.Reportes de Pagos'!D:D,$P80)</f>
        <v>306603767.50000006</v>
      </c>
      <c r="AB80" s="177">
        <f>SUMIFS('6.Reportes de Pagos'!J:J,'6.Reportes de Pagos'!H:H,"&lt;="&amp;(EOMONTH(FECHA,-1)),'6.Reportes de Pagos'!D:D,$P80)</f>
        <v>30660376.740000002</v>
      </c>
      <c r="AC80" s="178">
        <v>0</v>
      </c>
      <c r="AD80" s="179">
        <f>SUMIFS('6.Reportes de Pagos'!I:I,'6.Reportes de Pagos'!H:H,"&gt;"&amp;(EOMONTH(FECHA,-1)),'6.Reportes de Pagos'!H:H,"&lt;="&amp;(EOMONTH(FECHA,0)),'6.Reportes de Pagos'!D:D,$P80)</f>
        <v>0</v>
      </c>
      <c r="AE80" s="179">
        <f>SUMIFS('6.Reportes de Pagos'!J:J,'6.Reportes de Pagos'!H:H,"&gt;"&amp;(EOMONTH(FECHA,-1)),'6.Reportes de Pagos'!H:H,"&lt;="&amp;(EOMONTH(FECHA,0)),'6.Reportes de Pagos'!D:D,$P80)</f>
        <v>0</v>
      </c>
      <c r="AF80" s="179">
        <v>0</v>
      </c>
      <c r="AG80" s="177">
        <f>SUMIFS('6.Reportes de Pagos'!I:I,'6.Reportes de Pagos'!H:H,"&lt;="&amp;(EOMONTH(FECHA,0)),'6.Reportes de Pagos'!D:D,$P80)</f>
        <v>306603767.50000006</v>
      </c>
      <c r="AH80" s="177">
        <f>SUMIFS('6.Reportes de Pagos'!J:J,'6.Reportes de Pagos'!H:H,"&lt;="&amp;(EOMONTH(FECHA,0)),'6.Reportes de Pagos'!D:D,$P80)</f>
        <v>30660376.740000002</v>
      </c>
      <c r="AI80" s="177">
        <f t="shared" si="12"/>
        <v>0</v>
      </c>
      <c r="AJ80" s="177"/>
      <c r="AK80" s="180">
        <f t="shared" si="13"/>
        <v>86609375.23999995</v>
      </c>
      <c r="AL80" s="208">
        <f t="shared" si="14"/>
        <v>0.76111235835944513</v>
      </c>
      <c r="AM80" s="210" t="s">
        <v>1218</v>
      </c>
    </row>
    <row r="81" spans="1:39" s="204" customFormat="1" ht="75" x14ac:dyDescent="0.25">
      <c r="A81" s="115">
        <f t="shared" si="15"/>
        <v>71</v>
      </c>
      <c r="B81" s="116" t="s">
        <v>51</v>
      </c>
      <c r="C81" s="90">
        <v>87123</v>
      </c>
      <c r="D81" s="117" t="s">
        <v>90</v>
      </c>
      <c r="E81" s="118">
        <v>2023</v>
      </c>
      <c r="F81" s="119">
        <v>81</v>
      </c>
      <c r="G81" s="120">
        <v>45323</v>
      </c>
      <c r="H81" s="215">
        <v>3134001194</v>
      </c>
      <c r="I81" s="119" t="s">
        <v>141</v>
      </c>
      <c r="J81" s="76" t="s">
        <v>320</v>
      </c>
      <c r="K81" s="83" t="s">
        <v>321</v>
      </c>
      <c r="L81" s="119" t="s">
        <v>228</v>
      </c>
      <c r="M81" s="119">
        <v>18</v>
      </c>
      <c r="N81" s="119">
        <v>16</v>
      </c>
      <c r="O81" s="119"/>
      <c r="P81" s="144"/>
      <c r="Q81" s="122"/>
      <c r="R81" s="120" t="s">
        <v>126</v>
      </c>
      <c r="S81" s="115" t="s">
        <v>167</v>
      </c>
      <c r="T81" s="123"/>
      <c r="U81" s="119"/>
      <c r="V81" s="175"/>
      <c r="W81" s="175">
        <f t="shared" si="9"/>
        <v>3134001194</v>
      </c>
      <c r="X81" s="175"/>
      <c r="Y81" s="175"/>
      <c r="Z81" s="176">
        <f t="shared" si="11"/>
        <v>0</v>
      </c>
      <c r="AA81" s="177">
        <f>SUMIFS('6.Reportes de Pagos'!I:I,'6.Reportes de Pagos'!H:H,"&lt;="&amp;(EOMONTH(FECHA,-1)),'6.Reportes de Pagos'!D:D,$P81)</f>
        <v>0</v>
      </c>
      <c r="AB81" s="177">
        <f>SUMIFS('6.Reportes de Pagos'!J:J,'6.Reportes de Pagos'!H:H,"&lt;="&amp;(EOMONTH(FECHA,-1)),'6.Reportes de Pagos'!D:D,$P81)</f>
        <v>0</v>
      </c>
      <c r="AC81" s="178">
        <v>0</v>
      </c>
      <c r="AD81" s="179">
        <f>SUMIFS('6.Reportes de Pagos'!I:I,'6.Reportes de Pagos'!H:H,"&gt;"&amp;(EOMONTH(FECHA,-1)),'6.Reportes de Pagos'!H:H,"&lt;="&amp;(EOMONTH(FECHA,0)),'6.Reportes de Pagos'!D:D,$P81)</f>
        <v>0</v>
      </c>
      <c r="AE81" s="179">
        <f>SUMIFS('6.Reportes de Pagos'!J:J,'6.Reportes de Pagos'!H:H,"&gt;"&amp;(EOMONTH(FECHA,-1)),'6.Reportes de Pagos'!H:H,"&lt;="&amp;(EOMONTH(FECHA,0)),'6.Reportes de Pagos'!D:D,$P81)</f>
        <v>0</v>
      </c>
      <c r="AF81" s="179">
        <v>0</v>
      </c>
      <c r="AG81" s="177">
        <f>SUMIFS('6.Reportes de Pagos'!I:I,'6.Reportes de Pagos'!H:H,"&lt;="&amp;(EOMONTH(FECHA,0)),'6.Reportes de Pagos'!D:D,$P81)</f>
        <v>0</v>
      </c>
      <c r="AH81" s="177">
        <f>SUMIFS('6.Reportes de Pagos'!J:J,'6.Reportes de Pagos'!H:H,"&lt;="&amp;(EOMONTH(FECHA,0)),'6.Reportes de Pagos'!D:D,$P81)</f>
        <v>0</v>
      </c>
      <c r="AI81" s="177">
        <f t="shared" si="12"/>
        <v>0</v>
      </c>
      <c r="AJ81" s="177"/>
      <c r="AK81" s="180">
        <f t="shared" si="13"/>
        <v>0</v>
      </c>
      <c r="AL81" s="182">
        <f t="shared" si="14"/>
        <v>0</v>
      </c>
      <c r="AM81" s="210" t="s">
        <v>167</v>
      </c>
    </row>
    <row r="82" spans="1:39" s="204" customFormat="1" ht="102" customHeight="1" x14ac:dyDescent="0.25">
      <c r="A82" s="115">
        <f t="shared" si="15"/>
        <v>72</v>
      </c>
      <c r="B82" s="116" t="s">
        <v>51</v>
      </c>
      <c r="C82" s="90">
        <v>87123</v>
      </c>
      <c r="D82" s="117" t="s">
        <v>90</v>
      </c>
      <c r="E82" s="118">
        <v>2023</v>
      </c>
      <c r="F82" s="119">
        <v>82</v>
      </c>
      <c r="G82" s="120">
        <v>45323</v>
      </c>
      <c r="H82" s="215">
        <v>245945060</v>
      </c>
      <c r="I82" s="119" t="s">
        <v>141</v>
      </c>
      <c r="J82" s="76" t="s">
        <v>322</v>
      </c>
      <c r="K82" s="83" t="s">
        <v>321</v>
      </c>
      <c r="L82" s="119" t="s">
        <v>228</v>
      </c>
      <c r="M82" s="119">
        <v>18</v>
      </c>
      <c r="N82" s="119">
        <v>16</v>
      </c>
      <c r="O82" s="119"/>
      <c r="P82" s="144"/>
      <c r="Q82" s="122"/>
      <c r="R82" s="120" t="s">
        <v>131</v>
      </c>
      <c r="S82" s="115" t="s">
        <v>167</v>
      </c>
      <c r="T82" s="123"/>
      <c r="U82" s="119"/>
      <c r="V82" s="175"/>
      <c r="W82" s="175">
        <f t="shared" ref="W82:W103" si="16">+H82-V82</f>
        <v>245945060</v>
      </c>
      <c r="X82" s="175"/>
      <c r="Y82" s="175"/>
      <c r="Z82" s="176">
        <f t="shared" si="11"/>
        <v>0</v>
      </c>
      <c r="AA82" s="177">
        <f>SUMIFS('6.Reportes de Pagos'!I:I,'6.Reportes de Pagos'!H:H,"&lt;="&amp;(EOMONTH(FECHA,-1)),'6.Reportes de Pagos'!D:D,$P82)</f>
        <v>0</v>
      </c>
      <c r="AB82" s="177">
        <f>SUMIFS('6.Reportes de Pagos'!J:J,'6.Reportes de Pagos'!H:H,"&lt;="&amp;(EOMONTH(FECHA,-1)),'6.Reportes de Pagos'!D:D,$P82)</f>
        <v>0</v>
      </c>
      <c r="AC82" s="178">
        <v>0</v>
      </c>
      <c r="AD82" s="179">
        <f>SUMIFS('6.Reportes de Pagos'!I:I,'6.Reportes de Pagos'!H:H,"&gt;"&amp;(EOMONTH(FECHA,-1)),'6.Reportes de Pagos'!H:H,"&lt;="&amp;(EOMONTH(FECHA,0)),'6.Reportes de Pagos'!D:D,$P82)</f>
        <v>0</v>
      </c>
      <c r="AE82" s="179">
        <f>SUMIFS('6.Reportes de Pagos'!J:J,'6.Reportes de Pagos'!H:H,"&gt;"&amp;(EOMONTH(FECHA,-1)),'6.Reportes de Pagos'!H:H,"&lt;="&amp;(EOMONTH(FECHA,0)),'6.Reportes de Pagos'!D:D,$P82)</f>
        <v>0</v>
      </c>
      <c r="AF82" s="179">
        <v>0</v>
      </c>
      <c r="AG82" s="177">
        <f>SUMIFS('6.Reportes de Pagos'!I:I,'6.Reportes de Pagos'!H:H,"&lt;="&amp;(EOMONTH(FECHA,0)),'6.Reportes de Pagos'!D:D,$P82)</f>
        <v>0</v>
      </c>
      <c r="AH82" s="177">
        <f>SUMIFS('6.Reportes de Pagos'!J:J,'6.Reportes de Pagos'!H:H,"&lt;="&amp;(EOMONTH(FECHA,0)),'6.Reportes de Pagos'!D:D,$P82)</f>
        <v>0</v>
      </c>
      <c r="AI82" s="177">
        <f t="shared" si="12"/>
        <v>0</v>
      </c>
      <c r="AJ82" s="177"/>
      <c r="AK82" s="180">
        <f t="shared" si="13"/>
        <v>0</v>
      </c>
      <c r="AL82" s="182">
        <f t="shared" si="14"/>
        <v>0</v>
      </c>
      <c r="AM82" s="210" t="s">
        <v>167</v>
      </c>
    </row>
    <row r="83" spans="1:39" s="204" customFormat="1" ht="75" x14ac:dyDescent="0.25">
      <c r="A83" s="115">
        <f t="shared" si="15"/>
        <v>73</v>
      </c>
      <c r="B83" s="116" t="s">
        <v>51</v>
      </c>
      <c r="C83" s="90">
        <v>87123</v>
      </c>
      <c r="D83" s="117" t="s">
        <v>90</v>
      </c>
      <c r="E83" s="118">
        <v>2023</v>
      </c>
      <c r="F83" s="119">
        <v>105</v>
      </c>
      <c r="G83" s="120">
        <v>45398</v>
      </c>
      <c r="H83" s="215">
        <f>1451635086.08+4859821809.92</f>
        <v>6311456896</v>
      </c>
      <c r="I83" s="119" t="s">
        <v>141</v>
      </c>
      <c r="J83" s="76" t="s">
        <v>323</v>
      </c>
      <c r="K83" s="83" t="s">
        <v>324</v>
      </c>
      <c r="L83" s="119" t="s">
        <v>325</v>
      </c>
      <c r="M83" s="173" t="s">
        <v>326</v>
      </c>
      <c r="N83" s="119">
        <v>12</v>
      </c>
      <c r="O83" s="119" t="s">
        <v>1196</v>
      </c>
      <c r="P83" s="187" t="s">
        <v>492</v>
      </c>
      <c r="Q83" s="188">
        <v>45498</v>
      </c>
      <c r="R83" s="189" t="s">
        <v>126</v>
      </c>
      <c r="S83" s="190" t="s">
        <v>127</v>
      </c>
      <c r="T83" s="191" t="s">
        <v>493</v>
      </c>
      <c r="U83" s="191">
        <v>901842060</v>
      </c>
      <c r="V83" s="192">
        <v>6072091891</v>
      </c>
      <c r="W83" s="175">
        <f t="shared" ref="W83" si="17">+H83-V83</f>
        <v>239365005</v>
      </c>
      <c r="X83" s="192"/>
      <c r="Y83" s="192">
        <f>17088816.66+21493697.89</f>
        <v>38582514.549999997</v>
      </c>
      <c r="Z83" s="193">
        <f t="shared" ref="Z83" si="18">+V83+X83</f>
        <v>6072091891</v>
      </c>
      <c r="AA83" s="192">
        <f>SUMIFS('6.Reportes de Pagos'!I:I,'6.Reportes de Pagos'!H:H,"&lt;="&amp;(EOMONTH(FECHA,-1)),'6.Reportes de Pagos'!D:D,$P83)</f>
        <v>6000405046.710001</v>
      </c>
      <c r="AB83" s="192">
        <f>SUMIFS('6.Reportes de Pagos'!J:J,'6.Reportes de Pagos'!H:H,"&lt;="&amp;(EOMONTH(FECHA,-1)),'6.Reportes de Pagos'!D:D,$P83)</f>
        <v>600040504.66999996</v>
      </c>
      <c r="AC83" s="192">
        <v>0</v>
      </c>
      <c r="AD83" s="194">
        <f>SUMIFS('6.Reportes de Pagos'!I:I,'6.Reportes de Pagos'!H:H,"&gt;"&amp;(EOMONTH(FECHA,-1)),'6.Reportes de Pagos'!H:H,"&lt;="&amp;(EOMONTH(FECHA,0)),'6.Reportes de Pagos'!D:D,$P83)</f>
        <v>0</v>
      </c>
      <c r="AE83" s="194">
        <f>SUMIFS('6.Reportes de Pagos'!J:J,'6.Reportes de Pagos'!H:H,"&gt;"&amp;(EOMONTH(FECHA,-1)),'6.Reportes de Pagos'!H:H,"&lt;="&amp;(EOMONTH(FECHA,0)),'6.Reportes de Pagos'!D:D,$P83)</f>
        <v>0</v>
      </c>
      <c r="AF83" s="194">
        <v>0</v>
      </c>
      <c r="AG83" s="192">
        <f>SUMIFS('6.Reportes de Pagos'!I:I,'6.Reportes de Pagos'!H:H,"&lt;="&amp;(EOMONTH(FECHA,0)),'6.Reportes de Pagos'!D:D,$P83)</f>
        <v>6000405046.710001</v>
      </c>
      <c r="AH83" s="192">
        <f>SUMIFS('6.Reportes de Pagos'!J:J,'6.Reportes de Pagos'!H:H,"&lt;="&amp;(EOMONTH(FECHA,0)),'6.Reportes de Pagos'!D:D,$P83)</f>
        <v>600040504.66999996</v>
      </c>
      <c r="AI83" s="192">
        <f t="shared" ref="AI83" si="19">+AC83+AF83</f>
        <v>0</v>
      </c>
      <c r="AJ83" s="192"/>
      <c r="AK83" s="193">
        <f t="shared" ref="AK83" si="20">+Z83-(AG83-AH83)-AI83</f>
        <v>671727348.95999908</v>
      </c>
      <c r="AL83" s="209">
        <f t="shared" ref="AL83" si="21">IFERROR(((AG83-AH83+AI83)/Z83),0)</f>
        <v>0.88937464040100789</v>
      </c>
      <c r="AM83" s="211" t="s">
        <v>1219</v>
      </c>
    </row>
    <row r="84" spans="1:39" s="204" customFormat="1" ht="105" x14ac:dyDescent="0.25">
      <c r="A84" s="115">
        <f t="shared" si="15"/>
        <v>74</v>
      </c>
      <c r="B84" s="116" t="s">
        <v>51</v>
      </c>
      <c r="C84" s="90">
        <v>87123</v>
      </c>
      <c r="D84" s="117" t="s">
        <v>90</v>
      </c>
      <c r="E84" s="118">
        <v>2023</v>
      </c>
      <c r="F84" s="119" t="s">
        <v>829</v>
      </c>
      <c r="G84" s="120" t="s">
        <v>830</v>
      </c>
      <c r="H84" s="215">
        <f>407396280+16345824.63</f>
        <v>423742104.63</v>
      </c>
      <c r="I84" s="119" t="s">
        <v>141</v>
      </c>
      <c r="J84" s="76" t="s">
        <v>328</v>
      </c>
      <c r="K84" s="83" t="s">
        <v>324</v>
      </c>
      <c r="L84" s="119" t="s">
        <v>325</v>
      </c>
      <c r="M84" s="173" t="s">
        <v>326</v>
      </c>
      <c r="N84" s="173" t="s">
        <v>327</v>
      </c>
      <c r="O84" s="119" t="s">
        <v>1197</v>
      </c>
      <c r="P84" s="144" t="s">
        <v>494</v>
      </c>
      <c r="Q84" s="122">
        <v>45499</v>
      </c>
      <c r="R84" s="120" t="s">
        <v>131</v>
      </c>
      <c r="S84" s="115" t="s">
        <v>127</v>
      </c>
      <c r="T84" s="123" t="s">
        <v>495</v>
      </c>
      <c r="U84" s="119">
        <v>901841741</v>
      </c>
      <c r="V84" s="175">
        <v>366656652</v>
      </c>
      <c r="W84" s="175">
        <f>+H84-V84-16345824.63</f>
        <v>40739627.999999993</v>
      </c>
      <c r="X84" s="175">
        <f>33434641.29+21493697.89</f>
        <v>54928339.18</v>
      </c>
      <c r="Y84" s="175"/>
      <c r="Z84" s="176">
        <f t="shared" si="11"/>
        <v>421584991.18000001</v>
      </c>
      <c r="AA84" s="177">
        <f>SUMIFS('6.Reportes de Pagos'!I:I,'6.Reportes de Pagos'!H:H,"&lt;="&amp;(EOMONTH(FECHA,-1)),'6.Reportes de Pagos'!D:D,$P84)</f>
        <v>382995633.71999997</v>
      </c>
      <c r="AB84" s="177">
        <f>SUMIFS('6.Reportes de Pagos'!J:J,'6.Reportes de Pagos'!H:H,"&lt;="&amp;(EOMONTH(FECHA,-1)),'6.Reportes de Pagos'!D:D,$P84)</f>
        <v>38299563.369999997</v>
      </c>
      <c r="AC84" s="178">
        <v>0</v>
      </c>
      <c r="AD84" s="179">
        <f>SUMIFS('6.Reportes de Pagos'!I:I,'6.Reportes de Pagos'!H:H,"&gt;"&amp;(EOMONTH(FECHA,-1)),'6.Reportes de Pagos'!H:H,"&lt;="&amp;(EOMONTH(FECHA,0)),'6.Reportes de Pagos'!D:D,$P84)</f>
        <v>5890865.29</v>
      </c>
      <c r="AE84" s="179">
        <f>SUMIFS('6.Reportes de Pagos'!J:J,'6.Reportes de Pagos'!H:H,"&gt;"&amp;(EOMONTH(FECHA,-1)),'6.Reportes de Pagos'!H:H,"&lt;="&amp;(EOMONTH(FECHA,0)),'6.Reportes de Pagos'!D:D,$P84)</f>
        <v>589086.53</v>
      </c>
      <c r="AF84" s="179">
        <v>0</v>
      </c>
      <c r="AG84" s="177">
        <f>SUMIFS('6.Reportes de Pagos'!I:I,'6.Reportes de Pagos'!H:H,"&lt;="&amp;(EOMONTH(FECHA,0)),'6.Reportes de Pagos'!D:D,$P84)</f>
        <v>388886499.00999999</v>
      </c>
      <c r="AH84" s="177">
        <f>SUMIFS('6.Reportes de Pagos'!J:J,'6.Reportes de Pagos'!H:H,"&lt;="&amp;(EOMONTH(FECHA,0)),'6.Reportes de Pagos'!D:D,$P84)</f>
        <v>38888649.899999999</v>
      </c>
      <c r="AI84" s="177">
        <f t="shared" si="12"/>
        <v>0</v>
      </c>
      <c r="AJ84" s="177"/>
      <c r="AK84" s="180">
        <f t="shared" si="13"/>
        <v>71587142.069999993</v>
      </c>
      <c r="AL84" s="208">
        <f t="shared" si="14"/>
        <v>0.83019523093165537</v>
      </c>
      <c r="AM84" s="210" t="s">
        <v>1218</v>
      </c>
    </row>
    <row r="85" spans="1:39" s="204" customFormat="1" ht="105" x14ac:dyDescent="0.25">
      <c r="A85" s="115">
        <f t="shared" si="15"/>
        <v>75</v>
      </c>
      <c r="B85" s="116" t="s">
        <v>51</v>
      </c>
      <c r="C85" s="90">
        <v>87123</v>
      </c>
      <c r="D85" s="117" t="s">
        <v>90</v>
      </c>
      <c r="E85" s="118">
        <v>2023</v>
      </c>
      <c r="F85" s="119" t="s">
        <v>831</v>
      </c>
      <c r="G85" s="120" t="s">
        <v>832</v>
      </c>
      <c r="H85" s="215">
        <f>392088750+18053228.25</f>
        <v>410141978.25</v>
      </c>
      <c r="I85" s="119" t="s">
        <v>141</v>
      </c>
      <c r="J85" s="76" t="s">
        <v>333</v>
      </c>
      <c r="K85" s="83" t="s">
        <v>330</v>
      </c>
      <c r="L85" s="119" t="s">
        <v>325</v>
      </c>
      <c r="M85" s="173" t="s">
        <v>331</v>
      </c>
      <c r="N85" s="173" t="s">
        <v>332</v>
      </c>
      <c r="O85" s="119" t="s">
        <v>1198</v>
      </c>
      <c r="P85" s="144" t="s">
        <v>496</v>
      </c>
      <c r="Q85" s="122">
        <v>45499</v>
      </c>
      <c r="R85" s="120" t="s">
        <v>131</v>
      </c>
      <c r="S85" s="115" t="s">
        <v>127</v>
      </c>
      <c r="T85" s="123" t="s">
        <v>497</v>
      </c>
      <c r="U85" s="119">
        <v>901841724</v>
      </c>
      <c r="V85" s="175">
        <v>352879875</v>
      </c>
      <c r="W85" s="175">
        <f>+H85-V85-18053228.25</f>
        <v>39208875</v>
      </c>
      <c r="X85" s="175">
        <f>54159684.74+54159684.75+30088713.75</f>
        <v>138408083.24000001</v>
      </c>
      <c r="Y85" s="175"/>
      <c r="Z85" s="176">
        <f t="shared" si="11"/>
        <v>491287958.24000001</v>
      </c>
      <c r="AA85" s="177">
        <f>SUMIFS('6.Reportes de Pagos'!I:I,'6.Reportes de Pagos'!H:H,"&lt;="&amp;(EOMONTH(FECHA,-1)),'6.Reportes de Pagos'!D:D,$P85)</f>
        <v>459616559.04000002</v>
      </c>
      <c r="AB85" s="177">
        <f>SUMIFS('6.Reportes de Pagos'!J:J,'6.Reportes de Pagos'!H:H,"&lt;="&amp;(EOMONTH(FECHA,-1)),'6.Reportes de Pagos'!D:D,$P85)</f>
        <v>45961655.899999999</v>
      </c>
      <c r="AC85" s="178">
        <v>0</v>
      </c>
      <c r="AD85" s="179">
        <f>SUMIFS('6.Reportes de Pagos'!I:I,'6.Reportes de Pagos'!H:H,"&gt;"&amp;(EOMONTH(FECHA,-1)),'6.Reportes de Pagos'!H:H,"&lt;="&amp;(EOMONTH(FECHA,0)),'6.Reportes de Pagos'!D:D,$P85)</f>
        <v>2752631.8000000003</v>
      </c>
      <c r="AE85" s="179">
        <f>SUMIFS('6.Reportes de Pagos'!J:J,'6.Reportes de Pagos'!H:H,"&gt;"&amp;(EOMONTH(FECHA,-1)),'6.Reportes de Pagos'!H:H,"&lt;="&amp;(EOMONTH(FECHA,0)),'6.Reportes de Pagos'!D:D,$P85)</f>
        <v>275263.18</v>
      </c>
      <c r="AF85" s="179">
        <v>0</v>
      </c>
      <c r="AG85" s="177">
        <f>SUMIFS('6.Reportes de Pagos'!I:I,'6.Reportes de Pagos'!H:H,"&lt;="&amp;(EOMONTH(FECHA,0)),'6.Reportes de Pagos'!D:D,$P85)</f>
        <v>462369190.84000003</v>
      </c>
      <c r="AH85" s="177">
        <f>SUMIFS('6.Reportes de Pagos'!J:J,'6.Reportes de Pagos'!H:H,"&lt;="&amp;(EOMONTH(FECHA,0)),'6.Reportes de Pagos'!D:D,$P85)</f>
        <v>46236919.079999998</v>
      </c>
      <c r="AI85" s="177">
        <f t="shared" si="12"/>
        <v>0</v>
      </c>
      <c r="AJ85" s="177"/>
      <c r="AK85" s="180">
        <f t="shared" si="13"/>
        <v>75155686.479999959</v>
      </c>
      <c r="AL85" s="208">
        <f t="shared" si="14"/>
        <v>0.84702314555146185</v>
      </c>
      <c r="AM85" s="210" t="s">
        <v>1218</v>
      </c>
    </row>
    <row r="86" spans="1:39" s="204" customFormat="1" ht="75" x14ac:dyDescent="0.25">
      <c r="A86" s="115">
        <f t="shared" si="15"/>
        <v>76</v>
      </c>
      <c r="B86" s="116" t="s">
        <v>51</v>
      </c>
      <c r="C86" s="90">
        <v>87123</v>
      </c>
      <c r="D86" s="117" t="s">
        <v>90</v>
      </c>
      <c r="E86" s="118">
        <v>2023</v>
      </c>
      <c r="F86" s="119">
        <v>106</v>
      </c>
      <c r="G86" s="120">
        <v>45398</v>
      </c>
      <c r="H86" s="215">
        <f>823004436.15+5507798918.85</f>
        <v>6330803355</v>
      </c>
      <c r="I86" s="119" t="s">
        <v>141</v>
      </c>
      <c r="J86" s="76" t="s">
        <v>329</v>
      </c>
      <c r="K86" s="83" t="s">
        <v>330</v>
      </c>
      <c r="L86" s="119" t="s">
        <v>325</v>
      </c>
      <c r="M86" s="173" t="s">
        <v>331</v>
      </c>
      <c r="N86" s="119">
        <v>12</v>
      </c>
      <c r="O86" s="119" t="s">
        <v>1199</v>
      </c>
      <c r="P86" s="144" t="s">
        <v>462</v>
      </c>
      <c r="Q86" s="122">
        <v>45463</v>
      </c>
      <c r="R86" s="120" t="s">
        <v>126</v>
      </c>
      <c r="S86" s="115" t="s">
        <v>127</v>
      </c>
      <c r="T86" s="123" t="s">
        <v>463</v>
      </c>
      <c r="U86" s="119">
        <v>900749719</v>
      </c>
      <c r="V86" s="192">
        <v>6141512336</v>
      </c>
      <c r="W86" s="175">
        <f>+H86-V86</f>
        <v>189291019</v>
      </c>
      <c r="X86" s="192"/>
      <c r="Y86" s="192">
        <f>36106456.49+54159684.75+30088713.75</f>
        <v>120354854.99000001</v>
      </c>
      <c r="Z86" s="193">
        <f>+V86+X86</f>
        <v>6141512336</v>
      </c>
      <c r="AA86" s="192">
        <f>SUMIFS('6.Reportes de Pagos'!I:I,'6.Reportes de Pagos'!H:H,"&lt;="&amp;(EOMONTH(FECHA,-1)),'6.Reportes de Pagos'!D:D,$P86)</f>
        <v>5995600959.5900002</v>
      </c>
      <c r="AB86" s="192">
        <f>SUMIFS('6.Reportes de Pagos'!J:J,'6.Reportes de Pagos'!H:H,"&lt;="&amp;(EOMONTH(FECHA,-1)),'6.Reportes de Pagos'!D:D,$P86)</f>
        <v>599560095.96000004</v>
      </c>
      <c r="AC86" s="192">
        <v>0</v>
      </c>
      <c r="AD86" s="194">
        <f>SUMIFS('6.Reportes de Pagos'!I:I,'6.Reportes de Pagos'!H:H,"&gt;"&amp;(EOMONTH(FECHA,-1)),'6.Reportes de Pagos'!H:H,"&lt;="&amp;(EOMONTH(FECHA,0)),'6.Reportes de Pagos'!D:D,$P86)</f>
        <v>144151672.01000002</v>
      </c>
      <c r="AE86" s="194">
        <f>SUMIFS('6.Reportes de Pagos'!J:J,'6.Reportes de Pagos'!H:H,"&gt;"&amp;(EOMONTH(FECHA,-1)),'6.Reportes de Pagos'!H:H,"&lt;="&amp;(EOMONTH(FECHA,0)),'6.Reportes de Pagos'!D:D,$P86)</f>
        <v>14415167.199999999</v>
      </c>
      <c r="AF86" s="194">
        <v>0</v>
      </c>
      <c r="AG86" s="192">
        <f>SUMIFS('6.Reportes de Pagos'!I:I,'6.Reportes de Pagos'!H:H,"&lt;="&amp;(EOMONTH(FECHA,0)),'6.Reportes de Pagos'!D:D,$P86)</f>
        <v>6139752631.6000004</v>
      </c>
      <c r="AH86" s="192">
        <f>SUMIFS('6.Reportes de Pagos'!J:J,'6.Reportes de Pagos'!H:H,"&lt;="&amp;(EOMONTH(FECHA,0)),'6.Reportes de Pagos'!D:D,$P86)</f>
        <v>613975263.16000009</v>
      </c>
      <c r="AI86" s="192">
        <f>+AC86+AF86</f>
        <v>0</v>
      </c>
      <c r="AJ86" s="192">
        <v>93280875</v>
      </c>
      <c r="AK86" s="193">
        <f>+Z86-(AG86-AH86)-AI86</f>
        <v>615734967.55999947</v>
      </c>
      <c r="AL86" s="209">
        <f>IFERROR(((AG86-AH86+AI86)/Z86),0)</f>
        <v>0.89974212638950246</v>
      </c>
      <c r="AM86" s="210" t="s">
        <v>1218</v>
      </c>
    </row>
    <row r="87" spans="1:39" s="204" customFormat="1" ht="60" x14ac:dyDescent="0.25">
      <c r="A87" s="115">
        <f t="shared" si="15"/>
        <v>77</v>
      </c>
      <c r="B87" s="116" t="s">
        <v>51</v>
      </c>
      <c r="C87" s="90">
        <v>87123</v>
      </c>
      <c r="D87" s="117" t="s">
        <v>90</v>
      </c>
      <c r="E87" s="118">
        <v>2023</v>
      </c>
      <c r="F87" s="119">
        <v>187</v>
      </c>
      <c r="G87" s="120">
        <v>45726</v>
      </c>
      <c r="H87" s="121">
        <v>2380838350</v>
      </c>
      <c r="I87" s="119" t="s">
        <v>120</v>
      </c>
      <c r="J87" s="76" t="s">
        <v>334</v>
      </c>
      <c r="K87" s="83" t="s">
        <v>335</v>
      </c>
      <c r="L87" s="119" t="s">
        <v>166</v>
      </c>
      <c r="M87" s="119">
        <v>10</v>
      </c>
      <c r="N87" s="119">
        <v>1</v>
      </c>
      <c r="O87" s="119" t="s">
        <v>1265</v>
      </c>
      <c r="P87" s="144" t="s">
        <v>1266</v>
      </c>
      <c r="Q87" s="122">
        <v>45758</v>
      </c>
      <c r="R87" s="120" t="s">
        <v>126</v>
      </c>
      <c r="S87" s="115" t="s">
        <v>127</v>
      </c>
      <c r="T87" s="123" t="s">
        <v>1267</v>
      </c>
      <c r="U87" s="119">
        <v>901932571</v>
      </c>
      <c r="V87" s="175">
        <v>2380838350</v>
      </c>
      <c r="W87" s="175">
        <f t="shared" si="16"/>
        <v>0</v>
      </c>
      <c r="X87" s="175"/>
      <c r="Y87" s="175"/>
      <c r="Z87" s="176">
        <f t="shared" si="11"/>
        <v>2380838350</v>
      </c>
      <c r="AA87" s="177">
        <f>SUMIFS('6.Reportes de Pagos'!I:I,'6.Reportes de Pagos'!H:H,"&lt;="&amp;(EOMONTH(FECHA,-1)),'6.Reportes de Pagos'!D:D,$P87)</f>
        <v>0</v>
      </c>
      <c r="AB87" s="177">
        <f>SUMIFS('6.Reportes de Pagos'!J:J,'6.Reportes de Pagos'!H:H,"&lt;="&amp;(EOMONTH(FECHA,-1)),'6.Reportes de Pagos'!D:D,$P87)</f>
        <v>0</v>
      </c>
      <c r="AC87" s="178">
        <v>0</v>
      </c>
      <c r="AD87" s="179">
        <f>SUMIFS('6.Reportes de Pagos'!I:I,'6.Reportes de Pagos'!H:H,"&gt;"&amp;(EOMONTH(FECHA,-1)),'6.Reportes de Pagos'!H:H,"&lt;="&amp;(EOMONTH(FECHA,0)),'6.Reportes de Pagos'!D:D,$P87)</f>
        <v>0</v>
      </c>
      <c r="AE87" s="179">
        <f>SUMIFS('6.Reportes de Pagos'!J:J,'6.Reportes de Pagos'!H:H,"&gt;"&amp;(EOMONTH(FECHA,-1)),'6.Reportes de Pagos'!H:H,"&lt;="&amp;(EOMONTH(FECHA,0)),'6.Reportes de Pagos'!D:D,$P87)</f>
        <v>0</v>
      </c>
      <c r="AF87" s="179">
        <v>0</v>
      </c>
      <c r="AG87" s="177">
        <f>SUMIFS('6.Reportes de Pagos'!I:I,'6.Reportes de Pagos'!H:H,"&lt;="&amp;(EOMONTH(FECHA,0)),'6.Reportes de Pagos'!D:D,$P87)</f>
        <v>0</v>
      </c>
      <c r="AH87" s="177">
        <f>SUMIFS('6.Reportes de Pagos'!J:J,'6.Reportes de Pagos'!H:H,"&lt;="&amp;(EOMONTH(FECHA,0)),'6.Reportes de Pagos'!D:D,$P87)</f>
        <v>0</v>
      </c>
      <c r="AI87" s="177">
        <f t="shared" si="12"/>
        <v>0</v>
      </c>
      <c r="AJ87" s="177"/>
      <c r="AK87" s="180">
        <f t="shared" si="13"/>
        <v>2380838350</v>
      </c>
      <c r="AL87" s="182">
        <f t="shared" si="14"/>
        <v>0</v>
      </c>
      <c r="AM87" s="210" t="s">
        <v>1218</v>
      </c>
    </row>
    <row r="88" spans="1:39" s="204" customFormat="1" ht="90" x14ac:dyDescent="0.25">
      <c r="A88" s="115">
        <f t="shared" si="15"/>
        <v>78</v>
      </c>
      <c r="B88" s="116" t="s">
        <v>51</v>
      </c>
      <c r="C88" s="90">
        <v>87123</v>
      </c>
      <c r="D88" s="117" t="s">
        <v>90</v>
      </c>
      <c r="E88" s="118">
        <v>2023</v>
      </c>
      <c r="F88" s="119">
        <v>90</v>
      </c>
      <c r="G88" s="120">
        <v>45334</v>
      </c>
      <c r="H88" s="121">
        <v>309898810</v>
      </c>
      <c r="I88" s="119" t="s">
        <v>120</v>
      </c>
      <c r="J88" s="76" t="s">
        <v>336</v>
      </c>
      <c r="K88" s="83" t="s">
        <v>335</v>
      </c>
      <c r="L88" s="119" t="s">
        <v>166</v>
      </c>
      <c r="M88" s="119">
        <v>10</v>
      </c>
      <c r="N88" s="119">
        <v>1</v>
      </c>
      <c r="O88" s="119" t="s">
        <v>1262</v>
      </c>
      <c r="P88" s="144" t="s">
        <v>1263</v>
      </c>
      <c r="Q88" s="122">
        <v>45755</v>
      </c>
      <c r="R88" s="120" t="s">
        <v>131</v>
      </c>
      <c r="S88" s="115" t="s">
        <v>127</v>
      </c>
      <c r="T88" s="123" t="s">
        <v>1264</v>
      </c>
      <c r="U88" s="119">
        <v>901932561</v>
      </c>
      <c r="V88" s="175">
        <v>278908930</v>
      </c>
      <c r="W88" s="175">
        <f t="shared" si="16"/>
        <v>30989880</v>
      </c>
      <c r="X88" s="175"/>
      <c r="Y88" s="175"/>
      <c r="Z88" s="176">
        <f t="shared" si="11"/>
        <v>278908930</v>
      </c>
      <c r="AA88" s="177">
        <f>SUMIFS('6.Reportes de Pagos'!I:I,'6.Reportes de Pagos'!H:H,"&lt;="&amp;(EOMONTH(FECHA,-1)),'6.Reportes de Pagos'!D:D,$P88)</f>
        <v>0</v>
      </c>
      <c r="AB88" s="177">
        <f>SUMIFS('6.Reportes de Pagos'!J:J,'6.Reportes de Pagos'!H:H,"&lt;="&amp;(EOMONTH(FECHA,-1)),'6.Reportes de Pagos'!D:D,$P88)</f>
        <v>0</v>
      </c>
      <c r="AC88" s="178">
        <v>0</v>
      </c>
      <c r="AD88" s="179">
        <f>SUMIFS('6.Reportes de Pagos'!I:I,'6.Reportes de Pagos'!H:H,"&gt;"&amp;(EOMONTH(FECHA,-1)),'6.Reportes de Pagos'!H:H,"&lt;="&amp;(EOMONTH(FECHA,0)),'6.Reportes de Pagos'!D:D,$P88)</f>
        <v>0</v>
      </c>
      <c r="AE88" s="179">
        <f>SUMIFS('6.Reportes de Pagos'!J:J,'6.Reportes de Pagos'!H:H,"&gt;"&amp;(EOMONTH(FECHA,-1)),'6.Reportes de Pagos'!H:H,"&lt;="&amp;(EOMONTH(FECHA,0)),'6.Reportes de Pagos'!D:D,$P88)</f>
        <v>0</v>
      </c>
      <c r="AF88" s="179">
        <v>0</v>
      </c>
      <c r="AG88" s="177">
        <f>SUMIFS('6.Reportes de Pagos'!I:I,'6.Reportes de Pagos'!H:H,"&lt;="&amp;(EOMONTH(FECHA,0)),'6.Reportes de Pagos'!D:D,$P88)</f>
        <v>0</v>
      </c>
      <c r="AH88" s="177">
        <f>SUMIFS('6.Reportes de Pagos'!J:J,'6.Reportes de Pagos'!H:H,"&lt;="&amp;(EOMONTH(FECHA,0)),'6.Reportes de Pagos'!D:D,$P88)</f>
        <v>0</v>
      </c>
      <c r="AI88" s="177">
        <f t="shared" si="12"/>
        <v>0</v>
      </c>
      <c r="AJ88" s="177"/>
      <c r="AK88" s="180">
        <f t="shared" si="13"/>
        <v>278908930</v>
      </c>
      <c r="AL88" s="182">
        <f t="shared" si="14"/>
        <v>0</v>
      </c>
      <c r="AM88" s="210" t="s">
        <v>1218</v>
      </c>
    </row>
    <row r="89" spans="1:39" s="204" customFormat="1" ht="120" x14ac:dyDescent="0.25">
      <c r="A89" s="115">
        <f t="shared" si="15"/>
        <v>79</v>
      </c>
      <c r="B89" s="116" t="s">
        <v>51</v>
      </c>
      <c r="C89" s="90">
        <v>87123</v>
      </c>
      <c r="D89" s="117" t="s">
        <v>90</v>
      </c>
      <c r="E89" s="118">
        <v>2023</v>
      </c>
      <c r="F89" s="119">
        <v>97</v>
      </c>
      <c r="G89" s="120">
        <v>45363</v>
      </c>
      <c r="H89" s="121">
        <v>355437960</v>
      </c>
      <c r="I89" s="119" t="s">
        <v>120</v>
      </c>
      <c r="J89" s="76" t="s">
        <v>337</v>
      </c>
      <c r="K89" s="83" t="s">
        <v>338</v>
      </c>
      <c r="L89" s="119" t="s">
        <v>183</v>
      </c>
      <c r="M89" s="119" t="s">
        <v>124</v>
      </c>
      <c r="N89" s="119">
        <v>4</v>
      </c>
      <c r="O89" s="119" t="s">
        <v>1200</v>
      </c>
      <c r="P89" s="144" t="s">
        <v>816</v>
      </c>
      <c r="Q89" s="122">
        <v>45622</v>
      </c>
      <c r="R89" s="120" t="s">
        <v>131</v>
      </c>
      <c r="S89" s="115" t="s">
        <v>127</v>
      </c>
      <c r="T89" s="123" t="s">
        <v>817</v>
      </c>
      <c r="U89" s="119">
        <v>901886648</v>
      </c>
      <c r="V89" s="175">
        <v>331801336</v>
      </c>
      <c r="W89" s="175">
        <f>+H89-V89</f>
        <v>23636624</v>
      </c>
      <c r="X89" s="175">
        <v>80544972</v>
      </c>
      <c r="Y89" s="175"/>
      <c r="Z89" s="176">
        <f t="shared" si="11"/>
        <v>412346308</v>
      </c>
      <c r="AA89" s="177">
        <f>SUMIFS('6.Reportes de Pagos'!I:I,'6.Reportes de Pagos'!H:H,"&lt;="&amp;(EOMONTH(FECHA,-1)),'6.Reportes de Pagos'!D:D,$P89)</f>
        <v>0</v>
      </c>
      <c r="AB89" s="177">
        <f>SUMIFS('6.Reportes de Pagos'!J:J,'6.Reportes de Pagos'!H:H,"&lt;="&amp;(EOMONTH(FECHA,-1)),'6.Reportes de Pagos'!D:D,$P89)</f>
        <v>0</v>
      </c>
      <c r="AC89" s="178">
        <v>0</v>
      </c>
      <c r="AD89" s="179">
        <f>SUMIFS('6.Reportes de Pagos'!I:I,'6.Reportes de Pagos'!H:H,"&gt;"&amp;(EOMONTH(FECHA,-1)),'6.Reportes de Pagos'!H:H,"&lt;="&amp;(EOMONTH(FECHA,0)),'6.Reportes de Pagos'!D:D,$P89)</f>
        <v>0</v>
      </c>
      <c r="AE89" s="179">
        <f>SUMIFS('6.Reportes de Pagos'!J:J,'6.Reportes de Pagos'!H:H,"&gt;"&amp;(EOMONTH(FECHA,-1)),'6.Reportes de Pagos'!H:H,"&lt;="&amp;(EOMONTH(FECHA,0)),'6.Reportes de Pagos'!D:D,$P89)</f>
        <v>0</v>
      </c>
      <c r="AF89" s="179">
        <v>0</v>
      </c>
      <c r="AG89" s="177">
        <f>SUMIFS('6.Reportes de Pagos'!I:I,'6.Reportes de Pagos'!H:H,"&lt;="&amp;(EOMONTH(FECHA,0)),'6.Reportes de Pagos'!D:D,$P89)</f>
        <v>0</v>
      </c>
      <c r="AH89" s="177">
        <f>SUMIFS('6.Reportes de Pagos'!J:J,'6.Reportes de Pagos'!H:H,"&lt;="&amp;(EOMONTH(FECHA,0)),'6.Reportes de Pagos'!D:D,$P89)</f>
        <v>0</v>
      </c>
      <c r="AI89" s="177">
        <f t="shared" si="12"/>
        <v>0</v>
      </c>
      <c r="AJ89" s="177"/>
      <c r="AK89" s="180">
        <f t="shared" si="13"/>
        <v>412346308</v>
      </c>
      <c r="AL89" s="208">
        <f t="shared" si="14"/>
        <v>0</v>
      </c>
      <c r="AM89" s="210" t="s">
        <v>1218</v>
      </c>
    </row>
    <row r="90" spans="1:39" s="204" customFormat="1" ht="90" x14ac:dyDescent="0.25">
      <c r="A90" s="115">
        <f t="shared" si="15"/>
        <v>80</v>
      </c>
      <c r="B90" s="116" t="s">
        <v>51</v>
      </c>
      <c r="C90" s="90">
        <v>87123</v>
      </c>
      <c r="D90" s="117" t="s">
        <v>90</v>
      </c>
      <c r="E90" s="118">
        <v>2023</v>
      </c>
      <c r="F90" s="119">
        <v>161</v>
      </c>
      <c r="G90" s="120">
        <v>45567</v>
      </c>
      <c r="H90" s="121">
        <v>1791287225</v>
      </c>
      <c r="I90" s="119" t="s">
        <v>120</v>
      </c>
      <c r="J90" s="76" t="s">
        <v>339</v>
      </c>
      <c r="K90" s="83" t="s">
        <v>338</v>
      </c>
      <c r="L90" s="119" t="s">
        <v>183</v>
      </c>
      <c r="M90" s="119" t="s">
        <v>124</v>
      </c>
      <c r="N90" s="119">
        <v>4</v>
      </c>
      <c r="O90" s="119" t="s">
        <v>1201</v>
      </c>
      <c r="P90" s="144" t="s">
        <v>814</v>
      </c>
      <c r="Q90" s="122">
        <v>45622</v>
      </c>
      <c r="R90" s="120" t="s">
        <v>126</v>
      </c>
      <c r="S90" s="115" t="s">
        <v>127</v>
      </c>
      <c r="T90" s="123" t="s">
        <v>815</v>
      </c>
      <c r="U90" s="119">
        <v>901884967</v>
      </c>
      <c r="V90" s="175">
        <v>1643326730</v>
      </c>
      <c r="W90" s="175">
        <f t="shared" si="16"/>
        <v>147960495</v>
      </c>
      <c r="X90" s="175"/>
      <c r="Y90" s="175">
        <v>80544972</v>
      </c>
      <c r="Z90" s="176">
        <f>+V90+X90</f>
        <v>1643326730</v>
      </c>
      <c r="AA90" s="177">
        <f>SUMIFS('6.Reportes de Pagos'!I:I,'6.Reportes de Pagos'!H:H,"&lt;="&amp;(EOMONTH(FECHA,-1)),'6.Reportes de Pagos'!D:D,$P90)</f>
        <v>0</v>
      </c>
      <c r="AB90" s="177">
        <f>SUMIFS('6.Reportes de Pagos'!J:J,'6.Reportes de Pagos'!H:H,"&lt;="&amp;(EOMONTH(FECHA,-1)),'6.Reportes de Pagos'!D:D,$P90)</f>
        <v>0</v>
      </c>
      <c r="AC90" s="178">
        <v>0</v>
      </c>
      <c r="AD90" s="179">
        <f>SUMIFS('6.Reportes de Pagos'!I:I,'6.Reportes de Pagos'!H:H,"&gt;"&amp;(EOMONTH(FECHA,-1)),'6.Reportes de Pagos'!H:H,"&lt;="&amp;(EOMONTH(FECHA,0)),'6.Reportes de Pagos'!D:D,$P90)</f>
        <v>0</v>
      </c>
      <c r="AE90" s="179">
        <f>SUMIFS('6.Reportes de Pagos'!J:J,'6.Reportes de Pagos'!H:H,"&gt;"&amp;(EOMONTH(FECHA,-1)),'6.Reportes de Pagos'!H:H,"&lt;="&amp;(EOMONTH(FECHA,0)),'6.Reportes de Pagos'!D:D,$P90)</f>
        <v>0</v>
      </c>
      <c r="AF90" s="179">
        <v>0</v>
      </c>
      <c r="AG90" s="177">
        <f>SUMIFS('6.Reportes de Pagos'!I:I,'6.Reportes de Pagos'!H:H,"&lt;="&amp;(EOMONTH(FECHA,0)),'6.Reportes de Pagos'!D:D,$P90)</f>
        <v>0</v>
      </c>
      <c r="AH90" s="177">
        <f>SUMIFS('6.Reportes de Pagos'!J:J,'6.Reportes de Pagos'!H:H,"&lt;="&amp;(EOMONTH(FECHA,0)),'6.Reportes de Pagos'!D:D,$P90)</f>
        <v>0</v>
      </c>
      <c r="AI90" s="177">
        <f t="shared" si="12"/>
        <v>0</v>
      </c>
      <c r="AJ90" s="177"/>
      <c r="AK90" s="180">
        <f t="shared" si="13"/>
        <v>1643326730</v>
      </c>
      <c r="AL90" s="208">
        <f t="shared" si="14"/>
        <v>0</v>
      </c>
      <c r="AM90" s="210" t="s">
        <v>1218</v>
      </c>
    </row>
    <row r="91" spans="1:39" s="204" customFormat="1" ht="75" x14ac:dyDescent="0.25">
      <c r="A91" s="115">
        <f t="shared" si="15"/>
        <v>81</v>
      </c>
      <c r="B91" s="116" t="s">
        <v>51</v>
      </c>
      <c r="C91" s="90">
        <v>87123</v>
      </c>
      <c r="D91" s="117" t="s">
        <v>90</v>
      </c>
      <c r="E91" s="118">
        <v>2023</v>
      </c>
      <c r="F91" s="119" t="s">
        <v>935</v>
      </c>
      <c r="G91" s="120" t="s">
        <v>934</v>
      </c>
      <c r="H91" s="215">
        <f>5353400610+1000000000</f>
        <v>6353400610</v>
      </c>
      <c r="I91" s="119" t="s">
        <v>141</v>
      </c>
      <c r="J91" s="76" t="s">
        <v>340</v>
      </c>
      <c r="K91" s="83" t="s">
        <v>341</v>
      </c>
      <c r="L91" s="119" t="s">
        <v>342</v>
      </c>
      <c r="M91" s="119">
        <v>25</v>
      </c>
      <c r="N91" s="119">
        <v>15</v>
      </c>
      <c r="O91" s="119" t="s">
        <v>1202</v>
      </c>
      <c r="P91" s="144" t="s">
        <v>458</v>
      </c>
      <c r="Q91" s="122">
        <v>45454</v>
      </c>
      <c r="R91" s="120" t="s">
        <v>126</v>
      </c>
      <c r="S91" s="115" t="s">
        <v>127</v>
      </c>
      <c r="T91" s="123" t="s">
        <v>459</v>
      </c>
      <c r="U91" s="119">
        <v>901835722</v>
      </c>
      <c r="V91" s="175">
        <v>5192798592</v>
      </c>
      <c r="W91" s="175">
        <f>+H91-V91-1000000000</f>
        <v>160602018</v>
      </c>
      <c r="X91" s="175">
        <v>1000000000</v>
      </c>
      <c r="Y91" s="175"/>
      <c r="Z91" s="176">
        <f t="shared" si="11"/>
        <v>6192798592</v>
      </c>
      <c r="AA91" s="177">
        <f>SUMIFS('6.Reportes de Pagos'!I:I,'6.Reportes de Pagos'!H:H,"&lt;="&amp;(EOMONTH(FECHA,-1)),'6.Reportes de Pagos'!D:D,$P91)</f>
        <v>2984007862.7999997</v>
      </c>
      <c r="AB91" s="177">
        <f>SUMIFS('6.Reportes de Pagos'!J:J,'6.Reportes de Pagos'!H:H,"&lt;="&amp;(EOMONTH(FECHA,-1)),'6.Reportes de Pagos'!D:D,$P91)</f>
        <v>298400786.28000003</v>
      </c>
      <c r="AC91" s="178">
        <v>0</v>
      </c>
      <c r="AD91" s="179">
        <f>SUMIFS('6.Reportes de Pagos'!I:I,'6.Reportes de Pagos'!H:H,"&gt;"&amp;(EOMONTH(FECHA,-1)),'6.Reportes de Pagos'!H:H,"&lt;="&amp;(EOMONTH(FECHA,0)),'6.Reportes de Pagos'!D:D,$P91)</f>
        <v>702677554.69999993</v>
      </c>
      <c r="AE91" s="179">
        <f>SUMIFS('6.Reportes de Pagos'!J:J,'6.Reportes de Pagos'!H:H,"&gt;"&amp;(EOMONTH(FECHA,-1)),'6.Reportes de Pagos'!H:H,"&lt;="&amp;(EOMONTH(FECHA,0)),'6.Reportes de Pagos'!D:D,$P91)</f>
        <v>70267755.469999999</v>
      </c>
      <c r="AF91" s="179">
        <v>0</v>
      </c>
      <c r="AG91" s="177">
        <f>SUMIFS('6.Reportes de Pagos'!I:I,'6.Reportes de Pagos'!H:H,"&lt;="&amp;(EOMONTH(FECHA,0)),'6.Reportes de Pagos'!D:D,$P91)</f>
        <v>3686685417.4999995</v>
      </c>
      <c r="AH91" s="177">
        <f>SUMIFS('6.Reportes de Pagos'!J:J,'6.Reportes de Pagos'!H:H,"&lt;="&amp;(EOMONTH(FECHA,0)),'6.Reportes de Pagos'!D:D,$P91)</f>
        <v>368668541.75</v>
      </c>
      <c r="AI91" s="177">
        <f t="shared" si="12"/>
        <v>0</v>
      </c>
      <c r="AJ91" s="177"/>
      <c r="AK91" s="180">
        <f t="shared" si="13"/>
        <v>2874781716.2500005</v>
      </c>
      <c r="AL91" s="208">
        <f t="shared" si="14"/>
        <v>0.53578633738166304</v>
      </c>
      <c r="AM91" s="210" t="s">
        <v>1218</v>
      </c>
    </row>
    <row r="92" spans="1:39" s="204" customFormat="1" ht="105" x14ac:dyDescent="0.25">
      <c r="A92" s="115">
        <f t="shared" si="15"/>
        <v>82</v>
      </c>
      <c r="B92" s="116" t="s">
        <v>51</v>
      </c>
      <c r="C92" s="90">
        <v>87123</v>
      </c>
      <c r="D92" s="117" t="s">
        <v>90</v>
      </c>
      <c r="E92" s="118">
        <v>2023</v>
      </c>
      <c r="F92" s="119" t="s">
        <v>936</v>
      </c>
      <c r="G92" s="120" t="s">
        <v>934</v>
      </c>
      <c r="H92" s="215">
        <f>342236280+493521597.78</f>
        <v>835757877.77999997</v>
      </c>
      <c r="I92" s="119" t="s">
        <v>141</v>
      </c>
      <c r="J92" s="76" t="s">
        <v>343</v>
      </c>
      <c r="K92" s="83" t="s">
        <v>341</v>
      </c>
      <c r="L92" s="119" t="s">
        <v>342</v>
      </c>
      <c r="M92" s="119">
        <v>25</v>
      </c>
      <c r="N92" s="119">
        <v>15</v>
      </c>
      <c r="O92" s="119" t="s">
        <v>1203</v>
      </c>
      <c r="P92" s="144" t="s">
        <v>484</v>
      </c>
      <c r="Q92" s="122">
        <v>45478</v>
      </c>
      <c r="R92" s="120" t="s">
        <v>131</v>
      </c>
      <c r="S92" s="115" t="s">
        <v>127</v>
      </c>
      <c r="T92" s="123" t="s">
        <v>485</v>
      </c>
      <c r="U92" s="119">
        <v>901831256</v>
      </c>
      <c r="V92" s="175">
        <v>324737739</v>
      </c>
      <c r="W92" s="175">
        <f>+H92-V92-493521597.78</f>
        <v>17498541</v>
      </c>
      <c r="X92" s="175">
        <v>493521597.77999997</v>
      </c>
      <c r="Y92" s="175"/>
      <c r="Z92" s="176">
        <f t="shared" si="11"/>
        <v>818259336.77999997</v>
      </c>
      <c r="AA92" s="177">
        <f>SUMIFS('6.Reportes de Pagos'!I:I,'6.Reportes de Pagos'!H:H,"&lt;="&amp;(EOMONTH(FECHA,-1)),'6.Reportes de Pagos'!D:D,$P92)</f>
        <v>215540435.30000001</v>
      </c>
      <c r="AB92" s="177">
        <f>SUMIFS('6.Reportes de Pagos'!J:J,'6.Reportes de Pagos'!H:H,"&lt;="&amp;(EOMONTH(FECHA,-1)),'6.Reportes de Pagos'!D:D,$P92)</f>
        <v>21554043.529999994</v>
      </c>
      <c r="AC92" s="178">
        <v>0</v>
      </c>
      <c r="AD92" s="179">
        <f>SUMIFS('6.Reportes de Pagos'!I:I,'6.Reportes de Pagos'!H:H,"&gt;"&amp;(EOMONTH(FECHA,-1)),'6.Reportes de Pagos'!H:H,"&lt;="&amp;(EOMONTH(FECHA,0)),'6.Reportes de Pagos'!D:D,$P92)</f>
        <v>63288546</v>
      </c>
      <c r="AE92" s="179">
        <f>SUMIFS('6.Reportes de Pagos'!J:J,'6.Reportes de Pagos'!H:H,"&gt;"&amp;(EOMONTH(FECHA,-1)),'6.Reportes de Pagos'!H:H,"&lt;="&amp;(EOMONTH(FECHA,0)),'6.Reportes de Pagos'!D:D,$P92)</f>
        <v>6328854.5999999996</v>
      </c>
      <c r="AF92" s="179">
        <v>0</v>
      </c>
      <c r="AG92" s="177">
        <f>SUMIFS('6.Reportes de Pagos'!I:I,'6.Reportes de Pagos'!H:H,"&lt;="&amp;(EOMONTH(FECHA,0)),'6.Reportes de Pagos'!D:D,$P92)</f>
        <v>278828981.30000001</v>
      </c>
      <c r="AH92" s="177">
        <f>SUMIFS('6.Reportes de Pagos'!J:J,'6.Reportes de Pagos'!H:H,"&lt;="&amp;(EOMONTH(FECHA,0)),'6.Reportes de Pagos'!D:D,$P92)</f>
        <v>27882898.129999995</v>
      </c>
      <c r="AI92" s="177">
        <f t="shared" si="12"/>
        <v>0</v>
      </c>
      <c r="AJ92" s="177"/>
      <c r="AK92" s="180">
        <f t="shared" si="13"/>
        <v>567313253.6099999</v>
      </c>
      <c r="AL92" s="208">
        <f t="shared" si="14"/>
        <v>0.30668282278026759</v>
      </c>
      <c r="AM92" s="210" t="s">
        <v>1218</v>
      </c>
    </row>
    <row r="93" spans="1:39" s="204" customFormat="1" ht="135" x14ac:dyDescent="0.25">
      <c r="A93" s="115">
        <f t="shared" si="15"/>
        <v>83</v>
      </c>
      <c r="B93" s="116" t="s">
        <v>51</v>
      </c>
      <c r="C93" s="90">
        <v>87123</v>
      </c>
      <c r="D93" s="117" t="s">
        <v>90</v>
      </c>
      <c r="E93" s="118">
        <v>2023</v>
      </c>
      <c r="F93" s="119" t="s">
        <v>685</v>
      </c>
      <c r="G93" s="120" t="s">
        <v>684</v>
      </c>
      <c r="H93" s="121">
        <f>242110880+22536977</f>
        <v>264647857</v>
      </c>
      <c r="I93" s="119" t="s">
        <v>120</v>
      </c>
      <c r="J93" s="76" t="s">
        <v>344</v>
      </c>
      <c r="K93" s="83" t="s">
        <v>345</v>
      </c>
      <c r="L93" s="119" t="s">
        <v>346</v>
      </c>
      <c r="M93" s="119">
        <v>14</v>
      </c>
      <c r="N93" s="119">
        <v>4</v>
      </c>
      <c r="O93" s="119" t="s">
        <v>1204</v>
      </c>
      <c r="P93" s="144" t="s">
        <v>460</v>
      </c>
      <c r="Q93" s="122">
        <v>45464</v>
      </c>
      <c r="R93" s="120" t="s">
        <v>131</v>
      </c>
      <c r="S93" s="115" t="s">
        <v>127</v>
      </c>
      <c r="T93" s="123" t="s">
        <v>461</v>
      </c>
      <c r="U93" s="119">
        <v>901839812</v>
      </c>
      <c r="V93" s="175">
        <v>227100006</v>
      </c>
      <c r="W93" s="175">
        <f>+H93-V93+-X93</f>
        <v>15010874</v>
      </c>
      <c r="X93" s="175">
        <v>22536977</v>
      </c>
      <c r="Y93" s="175"/>
      <c r="Z93" s="176">
        <f t="shared" si="11"/>
        <v>249636983</v>
      </c>
      <c r="AA93" s="177">
        <f>SUMIFS('6.Reportes de Pagos'!I:I,'6.Reportes de Pagos'!H:H,"&lt;="&amp;(EOMONTH(FECHA,-1)),'6.Reportes de Pagos'!D:D,$P93)</f>
        <v>226321284.69</v>
      </c>
      <c r="AB93" s="177">
        <f>SUMIFS('6.Reportes de Pagos'!J:J,'6.Reportes de Pagos'!H:H,"&lt;="&amp;(EOMONTH(FECHA,-1)),'6.Reportes de Pagos'!D:D,$P93)</f>
        <v>22632128.470000003</v>
      </c>
      <c r="AC93" s="178">
        <v>0</v>
      </c>
      <c r="AD93" s="179">
        <f>SUMIFS('6.Reportes de Pagos'!I:I,'6.Reportes de Pagos'!H:H,"&gt;"&amp;(EOMONTH(FECHA,-1)),'6.Reportes de Pagos'!H:H,"&lt;="&amp;(EOMONTH(FECHA,0)),'6.Reportes de Pagos'!D:D,$P93)</f>
        <v>0</v>
      </c>
      <c r="AE93" s="179">
        <f>SUMIFS('6.Reportes de Pagos'!J:J,'6.Reportes de Pagos'!H:H,"&gt;"&amp;(EOMONTH(FECHA,-1)),'6.Reportes de Pagos'!H:H,"&lt;="&amp;(EOMONTH(FECHA,0)),'6.Reportes de Pagos'!D:D,$P93)</f>
        <v>0</v>
      </c>
      <c r="AF93" s="179">
        <v>0</v>
      </c>
      <c r="AG93" s="177">
        <f>SUMIFS('6.Reportes de Pagos'!I:I,'6.Reportes de Pagos'!H:H,"&lt;="&amp;(EOMONTH(FECHA,0)),'6.Reportes de Pagos'!D:D,$P93)</f>
        <v>226321284.69</v>
      </c>
      <c r="AH93" s="177">
        <f>SUMIFS('6.Reportes de Pagos'!J:J,'6.Reportes de Pagos'!H:H,"&lt;="&amp;(EOMONTH(FECHA,0)),'6.Reportes de Pagos'!D:D,$P93)</f>
        <v>22632128.470000003</v>
      </c>
      <c r="AI93" s="177">
        <f t="shared" si="12"/>
        <v>0</v>
      </c>
      <c r="AJ93" s="177"/>
      <c r="AK93" s="180">
        <f t="shared" si="13"/>
        <v>45947826.780000001</v>
      </c>
      <c r="AL93" s="208">
        <f t="shared" si="14"/>
        <v>0.81594142731648056</v>
      </c>
      <c r="AM93" s="210" t="s">
        <v>1218</v>
      </c>
    </row>
    <row r="94" spans="1:39" s="204" customFormat="1" ht="105" x14ac:dyDescent="0.25">
      <c r="A94" s="115">
        <f t="shared" si="15"/>
        <v>84</v>
      </c>
      <c r="B94" s="116" t="s">
        <v>51</v>
      </c>
      <c r="C94" s="90">
        <v>87123</v>
      </c>
      <c r="D94" s="117" t="s">
        <v>90</v>
      </c>
      <c r="E94" s="118">
        <v>2023</v>
      </c>
      <c r="F94" s="119" t="s">
        <v>683</v>
      </c>
      <c r="G94" s="120" t="s">
        <v>684</v>
      </c>
      <c r="H94" s="121">
        <f>1010850000+269313166</f>
        <v>1280163166</v>
      </c>
      <c r="I94" s="119" t="s">
        <v>120</v>
      </c>
      <c r="J94" s="76" t="s">
        <v>347</v>
      </c>
      <c r="K94" s="83" t="s">
        <v>345</v>
      </c>
      <c r="L94" s="119" t="s">
        <v>346</v>
      </c>
      <c r="M94" s="119">
        <v>14</v>
      </c>
      <c r="N94" s="119">
        <v>4</v>
      </c>
      <c r="O94" s="119" t="s">
        <v>1205</v>
      </c>
      <c r="P94" s="144" t="s">
        <v>488</v>
      </c>
      <c r="Q94" s="122">
        <v>45476</v>
      </c>
      <c r="R94" s="120" t="s">
        <v>126</v>
      </c>
      <c r="S94" s="115" t="s">
        <v>127</v>
      </c>
      <c r="T94" s="123" t="s">
        <v>489</v>
      </c>
      <c r="U94" s="119">
        <v>813006542</v>
      </c>
      <c r="V94" s="175">
        <v>968394297</v>
      </c>
      <c r="W94" s="175">
        <f>+H94-V94-X94</f>
        <v>42455703</v>
      </c>
      <c r="X94" s="175">
        <v>269313166</v>
      </c>
      <c r="Y94" s="175"/>
      <c r="Z94" s="176">
        <f t="shared" si="11"/>
        <v>1237707463</v>
      </c>
      <c r="AA94" s="177">
        <f>SUMIFS('6.Reportes de Pagos'!I:I,'6.Reportes de Pagos'!H:H,"&lt;="&amp;(EOMONTH(FECHA,-1)),'6.Reportes de Pagos'!D:D,$P94)</f>
        <v>1237707463</v>
      </c>
      <c r="AB94" s="177">
        <f>SUMIFS('6.Reportes de Pagos'!J:J,'6.Reportes de Pagos'!H:H,"&lt;="&amp;(EOMONTH(FECHA,-1)),'6.Reportes de Pagos'!D:D,$P94)</f>
        <v>123770746.3</v>
      </c>
      <c r="AC94" s="178">
        <v>0</v>
      </c>
      <c r="AD94" s="179">
        <f>SUMIFS('6.Reportes de Pagos'!I:I,'6.Reportes de Pagos'!H:H,"&gt;"&amp;(EOMONTH(FECHA,-1)),'6.Reportes de Pagos'!H:H,"&lt;="&amp;(EOMONTH(FECHA,0)),'6.Reportes de Pagos'!D:D,$P94)</f>
        <v>0</v>
      </c>
      <c r="AE94" s="179">
        <f>SUMIFS('6.Reportes de Pagos'!J:J,'6.Reportes de Pagos'!H:H,"&gt;"&amp;(EOMONTH(FECHA,-1)),'6.Reportes de Pagos'!H:H,"&lt;="&amp;(EOMONTH(FECHA,0)),'6.Reportes de Pagos'!D:D,$P94)</f>
        <v>0</v>
      </c>
      <c r="AF94" s="179">
        <v>0</v>
      </c>
      <c r="AG94" s="177">
        <f>SUMIFS('6.Reportes de Pagos'!I:I,'6.Reportes de Pagos'!H:H,"&lt;="&amp;(EOMONTH(FECHA,0)),'6.Reportes de Pagos'!D:D,$P94)</f>
        <v>1237707463</v>
      </c>
      <c r="AH94" s="177">
        <f>SUMIFS('6.Reportes de Pagos'!J:J,'6.Reportes de Pagos'!H:H,"&lt;="&amp;(EOMONTH(FECHA,0)),'6.Reportes de Pagos'!D:D,$P94)</f>
        <v>123770746.3</v>
      </c>
      <c r="AI94" s="177">
        <f t="shared" si="12"/>
        <v>0</v>
      </c>
      <c r="AJ94" s="177"/>
      <c r="AK94" s="180">
        <f t="shared" si="13"/>
        <v>123770746.29999995</v>
      </c>
      <c r="AL94" s="208">
        <f t="shared" si="14"/>
        <v>0.9</v>
      </c>
      <c r="AM94" s="210" t="s">
        <v>1219</v>
      </c>
    </row>
    <row r="95" spans="1:39" s="204" customFormat="1" ht="60" x14ac:dyDescent="0.25">
      <c r="A95" s="115">
        <f>+A59+1</f>
        <v>86</v>
      </c>
      <c r="B95" s="116" t="s">
        <v>51</v>
      </c>
      <c r="C95" s="90">
        <v>87123</v>
      </c>
      <c r="D95" s="117" t="s">
        <v>90</v>
      </c>
      <c r="E95" s="118">
        <v>2023</v>
      </c>
      <c r="F95" s="119">
        <v>109</v>
      </c>
      <c r="G95" s="120">
        <v>45415</v>
      </c>
      <c r="H95" s="121">
        <v>507157590</v>
      </c>
      <c r="I95" s="119" t="s">
        <v>412</v>
      </c>
      <c r="J95" s="76" t="s">
        <v>413</v>
      </c>
      <c r="K95" s="83" t="s">
        <v>420</v>
      </c>
      <c r="L95" s="119" t="s">
        <v>224</v>
      </c>
      <c r="M95" s="119">
        <v>3</v>
      </c>
      <c r="N95" s="119">
        <v>1</v>
      </c>
      <c r="O95" s="119" t="s">
        <v>1268</v>
      </c>
      <c r="P95" s="144" t="s">
        <v>1269</v>
      </c>
      <c r="Q95" s="122">
        <v>45755</v>
      </c>
      <c r="R95" s="120" t="s">
        <v>428</v>
      </c>
      <c r="S95" s="115" t="s">
        <v>127</v>
      </c>
      <c r="T95" s="123" t="s">
        <v>1270</v>
      </c>
      <c r="U95" s="119">
        <v>901931682</v>
      </c>
      <c r="V95" s="175">
        <v>487378780</v>
      </c>
      <c r="W95" s="175">
        <f t="shared" si="16"/>
        <v>19778810</v>
      </c>
      <c r="X95" s="175"/>
      <c r="Y95" s="175"/>
      <c r="Z95" s="176">
        <f t="shared" si="11"/>
        <v>487378780</v>
      </c>
      <c r="AA95" s="177">
        <f>SUMIFS('6.Reportes de Pagos'!I:I,'6.Reportes de Pagos'!H:H,"&lt;="&amp;(EOMONTH(FECHA,-1)),'6.Reportes de Pagos'!D:D,$P95)</f>
        <v>0</v>
      </c>
      <c r="AB95" s="177">
        <f>SUMIFS('6.Reportes de Pagos'!J:J,'6.Reportes de Pagos'!H:H,"&lt;="&amp;(EOMONTH(FECHA,-1)),'6.Reportes de Pagos'!D:D,$P95)</f>
        <v>0</v>
      </c>
      <c r="AC95" s="178">
        <v>0</v>
      </c>
      <c r="AD95" s="179">
        <f>SUMIFS('6.Reportes de Pagos'!I:I,'6.Reportes de Pagos'!H:H,"&gt;"&amp;(EOMONTH(FECHA,-1)),'6.Reportes de Pagos'!H:H,"&lt;="&amp;(EOMONTH(FECHA,0)),'6.Reportes de Pagos'!D:D,$P95)</f>
        <v>0</v>
      </c>
      <c r="AE95" s="179">
        <f>SUMIFS('6.Reportes de Pagos'!J:J,'6.Reportes de Pagos'!H:H,"&gt;"&amp;(EOMONTH(FECHA,-1)),'6.Reportes de Pagos'!H:H,"&lt;="&amp;(EOMONTH(FECHA,0)),'6.Reportes de Pagos'!D:D,$P95)</f>
        <v>0</v>
      </c>
      <c r="AF95" s="179">
        <v>0</v>
      </c>
      <c r="AG95" s="177">
        <f>SUMIFS('6.Reportes de Pagos'!I:I,'6.Reportes de Pagos'!H:H,"&lt;="&amp;(EOMONTH(FECHA,0)),'6.Reportes de Pagos'!D:D,$P95)</f>
        <v>0</v>
      </c>
      <c r="AH95" s="177">
        <f>SUMIFS('6.Reportes de Pagos'!J:J,'6.Reportes de Pagos'!H:H,"&lt;="&amp;(EOMONTH(FECHA,0)),'6.Reportes de Pagos'!D:D,$P95)</f>
        <v>0</v>
      </c>
      <c r="AI95" s="177">
        <f t="shared" si="12"/>
        <v>0</v>
      </c>
      <c r="AJ95" s="177"/>
      <c r="AK95" s="180">
        <f t="shared" si="13"/>
        <v>487378780</v>
      </c>
      <c r="AL95" s="182">
        <f t="shared" si="14"/>
        <v>0</v>
      </c>
      <c r="AM95" s="210" t="s">
        <v>1218</v>
      </c>
    </row>
    <row r="96" spans="1:39" s="204" customFormat="1" ht="90" x14ac:dyDescent="0.25">
      <c r="A96" s="115">
        <f t="shared" si="15"/>
        <v>87</v>
      </c>
      <c r="B96" s="116" t="s">
        <v>51</v>
      </c>
      <c r="C96" s="90">
        <v>87123</v>
      </c>
      <c r="D96" s="117" t="s">
        <v>90</v>
      </c>
      <c r="E96" s="118">
        <v>2023</v>
      </c>
      <c r="F96" s="119">
        <v>190</v>
      </c>
      <c r="G96" s="120">
        <v>45727</v>
      </c>
      <c r="H96" s="121">
        <v>309932280</v>
      </c>
      <c r="I96" s="119" t="s">
        <v>412</v>
      </c>
      <c r="J96" s="76" t="s">
        <v>414</v>
      </c>
      <c r="K96" s="83" t="s">
        <v>420</v>
      </c>
      <c r="L96" s="119" t="s">
        <v>224</v>
      </c>
      <c r="M96" s="119">
        <v>3</v>
      </c>
      <c r="N96" s="119">
        <v>1</v>
      </c>
      <c r="O96" s="119" t="s">
        <v>1259</v>
      </c>
      <c r="P96" s="144" t="s">
        <v>1260</v>
      </c>
      <c r="Q96" s="122">
        <v>45749</v>
      </c>
      <c r="R96" s="120" t="s">
        <v>131</v>
      </c>
      <c r="S96" s="115" t="s">
        <v>127</v>
      </c>
      <c r="T96" s="123" t="s">
        <v>1261</v>
      </c>
      <c r="U96" s="119">
        <v>900503646</v>
      </c>
      <c r="V96" s="175">
        <v>309932280</v>
      </c>
      <c r="W96" s="175">
        <f t="shared" si="16"/>
        <v>0</v>
      </c>
      <c r="X96" s="175"/>
      <c r="Y96" s="175"/>
      <c r="Z96" s="176">
        <f t="shared" si="11"/>
        <v>309932280</v>
      </c>
      <c r="AA96" s="177">
        <f>SUMIFS('6.Reportes de Pagos'!I:I,'6.Reportes de Pagos'!H:H,"&lt;="&amp;(EOMONTH(FECHA,-1)),'6.Reportes de Pagos'!D:D,$P96)</f>
        <v>0</v>
      </c>
      <c r="AB96" s="177">
        <f>SUMIFS('6.Reportes de Pagos'!J:J,'6.Reportes de Pagos'!H:H,"&lt;="&amp;(EOMONTH(FECHA,-1)),'6.Reportes de Pagos'!D:D,$P96)</f>
        <v>0</v>
      </c>
      <c r="AC96" s="178">
        <v>0</v>
      </c>
      <c r="AD96" s="179">
        <f>SUMIFS('6.Reportes de Pagos'!I:I,'6.Reportes de Pagos'!H:H,"&gt;"&amp;(EOMONTH(FECHA,-1)),'6.Reportes de Pagos'!H:H,"&lt;="&amp;(EOMONTH(FECHA,0)),'6.Reportes de Pagos'!D:D,$P96)</f>
        <v>0</v>
      </c>
      <c r="AE96" s="179">
        <f>SUMIFS('6.Reportes de Pagos'!J:J,'6.Reportes de Pagos'!H:H,"&gt;"&amp;(EOMONTH(FECHA,-1)),'6.Reportes de Pagos'!H:H,"&lt;="&amp;(EOMONTH(FECHA,0)),'6.Reportes de Pagos'!D:D,$P96)</f>
        <v>0</v>
      </c>
      <c r="AF96" s="179">
        <v>0</v>
      </c>
      <c r="AG96" s="177">
        <f>SUMIFS('6.Reportes de Pagos'!I:I,'6.Reportes de Pagos'!H:H,"&lt;="&amp;(EOMONTH(FECHA,0)),'6.Reportes de Pagos'!D:D,$P96)</f>
        <v>0</v>
      </c>
      <c r="AH96" s="177">
        <f>SUMIFS('6.Reportes de Pagos'!J:J,'6.Reportes de Pagos'!H:H,"&lt;="&amp;(EOMONTH(FECHA,0)),'6.Reportes de Pagos'!D:D,$P96)</f>
        <v>0</v>
      </c>
      <c r="AI96" s="177">
        <f t="shared" si="12"/>
        <v>0</v>
      </c>
      <c r="AJ96" s="177"/>
      <c r="AK96" s="180">
        <f t="shared" si="13"/>
        <v>309932280</v>
      </c>
      <c r="AL96" s="182">
        <f t="shared" si="14"/>
        <v>0</v>
      </c>
      <c r="AM96" s="210" t="s">
        <v>1218</v>
      </c>
    </row>
    <row r="97" spans="1:39" s="204" customFormat="1" ht="75" x14ac:dyDescent="0.25">
      <c r="A97" s="115">
        <f t="shared" si="15"/>
        <v>88</v>
      </c>
      <c r="B97" s="116" t="s">
        <v>51</v>
      </c>
      <c r="C97" s="90">
        <v>87123</v>
      </c>
      <c r="D97" s="117" t="s">
        <v>90</v>
      </c>
      <c r="E97" s="118">
        <v>2023</v>
      </c>
      <c r="F97" s="119">
        <v>113</v>
      </c>
      <c r="G97" s="120">
        <v>45421</v>
      </c>
      <c r="H97" s="121">
        <v>5639034020</v>
      </c>
      <c r="I97" s="119" t="s">
        <v>120</v>
      </c>
      <c r="J97" s="76" t="s">
        <v>416</v>
      </c>
      <c r="K97" s="83" t="s">
        <v>425</v>
      </c>
      <c r="L97" s="119" t="s">
        <v>213</v>
      </c>
      <c r="M97" s="119">
        <v>11</v>
      </c>
      <c r="N97" s="119">
        <v>1</v>
      </c>
      <c r="O97" s="119" t="s">
        <v>1207</v>
      </c>
      <c r="P97" s="144" t="s">
        <v>609</v>
      </c>
      <c r="Q97" s="122">
        <v>45552</v>
      </c>
      <c r="R97" s="120" t="s">
        <v>126</v>
      </c>
      <c r="S97" s="115" t="s">
        <v>127</v>
      </c>
      <c r="T97" s="123" t="s">
        <v>610</v>
      </c>
      <c r="U97" s="119">
        <v>901864521</v>
      </c>
      <c r="V97" s="175">
        <v>5458250573</v>
      </c>
      <c r="W97" s="175">
        <f t="shared" si="16"/>
        <v>180783447</v>
      </c>
      <c r="X97" s="175"/>
      <c r="Y97" s="175"/>
      <c r="Z97" s="176">
        <f t="shared" si="11"/>
        <v>5458250573</v>
      </c>
      <c r="AA97" s="177">
        <f>SUMIFS('6.Reportes de Pagos'!I:I,'6.Reportes de Pagos'!H:H,"&lt;="&amp;(EOMONTH(FECHA,-1)),'6.Reportes de Pagos'!D:D,$P97)</f>
        <v>0</v>
      </c>
      <c r="AB97" s="177">
        <f>SUMIFS('6.Reportes de Pagos'!J:J,'6.Reportes de Pagos'!H:H,"&lt;="&amp;(EOMONTH(FECHA,-1)),'6.Reportes de Pagos'!D:D,$P97)</f>
        <v>0</v>
      </c>
      <c r="AC97" s="178">
        <v>0</v>
      </c>
      <c r="AD97" s="179">
        <f>SUMIFS('6.Reportes de Pagos'!I:I,'6.Reportes de Pagos'!H:H,"&gt;"&amp;(EOMONTH(FECHA,-1)),'6.Reportes de Pagos'!H:H,"&lt;="&amp;(EOMONTH(FECHA,0)),'6.Reportes de Pagos'!D:D,$P97)</f>
        <v>0</v>
      </c>
      <c r="AE97" s="179">
        <f>SUMIFS('6.Reportes de Pagos'!J:J,'6.Reportes de Pagos'!H:H,"&gt;"&amp;(EOMONTH(FECHA,-1)),'6.Reportes de Pagos'!H:H,"&lt;="&amp;(EOMONTH(FECHA,0)),'6.Reportes de Pagos'!D:D,$P97)</f>
        <v>0</v>
      </c>
      <c r="AF97" s="179">
        <v>0</v>
      </c>
      <c r="AG97" s="177">
        <f>SUMIFS('6.Reportes de Pagos'!I:I,'6.Reportes de Pagos'!H:H,"&lt;="&amp;(EOMONTH(FECHA,0)),'6.Reportes de Pagos'!D:D,$P97)</f>
        <v>0</v>
      </c>
      <c r="AH97" s="177">
        <f>SUMIFS('6.Reportes de Pagos'!J:J,'6.Reportes de Pagos'!H:H,"&lt;="&amp;(EOMONTH(FECHA,0)),'6.Reportes de Pagos'!D:D,$P97)</f>
        <v>0</v>
      </c>
      <c r="AI97" s="177">
        <f t="shared" si="12"/>
        <v>0</v>
      </c>
      <c r="AJ97" s="177"/>
      <c r="AK97" s="180">
        <f t="shared" si="13"/>
        <v>5458250573</v>
      </c>
      <c r="AL97" s="208">
        <f t="shared" si="14"/>
        <v>0</v>
      </c>
      <c r="AM97" s="210" t="s">
        <v>1218</v>
      </c>
    </row>
    <row r="98" spans="1:39" s="204" customFormat="1" ht="90" x14ac:dyDescent="0.25">
      <c r="A98" s="115">
        <f t="shared" si="15"/>
        <v>89</v>
      </c>
      <c r="B98" s="116" t="s">
        <v>51</v>
      </c>
      <c r="C98" s="90">
        <v>87123</v>
      </c>
      <c r="D98" s="117" t="s">
        <v>90</v>
      </c>
      <c r="E98" s="118">
        <v>2023</v>
      </c>
      <c r="F98" s="119">
        <v>134</v>
      </c>
      <c r="G98" s="120">
        <v>45475</v>
      </c>
      <c r="H98" s="121">
        <v>785128710</v>
      </c>
      <c r="I98" s="119" t="s">
        <v>120</v>
      </c>
      <c r="J98" s="76" t="s">
        <v>502</v>
      </c>
      <c r="K98" s="83" t="s">
        <v>425</v>
      </c>
      <c r="L98" s="119" t="s">
        <v>213</v>
      </c>
      <c r="M98" s="119">
        <v>11</v>
      </c>
      <c r="N98" s="119">
        <v>1</v>
      </c>
      <c r="O98" s="119" t="s">
        <v>1208</v>
      </c>
      <c r="P98" s="144" t="s">
        <v>611</v>
      </c>
      <c r="Q98" s="122">
        <v>45545</v>
      </c>
      <c r="R98" s="120" t="s">
        <v>131</v>
      </c>
      <c r="S98" s="115" t="s">
        <v>127</v>
      </c>
      <c r="T98" s="123" t="s">
        <v>612</v>
      </c>
      <c r="U98" s="119">
        <v>812001126</v>
      </c>
      <c r="V98" s="175">
        <v>740376374</v>
      </c>
      <c r="W98" s="175">
        <f t="shared" si="16"/>
        <v>44752336</v>
      </c>
      <c r="X98" s="175"/>
      <c r="Y98" s="175"/>
      <c r="Z98" s="176">
        <f t="shared" si="11"/>
        <v>740376374</v>
      </c>
      <c r="AA98" s="177">
        <f>SUMIFS('6.Reportes de Pagos'!I:I,'6.Reportes de Pagos'!H:H,"&lt;="&amp;(EOMONTH(FECHA,-1)),'6.Reportes de Pagos'!D:D,$P98)</f>
        <v>0</v>
      </c>
      <c r="AB98" s="177">
        <f>SUMIFS('6.Reportes de Pagos'!J:J,'6.Reportes de Pagos'!H:H,"&lt;="&amp;(EOMONTH(FECHA,-1)),'6.Reportes de Pagos'!D:D,$P98)</f>
        <v>0</v>
      </c>
      <c r="AC98" s="178">
        <v>0</v>
      </c>
      <c r="AD98" s="179">
        <f>SUMIFS('6.Reportes de Pagos'!I:I,'6.Reportes de Pagos'!H:H,"&gt;"&amp;(EOMONTH(FECHA,-1)),'6.Reportes de Pagos'!H:H,"&lt;="&amp;(EOMONTH(FECHA,0)),'6.Reportes de Pagos'!D:D,$P98)</f>
        <v>0</v>
      </c>
      <c r="AE98" s="179">
        <f>SUMIFS('6.Reportes de Pagos'!J:J,'6.Reportes de Pagos'!H:H,"&gt;"&amp;(EOMONTH(FECHA,-1)),'6.Reportes de Pagos'!H:H,"&lt;="&amp;(EOMONTH(FECHA,0)),'6.Reportes de Pagos'!D:D,$P98)</f>
        <v>0</v>
      </c>
      <c r="AF98" s="179">
        <v>0</v>
      </c>
      <c r="AG98" s="177">
        <f>SUMIFS('6.Reportes de Pagos'!I:I,'6.Reportes de Pagos'!H:H,"&lt;="&amp;(EOMONTH(FECHA,0)),'6.Reportes de Pagos'!D:D,$P98)</f>
        <v>0</v>
      </c>
      <c r="AH98" s="177">
        <f>SUMIFS('6.Reportes de Pagos'!J:J,'6.Reportes de Pagos'!H:H,"&lt;="&amp;(EOMONTH(FECHA,0)),'6.Reportes de Pagos'!D:D,$P98)</f>
        <v>0</v>
      </c>
      <c r="AI98" s="177">
        <f t="shared" ref="AI98" si="22">+AC98+AF98</f>
        <v>0</v>
      </c>
      <c r="AJ98" s="177"/>
      <c r="AK98" s="180">
        <f t="shared" ref="AK98" si="23">+Z98-(AG98-AH98)-AI98</f>
        <v>740376374</v>
      </c>
      <c r="AL98" s="208">
        <f t="shared" ref="AL98" si="24">IFERROR(((AG98-AH98+AI98)/Z98),0)</f>
        <v>0</v>
      </c>
      <c r="AM98" s="210" t="s">
        <v>1218</v>
      </c>
    </row>
    <row r="99" spans="1:39" s="204" customFormat="1" ht="45" x14ac:dyDescent="0.25">
      <c r="A99" s="115">
        <f t="shared" si="15"/>
        <v>90</v>
      </c>
      <c r="B99" s="116" t="s">
        <v>51</v>
      </c>
      <c r="C99" s="90">
        <v>87123</v>
      </c>
      <c r="D99" s="117" t="s">
        <v>90</v>
      </c>
      <c r="E99" s="118">
        <v>2023</v>
      </c>
      <c r="F99" s="119">
        <v>182</v>
      </c>
      <c r="G99" s="120">
        <v>45671</v>
      </c>
      <c r="H99" s="121">
        <v>453065330</v>
      </c>
      <c r="I99" s="119" t="s">
        <v>412</v>
      </c>
      <c r="J99" s="76" t="s">
        <v>418</v>
      </c>
      <c r="K99" s="83" t="s">
        <v>426</v>
      </c>
      <c r="L99" s="119" t="s">
        <v>427</v>
      </c>
      <c r="M99" s="119" t="s">
        <v>60</v>
      </c>
      <c r="N99" s="119">
        <v>1</v>
      </c>
      <c r="O99" s="119" t="s">
        <v>1209</v>
      </c>
      <c r="P99" s="144" t="s">
        <v>1123</v>
      </c>
      <c r="Q99" s="122">
        <v>45736</v>
      </c>
      <c r="R99" s="120" t="s">
        <v>428</v>
      </c>
      <c r="S99" s="115" t="s">
        <v>127</v>
      </c>
      <c r="T99" s="123" t="s">
        <v>1124</v>
      </c>
      <c r="U99" s="119">
        <v>901917385</v>
      </c>
      <c r="V99" s="175">
        <v>453065330</v>
      </c>
      <c r="W99" s="175">
        <f t="shared" si="16"/>
        <v>0</v>
      </c>
      <c r="X99" s="175"/>
      <c r="Y99" s="175"/>
      <c r="Z99" s="176">
        <f t="shared" si="11"/>
        <v>453065330</v>
      </c>
      <c r="AA99" s="177">
        <f>SUMIFS('6.Reportes de Pagos'!I:I,'6.Reportes de Pagos'!H:H,"&lt;="&amp;(EOMONTH(FECHA,-1)),'6.Reportes de Pagos'!D:D,$P99)</f>
        <v>0</v>
      </c>
      <c r="AB99" s="177">
        <f>SUMIFS('6.Reportes de Pagos'!J:J,'6.Reportes de Pagos'!H:H,"&lt;="&amp;(EOMONTH(FECHA,-1)),'6.Reportes de Pagos'!D:D,$P99)</f>
        <v>0</v>
      </c>
      <c r="AC99" s="178">
        <v>0</v>
      </c>
      <c r="AD99" s="179">
        <f>SUMIFS('6.Reportes de Pagos'!I:I,'6.Reportes de Pagos'!H:H,"&gt;"&amp;(EOMONTH(FECHA,-1)),'6.Reportes de Pagos'!H:H,"&lt;="&amp;(EOMONTH(FECHA,0)),'6.Reportes de Pagos'!D:D,$P99)</f>
        <v>0</v>
      </c>
      <c r="AE99" s="179">
        <f>SUMIFS('6.Reportes de Pagos'!J:J,'6.Reportes de Pagos'!H:H,"&gt;"&amp;(EOMONTH(FECHA,-1)),'6.Reportes de Pagos'!H:H,"&lt;="&amp;(EOMONTH(FECHA,0)),'6.Reportes de Pagos'!D:D,$P99)</f>
        <v>0</v>
      </c>
      <c r="AF99" s="179">
        <v>0</v>
      </c>
      <c r="AG99" s="177">
        <f>SUMIFS('6.Reportes de Pagos'!I:I,'6.Reportes de Pagos'!H:H,"&lt;="&amp;(EOMONTH(FECHA,0)),'6.Reportes de Pagos'!D:D,$P99)</f>
        <v>0</v>
      </c>
      <c r="AH99" s="177">
        <f>SUMIFS('6.Reportes de Pagos'!J:J,'6.Reportes de Pagos'!H:H,"&lt;="&amp;(EOMONTH(FECHA,0)),'6.Reportes de Pagos'!D:D,$P99)</f>
        <v>0</v>
      </c>
      <c r="AI99" s="177">
        <f t="shared" si="12"/>
        <v>0</v>
      </c>
      <c r="AJ99" s="177"/>
      <c r="AK99" s="180">
        <f t="shared" si="13"/>
        <v>453065330</v>
      </c>
      <c r="AL99" s="182">
        <f t="shared" si="14"/>
        <v>0</v>
      </c>
      <c r="AM99" s="210" t="s">
        <v>1218</v>
      </c>
    </row>
    <row r="100" spans="1:39" s="204" customFormat="1" ht="75" x14ac:dyDescent="0.25">
      <c r="A100" s="115">
        <f t="shared" si="15"/>
        <v>91</v>
      </c>
      <c r="B100" s="116" t="s">
        <v>51</v>
      </c>
      <c r="C100" s="90">
        <v>87123</v>
      </c>
      <c r="D100" s="117" t="s">
        <v>90</v>
      </c>
      <c r="E100" s="118">
        <v>2023</v>
      </c>
      <c r="F100" s="119">
        <v>181</v>
      </c>
      <c r="G100" s="120">
        <v>45671</v>
      </c>
      <c r="H100" s="121">
        <v>169705120</v>
      </c>
      <c r="I100" s="119" t="s">
        <v>412</v>
      </c>
      <c r="J100" s="76" t="s">
        <v>419</v>
      </c>
      <c r="K100" s="83" t="s">
        <v>426</v>
      </c>
      <c r="L100" s="119" t="s">
        <v>427</v>
      </c>
      <c r="M100" s="119" t="s">
        <v>60</v>
      </c>
      <c r="N100" s="119">
        <v>1</v>
      </c>
      <c r="O100" s="119" t="s">
        <v>1210</v>
      </c>
      <c r="P100" s="144" t="s">
        <v>1119</v>
      </c>
      <c r="Q100" s="122">
        <v>45743</v>
      </c>
      <c r="R100" s="120" t="s">
        <v>429</v>
      </c>
      <c r="S100" s="115" t="s">
        <v>127</v>
      </c>
      <c r="T100" s="123" t="s">
        <v>1120</v>
      </c>
      <c r="U100" s="119">
        <v>901917219</v>
      </c>
      <c r="V100" s="175">
        <v>169705119</v>
      </c>
      <c r="W100" s="175">
        <f t="shared" si="16"/>
        <v>1</v>
      </c>
      <c r="X100" s="175"/>
      <c r="Y100" s="175"/>
      <c r="Z100" s="176">
        <f t="shared" si="11"/>
        <v>169705119</v>
      </c>
      <c r="AA100" s="177">
        <f>SUMIFS('6.Reportes de Pagos'!I:I,'6.Reportes de Pagos'!H:H,"&lt;="&amp;(EOMONTH(FECHA,-1)),'6.Reportes de Pagos'!D:D,$P100)</f>
        <v>0</v>
      </c>
      <c r="AB100" s="177">
        <f>SUMIFS('6.Reportes de Pagos'!J:J,'6.Reportes de Pagos'!H:H,"&lt;="&amp;(EOMONTH(FECHA,-1)),'6.Reportes de Pagos'!D:D,$P100)</f>
        <v>0</v>
      </c>
      <c r="AC100" s="178">
        <v>0</v>
      </c>
      <c r="AD100" s="179">
        <f>SUMIFS('6.Reportes de Pagos'!I:I,'6.Reportes de Pagos'!H:H,"&gt;"&amp;(EOMONTH(FECHA,-1)),'6.Reportes de Pagos'!H:H,"&lt;="&amp;(EOMONTH(FECHA,0)),'6.Reportes de Pagos'!D:D,$P100)</f>
        <v>0</v>
      </c>
      <c r="AE100" s="179">
        <f>SUMIFS('6.Reportes de Pagos'!J:J,'6.Reportes de Pagos'!H:H,"&gt;"&amp;(EOMONTH(FECHA,-1)),'6.Reportes de Pagos'!H:H,"&lt;="&amp;(EOMONTH(FECHA,0)),'6.Reportes de Pagos'!D:D,$P100)</f>
        <v>0</v>
      </c>
      <c r="AF100" s="179">
        <v>0</v>
      </c>
      <c r="AG100" s="177">
        <f>SUMIFS('6.Reportes de Pagos'!I:I,'6.Reportes de Pagos'!H:H,"&lt;="&amp;(EOMONTH(FECHA,0)),'6.Reportes de Pagos'!D:D,$P100)</f>
        <v>0</v>
      </c>
      <c r="AH100" s="177">
        <f>SUMIFS('6.Reportes de Pagos'!J:J,'6.Reportes de Pagos'!H:H,"&lt;="&amp;(EOMONTH(FECHA,0)),'6.Reportes de Pagos'!D:D,$P100)</f>
        <v>0</v>
      </c>
      <c r="AI100" s="177">
        <f t="shared" si="12"/>
        <v>0</v>
      </c>
      <c r="AJ100" s="177"/>
      <c r="AK100" s="180">
        <f t="shared" si="13"/>
        <v>169705119</v>
      </c>
      <c r="AL100" s="182">
        <f t="shared" si="14"/>
        <v>0</v>
      </c>
      <c r="AM100" s="210" t="s">
        <v>1218</v>
      </c>
    </row>
    <row r="101" spans="1:39" s="204" customFormat="1" ht="75" x14ac:dyDescent="0.25">
      <c r="A101" s="115">
        <f t="shared" si="15"/>
        <v>92</v>
      </c>
      <c r="B101" s="116" t="s">
        <v>51</v>
      </c>
      <c r="C101" s="90">
        <v>87123</v>
      </c>
      <c r="D101" s="117" t="s">
        <v>90</v>
      </c>
      <c r="E101" s="118">
        <v>2023</v>
      </c>
      <c r="F101" s="119">
        <v>128</v>
      </c>
      <c r="G101" s="120">
        <v>45471</v>
      </c>
      <c r="H101" s="121">
        <v>383559190</v>
      </c>
      <c r="I101" s="119" t="s">
        <v>412</v>
      </c>
      <c r="J101" s="76" t="s">
        <v>442</v>
      </c>
      <c r="K101" s="83" t="s">
        <v>443</v>
      </c>
      <c r="L101" s="119" t="s">
        <v>166</v>
      </c>
      <c r="M101" s="119" t="s">
        <v>60</v>
      </c>
      <c r="N101" s="119">
        <v>1</v>
      </c>
      <c r="O101" s="119"/>
      <c r="P101" s="144"/>
      <c r="Q101" s="122"/>
      <c r="R101" s="120" t="s">
        <v>428</v>
      </c>
      <c r="S101" s="115" t="s">
        <v>167</v>
      </c>
      <c r="T101" s="123"/>
      <c r="U101" s="119"/>
      <c r="V101" s="175"/>
      <c r="W101" s="175">
        <f t="shared" si="16"/>
        <v>383559190</v>
      </c>
      <c r="X101" s="175"/>
      <c r="Y101" s="175"/>
      <c r="Z101" s="176">
        <f t="shared" ref="Z101" si="25">+V101+X101</f>
        <v>0</v>
      </c>
      <c r="AA101" s="177">
        <f>SUMIFS('6.Reportes de Pagos'!I:I,'6.Reportes de Pagos'!H:H,"&lt;="&amp;(EOMONTH(FECHA,-1)),'6.Reportes de Pagos'!D:D,$P101)</f>
        <v>0</v>
      </c>
      <c r="AB101" s="177">
        <f>SUMIFS('6.Reportes de Pagos'!J:J,'6.Reportes de Pagos'!H:H,"&lt;="&amp;(EOMONTH(FECHA,-1)),'6.Reportes de Pagos'!D:D,$P101)</f>
        <v>0</v>
      </c>
      <c r="AC101" s="178">
        <v>0</v>
      </c>
      <c r="AD101" s="179">
        <f>SUMIFS('6.Reportes de Pagos'!I:I,'6.Reportes de Pagos'!H:H,"&gt;"&amp;(EOMONTH(FECHA,-1)),'6.Reportes de Pagos'!H:H,"&lt;="&amp;(EOMONTH(FECHA,0)),'6.Reportes de Pagos'!D:D,$P101)</f>
        <v>0</v>
      </c>
      <c r="AE101" s="179">
        <f>SUMIFS('6.Reportes de Pagos'!J:J,'6.Reportes de Pagos'!H:H,"&gt;"&amp;(EOMONTH(FECHA,-1)),'6.Reportes de Pagos'!H:H,"&lt;="&amp;(EOMONTH(FECHA,0)),'6.Reportes de Pagos'!D:D,$P101)</f>
        <v>0</v>
      </c>
      <c r="AF101" s="179">
        <v>0</v>
      </c>
      <c r="AG101" s="177">
        <f>SUMIFS('6.Reportes de Pagos'!I:I,'6.Reportes de Pagos'!H:H,"&lt;="&amp;(EOMONTH(FECHA,0)),'6.Reportes de Pagos'!D:D,$P101)</f>
        <v>0</v>
      </c>
      <c r="AH101" s="177">
        <f>SUMIFS('6.Reportes de Pagos'!J:J,'6.Reportes de Pagos'!H:H,"&lt;="&amp;(EOMONTH(FECHA,0)),'6.Reportes de Pagos'!D:D,$P101)</f>
        <v>0</v>
      </c>
      <c r="AI101" s="177">
        <f t="shared" ref="AI101" si="26">+AC101+AF101</f>
        <v>0</v>
      </c>
      <c r="AJ101" s="177"/>
      <c r="AK101" s="180">
        <f t="shared" ref="AK101" si="27">+Z101-(AG101-AH101)-AI101</f>
        <v>0</v>
      </c>
      <c r="AL101" s="182">
        <f t="shared" ref="AL101" si="28">IFERROR(((AG101-AH101+AI101)/Z101),0)</f>
        <v>0</v>
      </c>
      <c r="AM101" s="210" t="s">
        <v>167</v>
      </c>
    </row>
    <row r="102" spans="1:39" s="204" customFormat="1" ht="105" x14ac:dyDescent="0.25">
      <c r="A102" s="115">
        <f t="shared" si="15"/>
        <v>93</v>
      </c>
      <c r="B102" s="116" t="s">
        <v>51</v>
      </c>
      <c r="C102" s="90">
        <v>87123</v>
      </c>
      <c r="D102" s="117" t="s">
        <v>90</v>
      </c>
      <c r="E102" s="118">
        <v>2023</v>
      </c>
      <c r="F102" s="119">
        <v>129</v>
      </c>
      <c r="G102" s="120">
        <v>45471</v>
      </c>
      <c r="H102" s="121">
        <v>210615810</v>
      </c>
      <c r="I102" s="119" t="s">
        <v>412</v>
      </c>
      <c r="J102" s="76" t="s">
        <v>444</v>
      </c>
      <c r="K102" s="83" t="s">
        <v>443</v>
      </c>
      <c r="L102" s="119" t="s">
        <v>166</v>
      </c>
      <c r="M102" s="119" t="s">
        <v>60</v>
      </c>
      <c r="N102" s="119">
        <v>1</v>
      </c>
      <c r="O102" s="119"/>
      <c r="P102" s="144"/>
      <c r="Q102" s="122"/>
      <c r="R102" s="120" t="s">
        <v>429</v>
      </c>
      <c r="S102" s="115" t="s">
        <v>167</v>
      </c>
      <c r="T102" s="123"/>
      <c r="U102" s="119"/>
      <c r="V102" s="175"/>
      <c r="W102" s="175">
        <f t="shared" si="16"/>
        <v>210615810</v>
      </c>
      <c r="X102" s="175"/>
      <c r="Y102" s="175"/>
      <c r="Z102" s="176">
        <f t="shared" ref="Z102" si="29">+V102+X102</f>
        <v>0</v>
      </c>
      <c r="AA102" s="177">
        <f>SUMIFS('6.Reportes de Pagos'!I:I,'6.Reportes de Pagos'!H:H,"&lt;="&amp;(EOMONTH(FECHA,-1)),'6.Reportes de Pagos'!D:D,$P102)</f>
        <v>0</v>
      </c>
      <c r="AB102" s="177">
        <f>SUMIFS('6.Reportes de Pagos'!J:J,'6.Reportes de Pagos'!H:H,"&lt;="&amp;(EOMONTH(FECHA,-1)),'6.Reportes de Pagos'!D:D,$P102)</f>
        <v>0</v>
      </c>
      <c r="AC102" s="178">
        <v>0</v>
      </c>
      <c r="AD102" s="179">
        <f>SUMIFS('6.Reportes de Pagos'!I:I,'6.Reportes de Pagos'!H:H,"&gt;"&amp;(EOMONTH(FECHA,-1)),'6.Reportes de Pagos'!H:H,"&lt;="&amp;(EOMONTH(FECHA,0)),'6.Reportes de Pagos'!D:D,$P102)</f>
        <v>0</v>
      </c>
      <c r="AE102" s="179">
        <f>SUMIFS('6.Reportes de Pagos'!J:J,'6.Reportes de Pagos'!H:H,"&gt;"&amp;(EOMONTH(FECHA,-1)),'6.Reportes de Pagos'!H:H,"&lt;="&amp;(EOMONTH(FECHA,0)),'6.Reportes de Pagos'!D:D,$P102)</f>
        <v>0</v>
      </c>
      <c r="AF102" s="179">
        <v>0</v>
      </c>
      <c r="AG102" s="177">
        <f>SUMIFS('6.Reportes de Pagos'!I:I,'6.Reportes de Pagos'!H:H,"&lt;="&amp;(EOMONTH(FECHA,0)),'6.Reportes de Pagos'!D:D,$P102)</f>
        <v>0</v>
      </c>
      <c r="AH102" s="177">
        <f>SUMIFS('6.Reportes de Pagos'!J:J,'6.Reportes de Pagos'!H:H,"&lt;="&amp;(EOMONTH(FECHA,0)),'6.Reportes de Pagos'!D:D,$P102)</f>
        <v>0</v>
      </c>
      <c r="AI102" s="177">
        <f t="shared" ref="AI102" si="30">+AC102+AF102</f>
        <v>0</v>
      </c>
      <c r="AJ102" s="177"/>
      <c r="AK102" s="180">
        <f t="shared" ref="AK102" si="31">+Z102-(AG102-AH102)-AI102</f>
        <v>0</v>
      </c>
      <c r="AL102" s="182">
        <f t="shared" ref="AL102" si="32">IFERROR(((AG102-AH102+AI102)/Z102),0)</f>
        <v>0</v>
      </c>
      <c r="AM102" s="210" t="s">
        <v>167</v>
      </c>
    </row>
    <row r="103" spans="1:39" s="204" customFormat="1" ht="60" x14ac:dyDescent="0.25">
      <c r="A103" s="115">
        <f t="shared" si="15"/>
        <v>94</v>
      </c>
      <c r="B103" s="116" t="s">
        <v>51</v>
      </c>
      <c r="C103" s="90">
        <v>87123</v>
      </c>
      <c r="D103" s="117" t="s">
        <v>90</v>
      </c>
      <c r="E103" s="118">
        <v>2023</v>
      </c>
      <c r="F103" s="119">
        <v>130</v>
      </c>
      <c r="G103" s="120">
        <v>45471</v>
      </c>
      <c r="H103" s="121">
        <v>483615990</v>
      </c>
      <c r="I103" s="119" t="s">
        <v>412</v>
      </c>
      <c r="J103" s="76" t="s">
        <v>445</v>
      </c>
      <c r="K103" s="83" t="s">
        <v>447</v>
      </c>
      <c r="L103" s="119" t="s">
        <v>186</v>
      </c>
      <c r="M103" s="119" t="s">
        <v>60</v>
      </c>
      <c r="N103" s="119">
        <v>1</v>
      </c>
      <c r="O103" s="119" t="s">
        <v>1271</v>
      </c>
      <c r="P103" s="144" t="s">
        <v>1272</v>
      </c>
      <c r="Q103" s="122">
        <v>45757</v>
      </c>
      <c r="R103" s="120" t="s">
        <v>428</v>
      </c>
      <c r="S103" s="115" t="s">
        <v>127</v>
      </c>
      <c r="T103" s="123" t="s">
        <v>1273</v>
      </c>
      <c r="U103" s="119">
        <v>901929166</v>
      </c>
      <c r="V103" s="175">
        <v>478779840</v>
      </c>
      <c r="W103" s="175">
        <f t="shared" si="16"/>
        <v>4836150</v>
      </c>
      <c r="X103" s="175"/>
      <c r="Y103" s="175"/>
      <c r="Z103" s="176">
        <f t="shared" ref="Z103" si="33">+V103+X103</f>
        <v>478779840</v>
      </c>
      <c r="AA103" s="177">
        <f>SUMIFS('6.Reportes de Pagos'!I:I,'6.Reportes de Pagos'!H:H,"&lt;="&amp;(EOMONTH(FECHA,-1)),'6.Reportes de Pagos'!D:D,$P103)</f>
        <v>0</v>
      </c>
      <c r="AB103" s="177">
        <f>SUMIFS('6.Reportes de Pagos'!J:J,'6.Reportes de Pagos'!H:H,"&lt;="&amp;(EOMONTH(FECHA,-1)),'6.Reportes de Pagos'!D:D,$P103)</f>
        <v>0</v>
      </c>
      <c r="AC103" s="178">
        <v>0</v>
      </c>
      <c r="AD103" s="179">
        <f>SUMIFS('6.Reportes de Pagos'!I:I,'6.Reportes de Pagos'!H:H,"&gt;"&amp;(EOMONTH(FECHA,-1)),'6.Reportes de Pagos'!H:H,"&lt;="&amp;(EOMONTH(FECHA,0)),'6.Reportes de Pagos'!D:D,$P103)</f>
        <v>0</v>
      </c>
      <c r="AE103" s="179">
        <f>SUMIFS('6.Reportes de Pagos'!J:J,'6.Reportes de Pagos'!H:H,"&gt;"&amp;(EOMONTH(FECHA,-1)),'6.Reportes de Pagos'!H:H,"&lt;="&amp;(EOMONTH(FECHA,0)),'6.Reportes de Pagos'!D:D,$P103)</f>
        <v>0</v>
      </c>
      <c r="AF103" s="179">
        <v>0</v>
      </c>
      <c r="AG103" s="177">
        <f>SUMIFS('6.Reportes de Pagos'!I:I,'6.Reportes de Pagos'!H:H,"&lt;="&amp;(EOMONTH(FECHA,0)),'6.Reportes de Pagos'!D:D,$P103)</f>
        <v>0</v>
      </c>
      <c r="AH103" s="177">
        <f>SUMIFS('6.Reportes de Pagos'!J:J,'6.Reportes de Pagos'!H:H,"&lt;="&amp;(EOMONTH(FECHA,0)),'6.Reportes de Pagos'!D:D,$P103)</f>
        <v>0</v>
      </c>
      <c r="AI103" s="177">
        <f t="shared" ref="AI103" si="34">+AC103+AF103</f>
        <v>0</v>
      </c>
      <c r="AJ103" s="177"/>
      <c r="AK103" s="180">
        <f t="shared" ref="AK103" si="35">+Z103-(AG103-AH103)-AI103</f>
        <v>478779840</v>
      </c>
      <c r="AL103" s="182">
        <f t="shared" ref="AL103" si="36">IFERROR(((AG103-AH103+AI103)/Z103),0)</f>
        <v>0</v>
      </c>
      <c r="AM103" s="210" t="s">
        <v>1218</v>
      </c>
    </row>
    <row r="104" spans="1:39" s="204" customFormat="1" ht="90" x14ac:dyDescent="0.25">
      <c r="A104" s="115">
        <f t="shared" si="15"/>
        <v>95</v>
      </c>
      <c r="B104" s="116" t="s">
        <v>51</v>
      </c>
      <c r="C104" s="90">
        <v>87123</v>
      </c>
      <c r="D104" s="117" t="s">
        <v>90</v>
      </c>
      <c r="E104" s="118">
        <v>2023</v>
      </c>
      <c r="F104" s="119">
        <v>183</v>
      </c>
      <c r="G104" s="120">
        <v>45699</v>
      </c>
      <c r="H104" s="121">
        <v>262253960</v>
      </c>
      <c r="I104" s="119" t="s">
        <v>412</v>
      </c>
      <c r="J104" s="76" t="s">
        <v>446</v>
      </c>
      <c r="K104" s="83" t="s">
        <v>447</v>
      </c>
      <c r="L104" s="119" t="s">
        <v>186</v>
      </c>
      <c r="M104" s="119" t="s">
        <v>60</v>
      </c>
      <c r="N104" s="119">
        <v>1</v>
      </c>
      <c r="O104" s="119" t="s">
        <v>1211</v>
      </c>
      <c r="P104" s="144" t="s">
        <v>1125</v>
      </c>
      <c r="Q104" s="122">
        <v>45741</v>
      </c>
      <c r="R104" s="120" t="s">
        <v>429</v>
      </c>
      <c r="S104" s="115" t="s">
        <v>127</v>
      </c>
      <c r="T104" s="123" t="s">
        <v>1126</v>
      </c>
      <c r="U104" s="119">
        <v>901926607</v>
      </c>
      <c r="V104" s="175">
        <v>262253960</v>
      </c>
      <c r="W104" s="175">
        <f t="shared" ref="W104" si="37">+H104-V104</f>
        <v>0</v>
      </c>
      <c r="X104" s="175"/>
      <c r="Y104" s="175"/>
      <c r="Z104" s="176">
        <f t="shared" si="11"/>
        <v>262253960</v>
      </c>
      <c r="AA104" s="177">
        <f>SUMIFS('6.Reportes de Pagos'!I:I,'6.Reportes de Pagos'!H:H,"&lt;="&amp;(EOMONTH(FECHA,-1)),'6.Reportes de Pagos'!D:D,$P104)</f>
        <v>0</v>
      </c>
      <c r="AB104" s="177">
        <f>SUMIFS('6.Reportes de Pagos'!J:J,'6.Reportes de Pagos'!H:H,"&lt;="&amp;(EOMONTH(FECHA,-1)),'6.Reportes de Pagos'!D:D,$P104)</f>
        <v>0</v>
      </c>
      <c r="AC104" s="178">
        <v>0</v>
      </c>
      <c r="AD104" s="179">
        <f>SUMIFS('6.Reportes de Pagos'!I:I,'6.Reportes de Pagos'!H:H,"&gt;"&amp;(EOMONTH(FECHA,-1)),'6.Reportes de Pagos'!H:H,"&lt;="&amp;(EOMONTH(FECHA,0)),'6.Reportes de Pagos'!D:D,$P104)</f>
        <v>0</v>
      </c>
      <c r="AE104" s="179">
        <f>SUMIFS('6.Reportes de Pagos'!J:J,'6.Reportes de Pagos'!H:H,"&gt;"&amp;(EOMONTH(FECHA,-1)),'6.Reportes de Pagos'!H:H,"&lt;="&amp;(EOMONTH(FECHA,0)),'6.Reportes de Pagos'!D:D,$P104)</f>
        <v>0</v>
      </c>
      <c r="AF104" s="179">
        <v>0</v>
      </c>
      <c r="AG104" s="177">
        <f>SUMIFS('6.Reportes de Pagos'!I:I,'6.Reportes de Pagos'!H:H,"&lt;="&amp;(EOMONTH(FECHA,0)),'6.Reportes de Pagos'!D:D,$P104)</f>
        <v>0</v>
      </c>
      <c r="AH104" s="177">
        <f>SUMIFS('6.Reportes de Pagos'!J:J,'6.Reportes de Pagos'!H:H,"&lt;="&amp;(EOMONTH(FECHA,0)),'6.Reportes de Pagos'!D:D,$P104)</f>
        <v>0</v>
      </c>
      <c r="AI104" s="177">
        <f t="shared" si="12"/>
        <v>0</v>
      </c>
      <c r="AJ104" s="177"/>
      <c r="AK104" s="180">
        <f t="shared" si="13"/>
        <v>262253960</v>
      </c>
      <c r="AL104" s="182">
        <f t="shared" si="14"/>
        <v>0</v>
      </c>
      <c r="AM104" s="210" t="s">
        <v>1218</v>
      </c>
    </row>
    <row r="105" spans="1:39" s="204" customFormat="1" ht="60" x14ac:dyDescent="0.25">
      <c r="A105" s="115">
        <f t="shared" si="15"/>
        <v>96</v>
      </c>
      <c r="B105" s="116" t="s">
        <v>51</v>
      </c>
      <c r="C105" s="90">
        <v>87123</v>
      </c>
      <c r="D105" s="117" t="s">
        <v>90</v>
      </c>
      <c r="E105" s="118">
        <v>2023</v>
      </c>
      <c r="F105" s="119">
        <v>141</v>
      </c>
      <c r="G105" s="120">
        <v>45506</v>
      </c>
      <c r="H105" s="121">
        <v>5211944158</v>
      </c>
      <c r="I105" s="119" t="s">
        <v>120</v>
      </c>
      <c r="J105" s="76" t="s">
        <v>503</v>
      </c>
      <c r="K105" s="83" t="s">
        <v>504</v>
      </c>
      <c r="L105" s="119" t="s">
        <v>166</v>
      </c>
      <c r="M105" s="119">
        <v>9</v>
      </c>
      <c r="N105" s="119">
        <v>1</v>
      </c>
      <c r="O105" s="119" t="s">
        <v>1212</v>
      </c>
      <c r="P105" s="144" t="s">
        <v>836</v>
      </c>
      <c r="Q105" s="122">
        <v>45649</v>
      </c>
      <c r="R105" s="120" t="s">
        <v>126</v>
      </c>
      <c r="S105" s="115" t="s">
        <v>127</v>
      </c>
      <c r="T105" s="123" t="s">
        <v>837</v>
      </c>
      <c r="U105" s="119">
        <v>901885266</v>
      </c>
      <c r="V105" s="175">
        <v>5067512140</v>
      </c>
      <c r="W105" s="175">
        <f t="shared" ref="W105" si="38">+H105-V105</f>
        <v>144432018</v>
      </c>
      <c r="X105" s="175"/>
      <c r="Y105" s="175"/>
      <c r="Z105" s="176">
        <f t="shared" ref="Z105" si="39">+V105+X105</f>
        <v>5067512140</v>
      </c>
      <c r="AA105" s="177">
        <f>SUMIFS('6.Reportes de Pagos'!I:I,'6.Reportes de Pagos'!H:H,"&lt;="&amp;(EOMONTH(FECHA,-1)),'6.Reportes de Pagos'!D:D,$P105)</f>
        <v>0</v>
      </c>
      <c r="AB105" s="177">
        <f>SUMIFS('6.Reportes de Pagos'!J:J,'6.Reportes de Pagos'!H:H,"&lt;="&amp;(EOMONTH(FECHA,-1)),'6.Reportes de Pagos'!D:D,$P105)</f>
        <v>0</v>
      </c>
      <c r="AC105" s="178">
        <v>0</v>
      </c>
      <c r="AD105" s="179">
        <f>SUMIFS('6.Reportes de Pagos'!I:I,'6.Reportes de Pagos'!H:H,"&gt;"&amp;(EOMONTH(FECHA,-1)),'6.Reportes de Pagos'!H:H,"&lt;="&amp;(EOMONTH(FECHA,0)),'6.Reportes de Pagos'!D:D,$P105)</f>
        <v>0</v>
      </c>
      <c r="AE105" s="179">
        <f>SUMIFS('6.Reportes de Pagos'!J:J,'6.Reportes de Pagos'!H:H,"&gt;"&amp;(EOMONTH(FECHA,-1)),'6.Reportes de Pagos'!H:H,"&lt;="&amp;(EOMONTH(FECHA,0)),'6.Reportes de Pagos'!D:D,$P105)</f>
        <v>0</v>
      </c>
      <c r="AF105" s="179">
        <v>0</v>
      </c>
      <c r="AG105" s="177">
        <f>SUMIFS('6.Reportes de Pagos'!I:I,'6.Reportes de Pagos'!H:H,"&lt;="&amp;(EOMONTH(FECHA,0)),'6.Reportes de Pagos'!D:D,$P105)</f>
        <v>0</v>
      </c>
      <c r="AH105" s="177">
        <f>SUMIFS('6.Reportes de Pagos'!J:J,'6.Reportes de Pagos'!H:H,"&lt;="&amp;(EOMONTH(FECHA,0)),'6.Reportes de Pagos'!D:D,$P105)</f>
        <v>0</v>
      </c>
      <c r="AI105" s="177">
        <f t="shared" ref="AI105" si="40">+AC105+AF105</f>
        <v>0</v>
      </c>
      <c r="AJ105" s="177"/>
      <c r="AK105" s="180">
        <f t="shared" ref="AK105" si="41">+Z105-(AG105-AH105)-AI105</f>
        <v>5067512140</v>
      </c>
      <c r="AL105" s="208">
        <f t="shared" ref="AL105" si="42">IFERROR(((AG105-AH105+AI105)/Z105),0)</f>
        <v>0</v>
      </c>
      <c r="AM105" s="210" t="s">
        <v>1218</v>
      </c>
    </row>
    <row r="106" spans="1:39" s="204" customFormat="1" ht="90" x14ac:dyDescent="0.25">
      <c r="A106" s="115">
        <f t="shared" si="15"/>
        <v>97</v>
      </c>
      <c r="B106" s="116" t="s">
        <v>51</v>
      </c>
      <c r="C106" s="90">
        <v>87123</v>
      </c>
      <c r="D106" s="117" t="s">
        <v>90</v>
      </c>
      <c r="E106" s="118">
        <v>2023</v>
      </c>
      <c r="F106" s="119">
        <v>147</v>
      </c>
      <c r="G106" s="120">
        <v>45531</v>
      </c>
      <c r="H106" s="121">
        <v>636633920</v>
      </c>
      <c r="I106" s="119" t="s">
        <v>120</v>
      </c>
      <c r="J106" s="76" t="s">
        <v>560</v>
      </c>
      <c r="K106" s="83" t="s">
        <v>504</v>
      </c>
      <c r="L106" s="119" t="s">
        <v>166</v>
      </c>
      <c r="M106" s="119">
        <v>9</v>
      </c>
      <c r="N106" s="119">
        <v>1</v>
      </c>
      <c r="O106" s="119" t="s">
        <v>1213</v>
      </c>
      <c r="P106" s="144" t="s">
        <v>818</v>
      </c>
      <c r="Q106" s="122">
        <v>45622</v>
      </c>
      <c r="R106" s="120" t="s">
        <v>131</v>
      </c>
      <c r="S106" s="115" t="s">
        <v>127</v>
      </c>
      <c r="T106" s="123" t="s">
        <v>819</v>
      </c>
      <c r="U106" s="119">
        <v>901886474</v>
      </c>
      <c r="V106" s="175">
        <v>598387062</v>
      </c>
      <c r="W106" s="175">
        <f t="shared" ref="W106" si="43">+H106-V106</f>
        <v>38246858</v>
      </c>
      <c r="X106" s="175"/>
      <c r="Y106" s="175"/>
      <c r="Z106" s="176">
        <f t="shared" ref="Z106" si="44">+V106+X106</f>
        <v>598387062</v>
      </c>
      <c r="AA106" s="177">
        <f>SUMIFS('6.Reportes de Pagos'!I:I,'6.Reportes de Pagos'!H:H,"&lt;="&amp;(EOMONTH(FECHA,-1)),'6.Reportes de Pagos'!D:D,$P106)</f>
        <v>0</v>
      </c>
      <c r="AB106" s="177">
        <f>SUMIFS('6.Reportes de Pagos'!J:J,'6.Reportes de Pagos'!H:H,"&lt;="&amp;(EOMONTH(FECHA,-1)),'6.Reportes de Pagos'!D:D,$P106)</f>
        <v>0</v>
      </c>
      <c r="AC106" s="178">
        <v>0</v>
      </c>
      <c r="AD106" s="179">
        <f>SUMIFS('6.Reportes de Pagos'!I:I,'6.Reportes de Pagos'!H:H,"&gt;"&amp;(EOMONTH(FECHA,-1)),'6.Reportes de Pagos'!H:H,"&lt;="&amp;(EOMONTH(FECHA,0)),'6.Reportes de Pagos'!D:D,$P106)</f>
        <v>0</v>
      </c>
      <c r="AE106" s="179">
        <f>SUMIFS('6.Reportes de Pagos'!J:J,'6.Reportes de Pagos'!H:H,"&gt;"&amp;(EOMONTH(FECHA,-1)),'6.Reportes de Pagos'!H:H,"&lt;="&amp;(EOMONTH(FECHA,0)),'6.Reportes de Pagos'!D:D,$P106)</f>
        <v>0</v>
      </c>
      <c r="AF106" s="179">
        <v>0</v>
      </c>
      <c r="AG106" s="177">
        <f>SUMIFS('6.Reportes de Pagos'!I:I,'6.Reportes de Pagos'!H:H,"&lt;="&amp;(EOMONTH(FECHA,0)),'6.Reportes de Pagos'!D:D,$P106)</f>
        <v>0</v>
      </c>
      <c r="AH106" s="177">
        <f>SUMIFS('6.Reportes de Pagos'!J:J,'6.Reportes de Pagos'!H:H,"&lt;="&amp;(EOMONTH(FECHA,0)),'6.Reportes de Pagos'!D:D,$P106)</f>
        <v>0</v>
      </c>
      <c r="AI106" s="177">
        <f t="shared" ref="AI106" si="45">+AC106+AF106</f>
        <v>0</v>
      </c>
      <c r="AJ106" s="177"/>
      <c r="AK106" s="180">
        <f t="shared" ref="AK106" si="46">+Z106-(AG106-AH106)-AI106</f>
        <v>598387062</v>
      </c>
      <c r="AL106" s="208">
        <f t="shared" ref="AL106" si="47">IFERROR(((AG106-AH106+AI106)/Z106),0)</f>
        <v>0</v>
      </c>
      <c r="AM106" s="210" t="s">
        <v>1218</v>
      </c>
    </row>
    <row r="107" spans="1:39" s="204" customFormat="1" ht="90" x14ac:dyDescent="0.25">
      <c r="A107" s="115">
        <f t="shared" si="15"/>
        <v>98</v>
      </c>
      <c r="B107" s="116" t="s">
        <v>51</v>
      </c>
      <c r="C107" s="90">
        <v>87123</v>
      </c>
      <c r="D107" s="117" t="s">
        <v>90</v>
      </c>
      <c r="E107" s="118">
        <v>2023</v>
      </c>
      <c r="F107" s="119">
        <v>168</v>
      </c>
      <c r="G107" s="120">
        <v>45604</v>
      </c>
      <c r="H107" s="121">
        <v>445174240</v>
      </c>
      <c r="I107" s="119" t="s">
        <v>120</v>
      </c>
      <c r="J107" s="76" t="s">
        <v>807</v>
      </c>
      <c r="K107" s="83" t="s">
        <v>808</v>
      </c>
      <c r="L107" s="119" t="s">
        <v>809</v>
      </c>
      <c r="M107" s="119" t="s">
        <v>60</v>
      </c>
      <c r="N107" s="119" t="s">
        <v>60</v>
      </c>
      <c r="O107" s="119" t="s">
        <v>1214</v>
      </c>
      <c r="P107" s="144" t="s">
        <v>942</v>
      </c>
      <c r="Q107" s="122">
        <v>45714</v>
      </c>
      <c r="R107" s="120" t="s">
        <v>131</v>
      </c>
      <c r="S107" s="115" t="s">
        <v>127</v>
      </c>
      <c r="T107" s="123" t="s">
        <v>943</v>
      </c>
      <c r="U107" s="119">
        <v>812002469</v>
      </c>
      <c r="V107" s="175">
        <v>419843827</v>
      </c>
      <c r="W107" s="175">
        <f t="shared" ref="W107" si="48">+H107-V107</f>
        <v>25330413</v>
      </c>
      <c r="X107" s="175"/>
      <c r="Y107" s="175"/>
      <c r="Z107" s="176">
        <f t="shared" ref="Z107" si="49">+V107+X107</f>
        <v>419843827</v>
      </c>
      <c r="AA107" s="177">
        <f>SUMIFS('6.Reportes de Pagos'!I:I,'6.Reportes de Pagos'!H:H,"&lt;="&amp;(EOMONTH(FECHA,-1)),'6.Reportes de Pagos'!D:D,$P107)</f>
        <v>0</v>
      </c>
      <c r="AB107" s="177">
        <f>SUMIFS('6.Reportes de Pagos'!J:J,'6.Reportes de Pagos'!H:H,"&lt;="&amp;(EOMONTH(FECHA,-1)),'6.Reportes de Pagos'!D:D,$P107)</f>
        <v>0</v>
      </c>
      <c r="AC107" s="178">
        <v>0</v>
      </c>
      <c r="AD107" s="179">
        <f>SUMIFS('6.Reportes de Pagos'!I:I,'6.Reportes de Pagos'!H:H,"&gt;"&amp;(EOMONTH(FECHA,-1)),'6.Reportes de Pagos'!H:H,"&lt;="&amp;(EOMONTH(FECHA,0)),'6.Reportes de Pagos'!D:D,$P107)</f>
        <v>0</v>
      </c>
      <c r="AE107" s="179">
        <f>SUMIFS('6.Reportes de Pagos'!J:J,'6.Reportes de Pagos'!H:H,"&gt;"&amp;(EOMONTH(FECHA,-1)),'6.Reportes de Pagos'!H:H,"&lt;="&amp;(EOMONTH(FECHA,0)),'6.Reportes de Pagos'!D:D,$P107)</f>
        <v>0</v>
      </c>
      <c r="AF107" s="179">
        <v>0</v>
      </c>
      <c r="AG107" s="177">
        <f>SUMIFS('6.Reportes de Pagos'!I:I,'6.Reportes de Pagos'!H:H,"&lt;="&amp;(EOMONTH(FECHA,0)),'6.Reportes de Pagos'!D:D,$P107)</f>
        <v>0</v>
      </c>
      <c r="AH107" s="177">
        <f>SUMIFS('6.Reportes de Pagos'!J:J,'6.Reportes de Pagos'!H:H,"&lt;="&amp;(EOMONTH(FECHA,0)),'6.Reportes de Pagos'!D:D,$P107)</f>
        <v>0</v>
      </c>
      <c r="AI107" s="177">
        <f t="shared" ref="AI107" si="50">+AC107+AF107</f>
        <v>0</v>
      </c>
      <c r="AJ107" s="177"/>
      <c r="AK107" s="180">
        <f t="shared" ref="AK107" si="51">+Z107-(AG107-AH107)-AI107</f>
        <v>419843827</v>
      </c>
      <c r="AL107" s="182">
        <f t="shared" ref="AL107" si="52">IFERROR(((AG107-AH107+AI107)/Z107),0)</f>
        <v>0</v>
      </c>
      <c r="AM107" s="210" t="s">
        <v>1218</v>
      </c>
    </row>
    <row r="108" spans="1:39" s="204" customFormat="1" ht="60" x14ac:dyDescent="0.25">
      <c r="A108" s="115">
        <f t="shared" si="15"/>
        <v>99</v>
      </c>
      <c r="B108" s="116" t="s">
        <v>51</v>
      </c>
      <c r="C108" s="90">
        <v>87123</v>
      </c>
      <c r="D108" s="117" t="s">
        <v>90</v>
      </c>
      <c r="E108" s="118">
        <v>2023</v>
      </c>
      <c r="F108" s="119">
        <v>171</v>
      </c>
      <c r="G108" s="120">
        <v>45604</v>
      </c>
      <c r="H108" s="121">
        <v>2545850230</v>
      </c>
      <c r="I108" s="119" t="s">
        <v>120</v>
      </c>
      <c r="J108" s="76" t="s">
        <v>810</v>
      </c>
      <c r="K108" s="83" t="s">
        <v>808</v>
      </c>
      <c r="L108" s="119" t="s">
        <v>809</v>
      </c>
      <c r="M108" s="119" t="s">
        <v>60</v>
      </c>
      <c r="N108" s="119" t="s">
        <v>60</v>
      </c>
      <c r="O108" s="119" t="s">
        <v>1257</v>
      </c>
      <c r="P108" s="144" t="s">
        <v>1256</v>
      </c>
      <c r="Q108" s="122">
        <v>45749</v>
      </c>
      <c r="R108" s="120" t="s">
        <v>131</v>
      </c>
      <c r="S108" s="115" t="s">
        <v>127</v>
      </c>
      <c r="T108" s="123" t="s">
        <v>1258</v>
      </c>
      <c r="U108" s="119">
        <v>901912527</v>
      </c>
      <c r="V108" s="175">
        <v>2451011208</v>
      </c>
      <c r="W108" s="175">
        <f t="shared" ref="W108" si="53">+H108-V108</f>
        <v>94839022</v>
      </c>
      <c r="X108" s="175"/>
      <c r="Y108" s="175"/>
      <c r="Z108" s="176">
        <f t="shared" ref="Z108" si="54">+V108+X108</f>
        <v>2451011208</v>
      </c>
      <c r="AA108" s="177">
        <f>SUMIFS('6.Reportes de Pagos'!I:I,'6.Reportes de Pagos'!H:H,"&lt;="&amp;(EOMONTH(FECHA,-1)),'6.Reportes de Pagos'!D:D,$P108)</f>
        <v>0</v>
      </c>
      <c r="AB108" s="177">
        <f>SUMIFS('6.Reportes de Pagos'!J:J,'6.Reportes de Pagos'!H:H,"&lt;="&amp;(EOMONTH(FECHA,-1)),'6.Reportes de Pagos'!D:D,$P108)</f>
        <v>0</v>
      </c>
      <c r="AC108" s="178">
        <v>0</v>
      </c>
      <c r="AD108" s="179">
        <f>SUMIFS('6.Reportes de Pagos'!I:I,'6.Reportes de Pagos'!H:H,"&gt;"&amp;(EOMONTH(FECHA,-1)),'6.Reportes de Pagos'!H:H,"&lt;="&amp;(EOMONTH(FECHA,0)),'6.Reportes de Pagos'!D:D,$P108)</f>
        <v>0</v>
      </c>
      <c r="AE108" s="179">
        <f>SUMIFS('6.Reportes de Pagos'!J:J,'6.Reportes de Pagos'!H:H,"&gt;"&amp;(EOMONTH(FECHA,-1)),'6.Reportes de Pagos'!H:H,"&lt;="&amp;(EOMONTH(FECHA,0)),'6.Reportes de Pagos'!D:D,$P108)</f>
        <v>0</v>
      </c>
      <c r="AF108" s="179">
        <v>0</v>
      </c>
      <c r="AG108" s="177">
        <f>SUMIFS('6.Reportes de Pagos'!I:I,'6.Reportes de Pagos'!H:H,"&lt;="&amp;(EOMONTH(FECHA,0)),'6.Reportes de Pagos'!D:D,$P108)</f>
        <v>0</v>
      </c>
      <c r="AH108" s="177">
        <f>SUMIFS('6.Reportes de Pagos'!J:J,'6.Reportes de Pagos'!H:H,"&lt;="&amp;(EOMONTH(FECHA,0)),'6.Reportes de Pagos'!D:D,$P108)</f>
        <v>0</v>
      </c>
      <c r="AI108" s="177">
        <f t="shared" ref="AI108" si="55">+AC108+AF108</f>
        <v>0</v>
      </c>
      <c r="AJ108" s="177"/>
      <c r="AK108" s="180">
        <f t="shared" ref="AK108" si="56">+Z108-(AG108-AH108)-AI108</f>
        <v>2451011208</v>
      </c>
      <c r="AL108" s="182">
        <f t="shared" ref="AL108" si="57">IFERROR(((AG108-AH108+AI108)/Z108),0)</f>
        <v>0</v>
      </c>
      <c r="AM108" s="210" t="s">
        <v>1218</v>
      </c>
    </row>
    <row r="109" spans="1:39" s="204" customFormat="1" ht="45" x14ac:dyDescent="0.25">
      <c r="A109" s="115">
        <f t="shared" si="15"/>
        <v>100</v>
      </c>
      <c r="B109" s="116" t="s">
        <v>51</v>
      </c>
      <c r="C109" s="90">
        <v>87123</v>
      </c>
      <c r="D109" s="117" t="s">
        <v>90</v>
      </c>
      <c r="E109" s="118">
        <v>2023</v>
      </c>
      <c r="F109" s="119">
        <v>191</v>
      </c>
      <c r="G109" s="120">
        <v>45736</v>
      </c>
      <c r="H109" s="215">
        <v>18255573.02</v>
      </c>
      <c r="I109" s="119" t="s">
        <v>120</v>
      </c>
      <c r="J109" s="76" t="s">
        <v>988</v>
      </c>
      <c r="K109" s="83" t="s">
        <v>134</v>
      </c>
      <c r="L109" s="119" t="s">
        <v>989</v>
      </c>
      <c r="M109" s="119" t="s">
        <v>60</v>
      </c>
      <c r="N109" s="119">
        <v>1</v>
      </c>
      <c r="O109" s="119" t="s">
        <v>60</v>
      </c>
      <c r="P109" s="144" t="s">
        <v>990</v>
      </c>
      <c r="Q109" s="122">
        <v>45736</v>
      </c>
      <c r="R109" s="120" t="s">
        <v>743</v>
      </c>
      <c r="S109" s="115" t="s">
        <v>127</v>
      </c>
      <c r="T109" s="123" t="s">
        <v>60</v>
      </c>
      <c r="U109" s="119" t="s">
        <v>60</v>
      </c>
      <c r="V109" s="175">
        <v>18255573.02</v>
      </c>
      <c r="W109" s="175">
        <f t="shared" ref="W109" si="58">+H109-V109</f>
        <v>0</v>
      </c>
      <c r="X109" s="175"/>
      <c r="Y109" s="175"/>
      <c r="Z109" s="176">
        <f t="shared" ref="Z109" si="59">+V109+X109</f>
        <v>18255573.02</v>
      </c>
      <c r="AA109" s="177">
        <f>SUMIFS('6.Reportes de Pagos'!I:I,'6.Reportes de Pagos'!H:H,"&lt;="&amp;(EOMONTH(FECHA,-1)),'6.Reportes de Pagos'!D:D,$P109)</f>
        <v>18255573.02</v>
      </c>
      <c r="AB109" s="177">
        <f>SUMIFS('6.Reportes de Pagos'!J:J,'6.Reportes de Pagos'!H:H,"&lt;="&amp;(EOMONTH(FECHA,-1)),'6.Reportes de Pagos'!D:D,$P109)</f>
        <v>0</v>
      </c>
      <c r="AC109" s="178">
        <v>0</v>
      </c>
      <c r="AD109" s="179">
        <f>SUMIFS('6.Reportes de Pagos'!I:I,'6.Reportes de Pagos'!H:H,"&gt;"&amp;(EOMONTH(FECHA,-1)),'6.Reportes de Pagos'!H:H,"&lt;="&amp;(EOMONTH(FECHA,0)),'6.Reportes de Pagos'!D:D,$P109)</f>
        <v>0</v>
      </c>
      <c r="AE109" s="179">
        <f>SUMIFS('6.Reportes de Pagos'!J:J,'6.Reportes de Pagos'!H:H,"&gt;"&amp;(EOMONTH(FECHA,-1)),'6.Reportes de Pagos'!H:H,"&lt;="&amp;(EOMONTH(FECHA,0)),'6.Reportes de Pagos'!D:D,$P109)</f>
        <v>0</v>
      </c>
      <c r="AF109" s="179">
        <v>0</v>
      </c>
      <c r="AG109" s="177">
        <f>SUMIFS('6.Reportes de Pagos'!I:I,'6.Reportes de Pagos'!H:H,"&lt;="&amp;(EOMONTH(FECHA,0)),'6.Reportes de Pagos'!D:D,$P109)</f>
        <v>18255573.02</v>
      </c>
      <c r="AH109" s="177">
        <f>SUMIFS('6.Reportes de Pagos'!J:J,'6.Reportes de Pagos'!H:H,"&lt;="&amp;(EOMONTH(FECHA,0)),'6.Reportes de Pagos'!D:D,$P109)</f>
        <v>0</v>
      </c>
      <c r="AI109" s="177">
        <f t="shared" ref="AI109" si="60">+AC109+AF109</f>
        <v>0</v>
      </c>
      <c r="AJ109" s="177"/>
      <c r="AK109" s="180">
        <f t="shared" ref="AK109" si="61">+Z109-(AG109-AH109)-AI109</f>
        <v>0</v>
      </c>
      <c r="AL109" s="182">
        <f t="shared" ref="AL109" si="62">IFERROR(((AG109-AH109+AI109)/Z109),0)</f>
        <v>1</v>
      </c>
      <c r="AM109" s="210" t="s">
        <v>60</v>
      </c>
    </row>
    <row r="110" spans="1:39" s="204" customFormat="1" ht="15" x14ac:dyDescent="0.25">
      <c r="A110" s="115">
        <f t="shared" si="15"/>
        <v>101</v>
      </c>
      <c r="B110" s="116" t="s">
        <v>51</v>
      </c>
      <c r="C110" s="90">
        <v>87123</v>
      </c>
      <c r="D110" s="117" t="s">
        <v>90</v>
      </c>
      <c r="E110" s="118">
        <v>2023</v>
      </c>
      <c r="F110" s="119"/>
      <c r="G110" s="120"/>
      <c r="H110" s="121"/>
      <c r="I110" s="119"/>
      <c r="J110" s="76"/>
      <c r="K110" s="83"/>
      <c r="L110" s="119"/>
      <c r="M110" s="119"/>
      <c r="N110" s="119"/>
      <c r="O110" s="119"/>
      <c r="P110" s="144"/>
      <c r="Q110" s="122"/>
      <c r="R110" s="120"/>
      <c r="S110" s="115"/>
      <c r="T110" s="123"/>
      <c r="U110" s="119"/>
      <c r="V110" s="175"/>
      <c r="W110" s="175">
        <f t="shared" ref="W110" si="63">+H110-V110</f>
        <v>0</v>
      </c>
      <c r="X110" s="175"/>
      <c r="Y110" s="175"/>
      <c r="Z110" s="176">
        <f t="shared" ref="Z110" si="64">+V110+X110</f>
        <v>0</v>
      </c>
      <c r="AA110" s="177">
        <f>SUMIFS('6.Reportes de Pagos'!I:I,'6.Reportes de Pagos'!H:H,"&lt;="&amp;(EOMONTH(FECHA,-1)),'6.Reportes de Pagos'!D:D,$P110)</f>
        <v>0</v>
      </c>
      <c r="AB110" s="177">
        <f>SUMIFS('6.Reportes de Pagos'!J:J,'6.Reportes de Pagos'!H:H,"&lt;="&amp;(EOMONTH(FECHA,-1)),'6.Reportes de Pagos'!D:D,$P110)</f>
        <v>0</v>
      </c>
      <c r="AC110" s="178">
        <v>0</v>
      </c>
      <c r="AD110" s="179">
        <f>SUMIFS('6.Reportes de Pagos'!I:I,'6.Reportes de Pagos'!H:H,"&gt;"&amp;(EOMONTH(FECHA,-1)),'6.Reportes de Pagos'!H:H,"&lt;="&amp;(EOMONTH(FECHA,0)),'6.Reportes de Pagos'!D:D,$P110)</f>
        <v>0</v>
      </c>
      <c r="AE110" s="179">
        <f>SUMIFS('6.Reportes de Pagos'!J:J,'6.Reportes de Pagos'!H:H,"&gt;"&amp;(EOMONTH(FECHA,-1)),'6.Reportes de Pagos'!H:H,"&lt;="&amp;(EOMONTH(FECHA,0)),'6.Reportes de Pagos'!D:D,$P110)</f>
        <v>0</v>
      </c>
      <c r="AF110" s="179">
        <v>0</v>
      </c>
      <c r="AG110" s="177">
        <f>SUMIFS('6.Reportes de Pagos'!I:I,'6.Reportes de Pagos'!H:H,"&lt;="&amp;(EOMONTH(FECHA,0)),'6.Reportes de Pagos'!D:D,$P110)</f>
        <v>0</v>
      </c>
      <c r="AH110" s="177">
        <f>SUMIFS('6.Reportes de Pagos'!J:J,'6.Reportes de Pagos'!H:H,"&lt;="&amp;(EOMONTH(FECHA,0)),'6.Reportes de Pagos'!D:D,$P110)</f>
        <v>0</v>
      </c>
      <c r="AI110" s="177">
        <f t="shared" ref="AI110" si="65">+AC110+AF110</f>
        <v>0</v>
      </c>
      <c r="AJ110" s="177"/>
      <c r="AK110" s="180">
        <f t="shared" ref="AK110" si="66">+Z110-(AG110-AH110)-AI110</f>
        <v>0</v>
      </c>
      <c r="AL110" s="182">
        <f t="shared" ref="AL110" si="67">IFERROR(((AG110-AH110+AI110)/Z110),0)</f>
        <v>0</v>
      </c>
      <c r="AM110" s="210"/>
    </row>
    <row r="111" spans="1:39" s="204" customFormat="1" ht="15" x14ac:dyDescent="0.25">
      <c r="A111" s="115">
        <f t="shared" si="15"/>
        <v>102</v>
      </c>
      <c r="B111" s="116" t="s">
        <v>51</v>
      </c>
      <c r="C111" s="90">
        <v>87123</v>
      </c>
      <c r="D111" s="117" t="s">
        <v>90</v>
      </c>
      <c r="E111" s="118">
        <v>2023</v>
      </c>
      <c r="F111" s="119"/>
      <c r="G111" s="120"/>
      <c r="H111" s="121"/>
      <c r="I111" s="119"/>
      <c r="J111" s="76"/>
      <c r="K111" s="83"/>
      <c r="L111" s="119"/>
      <c r="M111" s="119"/>
      <c r="N111" s="119"/>
      <c r="O111" s="119"/>
      <c r="P111" s="144"/>
      <c r="Q111" s="122"/>
      <c r="R111" s="120"/>
      <c r="S111" s="115"/>
      <c r="T111" s="123"/>
      <c r="U111" s="119"/>
      <c r="V111" s="175"/>
      <c r="W111" s="175">
        <f t="shared" ref="W111" si="68">+H111-V111</f>
        <v>0</v>
      </c>
      <c r="X111" s="175"/>
      <c r="Y111" s="175"/>
      <c r="Z111" s="176">
        <f t="shared" ref="Z111" si="69">+V111+X111</f>
        <v>0</v>
      </c>
      <c r="AA111" s="177">
        <f>SUMIFS('6.Reportes de Pagos'!I:I,'6.Reportes de Pagos'!H:H,"&lt;="&amp;(EOMONTH(FECHA,-1)),'6.Reportes de Pagos'!D:D,$P111)</f>
        <v>0</v>
      </c>
      <c r="AB111" s="177">
        <f>SUMIFS('6.Reportes de Pagos'!J:J,'6.Reportes de Pagos'!H:H,"&lt;="&amp;(EOMONTH(FECHA,-1)),'6.Reportes de Pagos'!D:D,$P111)</f>
        <v>0</v>
      </c>
      <c r="AC111" s="178">
        <v>0</v>
      </c>
      <c r="AD111" s="179">
        <f>SUMIFS('6.Reportes de Pagos'!I:I,'6.Reportes de Pagos'!H:H,"&gt;"&amp;(EOMONTH(FECHA,-1)),'6.Reportes de Pagos'!H:H,"&lt;="&amp;(EOMONTH(FECHA,0)),'6.Reportes de Pagos'!D:D,$P111)</f>
        <v>0</v>
      </c>
      <c r="AE111" s="179">
        <f>SUMIFS('6.Reportes de Pagos'!J:J,'6.Reportes de Pagos'!H:H,"&gt;"&amp;(EOMONTH(FECHA,-1)),'6.Reportes de Pagos'!H:H,"&lt;="&amp;(EOMONTH(FECHA,0)),'6.Reportes de Pagos'!D:D,$P111)</f>
        <v>0</v>
      </c>
      <c r="AF111" s="179">
        <v>0</v>
      </c>
      <c r="AG111" s="177">
        <f>SUMIFS('6.Reportes de Pagos'!I:I,'6.Reportes de Pagos'!H:H,"&lt;="&amp;(EOMONTH(FECHA,0)),'6.Reportes de Pagos'!D:D,$P111)</f>
        <v>0</v>
      </c>
      <c r="AH111" s="177">
        <f>SUMIFS('6.Reportes de Pagos'!J:J,'6.Reportes de Pagos'!H:H,"&lt;="&amp;(EOMONTH(FECHA,0)),'6.Reportes de Pagos'!D:D,$P111)</f>
        <v>0</v>
      </c>
      <c r="AI111" s="177">
        <f t="shared" ref="AI111" si="70">+AC111+AF111</f>
        <v>0</v>
      </c>
      <c r="AJ111" s="177"/>
      <c r="AK111" s="180">
        <f t="shared" ref="AK111" si="71">+Z111-(AG111-AH111)-AI111</f>
        <v>0</v>
      </c>
      <c r="AL111" s="182">
        <f t="shared" ref="AL111" si="72">IFERROR(((AG111-AH111+AI111)/Z111),0)</f>
        <v>0</v>
      </c>
      <c r="AM111" s="210"/>
    </row>
    <row r="112" spans="1:39" s="204" customFormat="1" ht="46.5" customHeight="1" x14ac:dyDescent="0.25">
      <c r="A112" s="6"/>
      <c r="B112" s="294" t="s">
        <v>350</v>
      </c>
      <c r="C112" s="294"/>
      <c r="D112" s="43"/>
      <c r="E112" s="44"/>
      <c r="F112" s="45"/>
      <c r="G112" s="45"/>
      <c r="H112" s="113">
        <f>SUM(H8:H111)</f>
        <v>251007641736.07001</v>
      </c>
      <c r="I112" s="170"/>
      <c r="J112" s="174"/>
      <c r="K112" s="200"/>
      <c r="L112" s="47"/>
      <c r="M112" s="47"/>
      <c r="N112" s="47"/>
      <c r="O112" s="47"/>
      <c r="P112" s="46"/>
      <c r="Q112" s="46"/>
      <c r="R112" s="48"/>
      <c r="S112" s="18"/>
      <c r="T112" s="49"/>
      <c r="U112" s="47"/>
      <c r="V112" s="181">
        <f>SUM(V8:V111)</f>
        <v>216400336843.01999</v>
      </c>
      <c r="W112" s="181">
        <f>SUM(W8:W111)</f>
        <v>11579088248</v>
      </c>
      <c r="X112" s="181">
        <f>SUM(X8:X111)</f>
        <v>23821305391.02</v>
      </c>
      <c r="Y112" s="181">
        <f>SUM(Y8:Y111)</f>
        <v>1378283043.5999999</v>
      </c>
      <c r="Z112" s="181">
        <f>SUM(Z8:Z111)</f>
        <v>240221642234.04001</v>
      </c>
      <c r="AA112" s="181">
        <f t="shared" ref="AA112:AK112" si="73">SUM(AA8:AA111)</f>
        <v>115207335794.45001</v>
      </c>
      <c r="AB112" s="181">
        <f>SUM(AB8:AB111)</f>
        <v>8804360860.039999</v>
      </c>
      <c r="AC112" s="181">
        <f t="shared" si="73"/>
        <v>0</v>
      </c>
      <c r="AD112" s="181">
        <f>SUM(AD8:AD111)</f>
        <v>5128337481.289999</v>
      </c>
      <c r="AE112" s="181">
        <f>SUM(AE8:AE111)</f>
        <v>-818392921.70000005</v>
      </c>
      <c r="AF112" s="181">
        <f>SUM(AF8:AF111)</f>
        <v>8930844.2000000011</v>
      </c>
      <c r="AG112" s="181">
        <f t="shared" si="73"/>
        <v>120335673275.73999</v>
      </c>
      <c r="AH112" s="181">
        <f t="shared" si="73"/>
        <v>7985967938.3399992</v>
      </c>
      <c r="AI112" s="181">
        <f t="shared" si="73"/>
        <v>1190965331.25</v>
      </c>
      <c r="AJ112" s="181">
        <f t="shared" ref="AJ112" si="74">SUM(AJ8:AJ111)</f>
        <v>158895414</v>
      </c>
      <c r="AK112" s="181">
        <f t="shared" si="73"/>
        <v>126680971565.38997</v>
      </c>
      <c r="AL112" s="183">
        <f t="shared" ref="AL112" si="75">IFERROR(((AG112-AH112+AI112)/Z112),0)</f>
        <v>0.47264963145173683</v>
      </c>
    </row>
    <row r="113" spans="1:38" ht="15" x14ac:dyDescent="0.25">
      <c r="A113" s="7"/>
      <c r="B113" s="10"/>
      <c r="F113"/>
      <c r="G113"/>
      <c r="H113" s="212"/>
      <c r="I113"/>
      <c r="J113" s="36"/>
      <c r="K113" s="8"/>
      <c r="L113" s="17"/>
      <c r="M113" s="17"/>
      <c r="N113" s="17"/>
      <c r="O113" s="17"/>
      <c r="P113" s="8"/>
      <c r="Q113" s="8"/>
      <c r="R113" s="7"/>
      <c r="S113" s="18"/>
      <c r="T113" s="18"/>
      <c r="U113" s="8"/>
      <c r="V113" s="56"/>
      <c r="W113" s="56"/>
      <c r="Z113" s="57"/>
      <c r="AA113" s="54"/>
      <c r="AB113" s="54"/>
      <c r="AC113" s="54"/>
      <c r="AD113" s="56"/>
      <c r="AE113" s="54"/>
      <c r="AF113" s="54"/>
      <c r="AG113" s="56"/>
      <c r="AH113" s="54"/>
      <c r="AI113" s="54"/>
      <c r="AJ113" s="54"/>
      <c r="AK113"/>
      <c r="AL113" s="40"/>
    </row>
    <row r="114" spans="1:38" ht="15" x14ac:dyDescent="0.25">
      <c r="A114" s="7"/>
      <c r="B114" s="10" t="s">
        <v>351</v>
      </c>
      <c r="F114"/>
      <c r="G114"/>
      <c r="H114" s="57"/>
      <c r="I114"/>
      <c r="J114"/>
      <c r="K114" s="195"/>
      <c r="L114" s="17"/>
      <c r="M114" s="17"/>
      <c r="N114" s="17"/>
      <c r="O114" s="17"/>
      <c r="P114" s="17"/>
      <c r="Q114" s="17"/>
      <c r="R114" s="7"/>
      <c r="S114" s="18"/>
      <c r="T114" s="18"/>
      <c r="U114" s="8"/>
      <c r="V114" s="57"/>
      <c r="W114" s="57"/>
      <c r="X114" s="57"/>
      <c r="Y114" s="57"/>
      <c r="Z114" s="57"/>
      <c r="AA114" s="54"/>
      <c r="AB114" s="54"/>
      <c r="AC114" s="54"/>
      <c r="AD114" s="54"/>
      <c r="AE114" s="54"/>
      <c r="AF114" s="54"/>
      <c r="AG114" s="56"/>
      <c r="AH114" s="54"/>
      <c r="AI114" s="54"/>
      <c r="AJ114" s="54"/>
      <c r="AK114"/>
      <c r="AL114" s="40"/>
    </row>
    <row r="115" spans="1:38" x14ac:dyDescent="0.2">
      <c r="H115" s="207"/>
      <c r="I115" s="213"/>
      <c r="Z115" s="214"/>
    </row>
    <row r="119" spans="1:38" x14ac:dyDescent="0.2">
      <c r="I119" s="207"/>
    </row>
    <row r="120" spans="1:38" x14ac:dyDescent="0.2">
      <c r="I120" s="206"/>
    </row>
  </sheetData>
  <sheetProtection algorithmName="SHA-512" hashValue="grV5NlT++kL+xMagemTiKFF1uEOZ2YzpmI9iuh2yxlE48gnhui85KLNxa4I0sjACK/rXUIBootyMeEodC5tSCA==" saltValue="suuGs3X/Biwz9/dlb0sqVA==" spinCount="100000" sheet="1" objects="1" scenarios="1"/>
  <mergeCells count="8">
    <mergeCell ref="A61:A62"/>
    <mergeCell ref="B112:C112"/>
    <mergeCell ref="A1:S1"/>
    <mergeCell ref="A2:S2"/>
    <mergeCell ref="A3:S3"/>
    <mergeCell ref="A4:S4"/>
    <mergeCell ref="A5:S5"/>
    <mergeCell ref="A63:A64"/>
  </mergeCells>
  <conditionalFormatting sqref="F1:F1048576">
    <cfRule type="duplicateValues" dxfId="0" priority="1"/>
  </conditionalFormatting>
  <dataValidations disablePrompts="1" count="1">
    <dataValidation type="list" allowBlank="1" showInputMessage="1" showErrorMessage="1" sqref="R112" xr:uid="{00000000-0002-0000-0300-000000000000}">
      <formula1>#REF!</formula1>
    </dataValidation>
  </dataValidations>
  <pageMargins left="0.70866141732283472" right="0.70866141732283472" top="0.74803149606299213" bottom="0.74803149606299213" header="0.31496062992125984" footer="0.31496062992125984"/>
  <pageSetup scale="10" fitToWidth="2" fitToHeight="2" orientation="landscape"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U23"/>
  <sheetViews>
    <sheetView showGridLines="0" view="pageBreakPreview" topLeftCell="E7" zoomScale="85" zoomScaleNormal="85" zoomScaleSheetLayoutView="85" workbookViewId="0">
      <selection activeCell="K9" sqref="K9"/>
    </sheetView>
  </sheetViews>
  <sheetFormatPr baseColWidth="10" defaultColWidth="11.42578125" defaultRowHeight="15" x14ac:dyDescent="0.25"/>
  <cols>
    <col min="1" max="1" width="56.5703125" style="28" customWidth="1"/>
    <col min="2" max="2" width="8" style="28" customWidth="1"/>
    <col min="3" max="8" width="30.85546875" style="28" customWidth="1"/>
    <col min="9" max="10" width="17.5703125" style="28" customWidth="1"/>
    <col min="11" max="12" width="18.5703125" style="28" bestFit="1" customWidth="1"/>
    <col min="13" max="13" width="12.5703125" style="28" bestFit="1" customWidth="1"/>
    <col min="14" max="14" width="19.42578125" style="28" customWidth="1"/>
    <col min="15" max="15" width="16.42578125" style="28" customWidth="1"/>
    <col min="16" max="16" width="17.42578125" style="28" customWidth="1"/>
    <col min="17" max="17" width="20.140625" style="28" customWidth="1"/>
    <col min="18" max="18" width="17.5703125" style="28" bestFit="1" customWidth="1"/>
    <col min="19" max="19" width="17.85546875" style="28" bestFit="1" customWidth="1"/>
    <col min="20" max="20" width="17" style="28" bestFit="1" customWidth="1"/>
    <col min="21" max="21" width="15.140625" style="28" bestFit="1" customWidth="1"/>
    <col min="22" max="22" width="14.140625" style="28" bestFit="1" customWidth="1"/>
    <col min="23" max="16384" width="11.42578125" style="28"/>
  </cols>
  <sheetData>
    <row r="1" spans="1:21" ht="15.75" x14ac:dyDescent="0.25">
      <c r="A1" s="274" t="str">
        <f>CONTRATO</f>
        <v>Contrato Interadministrativo No. CO1.PCCNTR.5090635</v>
      </c>
      <c r="B1" s="274"/>
      <c r="C1" s="274"/>
      <c r="D1" s="274"/>
      <c r="E1" s="274"/>
      <c r="F1" s="274"/>
      <c r="G1" s="274"/>
      <c r="H1" s="274"/>
      <c r="I1" s="29"/>
      <c r="J1" s="29"/>
      <c r="K1" s="29"/>
    </row>
    <row r="2" spans="1:21" ht="15.75" x14ac:dyDescent="0.25">
      <c r="A2" s="274" t="s">
        <v>6</v>
      </c>
      <c r="B2" s="274"/>
      <c r="C2" s="274"/>
      <c r="D2" s="274"/>
      <c r="E2" s="274"/>
      <c r="F2" s="274"/>
      <c r="G2" s="274"/>
      <c r="H2" s="274"/>
      <c r="J2" s="29"/>
      <c r="K2" s="29"/>
      <c r="M2" s="30"/>
    </row>
    <row r="3" spans="1:21" ht="15.75" x14ac:dyDescent="0.25">
      <c r="A3" s="274" t="s">
        <v>17</v>
      </c>
      <c r="B3" s="274"/>
      <c r="C3" s="274"/>
      <c r="D3" s="274"/>
      <c r="E3" s="274"/>
      <c r="F3" s="274"/>
      <c r="G3" s="274"/>
      <c r="H3" s="274"/>
      <c r="J3" s="29"/>
      <c r="K3" s="29"/>
      <c r="M3" s="30"/>
    </row>
    <row r="4" spans="1:21" ht="18.75" x14ac:dyDescent="0.3">
      <c r="A4" s="271" t="s">
        <v>352</v>
      </c>
      <c r="B4" s="271"/>
      <c r="C4" s="271"/>
      <c r="D4" s="271"/>
      <c r="E4" s="271"/>
      <c r="F4" s="271"/>
      <c r="G4" s="271"/>
      <c r="H4" s="271"/>
      <c r="J4"/>
      <c r="K4"/>
      <c r="L4" s="31"/>
      <c r="M4" s="30"/>
    </row>
    <row r="5" spans="1:21" ht="15.75" x14ac:dyDescent="0.25">
      <c r="A5" s="293" t="str">
        <f>periodo</f>
        <v>01 de julio al 31 de julio de 2025</v>
      </c>
      <c r="B5" s="293"/>
      <c r="C5" s="293"/>
      <c r="D5" s="293"/>
      <c r="E5" s="293"/>
      <c r="F5" s="293"/>
      <c r="G5" s="293"/>
      <c r="H5" s="293"/>
      <c r="J5" s="37"/>
      <c r="K5" s="37"/>
    </row>
    <row r="6" spans="1:21" x14ac:dyDescent="0.25">
      <c r="C6" s="33"/>
      <c r="D6" s="33"/>
      <c r="J6" s="34"/>
      <c r="K6" s="34"/>
      <c r="N6" s="32"/>
      <c r="P6" s="35"/>
    </row>
    <row r="7" spans="1:21" s="60" customFormat="1" ht="45" x14ac:dyDescent="0.25">
      <c r="A7" s="133" t="s">
        <v>353</v>
      </c>
      <c r="B7" s="133" t="s">
        <v>354</v>
      </c>
      <c r="C7" s="133" t="s">
        <v>355</v>
      </c>
      <c r="D7" s="133" t="s">
        <v>848</v>
      </c>
      <c r="E7" s="134" t="s">
        <v>356</v>
      </c>
      <c r="F7" s="134" t="s">
        <v>357</v>
      </c>
      <c r="G7" s="134" t="s">
        <v>358</v>
      </c>
      <c r="H7" s="135" t="s">
        <v>359</v>
      </c>
      <c r="I7"/>
      <c r="J7"/>
      <c r="K7"/>
      <c r="L7"/>
      <c r="M7"/>
      <c r="N7"/>
      <c r="O7"/>
      <c r="P7"/>
      <c r="Q7"/>
      <c r="R7"/>
      <c r="S7"/>
      <c r="T7"/>
      <c r="U7"/>
    </row>
    <row r="8" spans="1:21" s="61" customFormat="1" ht="34.5" customHeight="1" x14ac:dyDescent="0.25">
      <c r="A8" s="156" t="s">
        <v>360</v>
      </c>
      <c r="B8" s="160">
        <f>+C8/VRFINDETER</f>
        <v>7.148125755743652E-2</v>
      </c>
      <c r="C8" s="145">
        <f>SUM(C9:C10)</f>
        <v>1125549600</v>
      </c>
      <c r="D8" s="145">
        <f>SUM(D9:D10)</f>
        <v>844162200</v>
      </c>
      <c r="E8" s="157"/>
      <c r="F8" s="158"/>
      <c r="G8" s="158"/>
      <c r="H8" s="159"/>
      <c r="I8" s="50"/>
      <c r="J8" s="50"/>
      <c r="K8" s="50"/>
      <c r="L8" s="50"/>
      <c r="M8" s="50"/>
      <c r="N8" s="50"/>
      <c r="O8" s="50"/>
      <c r="P8" s="50"/>
      <c r="Q8" s="50"/>
      <c r="R8" s="50"/>
      <c r="S8" s="50"/>
      <c r="T8" s="50"/>
      <c r="U8" s="50"/>
    </row>
    <row r="9" spans="1:21" s="61" customFormat="1" ht="34.5" customHeight="1" x14ac:dyDescent="0.25">
      <c r="A9" s="84" t="s">
        <v>361</v>
      </c>
      <c r="B9" s="161">
        <f>+C9/C8</f>
        <v>0.23111731371056415</v>
      </c>
      <c r="C9" s="145">
        <v>260134000</v>
      </c>
      <c r="D9" s="145">
        <v>195100500</v>
      </c>
      <c r="E9" s="124"/>
      <c r="F9" s="125"/>
      <c r="G9" s="125"/>
      <c r="H9" s="126"/>
      <c r="I9" s="50"/>
      <c r="J9" s="50"/>
      <c r="K9" s="50"/>
      <c r="L9" s="50"/>
      <c r="M9" s="50"/>
      <c r="N9" s="50"/>
      <c r="O9" s="50"/>
      <c r="P9" s="50"/>
      <c r="Q9" s="50"/>
      <c r="R9" s="50"/>
      <c r="S9" s="50"/>
      <c r="T9" s="50"/>
      <c r="U9" s="50"/>
    </row>
    <row r="10" spans="1:21" s="61" customFormat="1" ht="34.5" customHeight="1" x14ac:dyDescent="0.25">
      <c r="A10" s="84" t="s">
        <v>362</v>
      </c>
      <c r="B10" s="161">
        <f>+C10/C8</f>
        <v>0.76888268628943579</v>
      </c>
      <c r="C10" s="145">
        <v>865415600</v>
      </c>
      <c r="D10" s="145">
        <v>649061700</v>
      </c>
      <c r="E10" s="124"/>
      <c r="F10" s="125"/>
      <c r="G10" s="125"/>
      <c r="H10" s="126"/>
      <c r="I10" s="50"/>
      <c r="J10" s="50"/>
      <c r="K10" s="50"/>
      <c r="L10" s="50"/>
      <c r="M10" s="50"/>
      <c r="N10" s="50"/>
      <c r="O10" s="50"/>
      <c r="P10" s="50"/>
      <c r="Q10" s="50"/>
      <c r="R10" s="50"/>
      <c r="S10" s="50"/>
      <c r="T10" s="50"/>
      <c r="U10" s="50"/>
    </row>
    <row r="11" spans="1:21" s="61" customFormat="1" ht="34.5" customHeight="1" x14ac:dyDescent="0.25">
      <c r="A11" s="156" t="s">
        <v>363</v>
      </c>
      <c r="B11" s="162">
        <f>+C11/VRFINDETER</f>
        <v>0.92851874244256349</v>
      </c>
      <c r="C11" s="145">
        <f>SUM(C12:C18)</f>
        <v>14620530400</v>
      </c>
      <c r="D11" s="201">
        <f>SUM(D12:D18)-0.01</f>
        <v>6463781504.9953012</v>
      </c>
      <c r="E11" s="157"/>
      <c r="F11" s="158"/>
      <c r="G11" s="158"/>
      <c r="H11" s="159"/>
      <c r="I11" s="50"/>
      <c r="J11" s="50"/>
      <c r="K11" s="50"/>
      <c r="L11" s="50"/>
      <c r="M11" s="50"/>
      <c r="N11" s="50"/>
      <c r="O11" s="50"/>
      <c r="P11" s="50"/>
      <c r="Q11" s="50"/>
      <c r="R11" s="50"/>
      <c r="S11" s="50"/>
      <c r="T11" s="50"/>
      <c r="U11" s="50"/>
    </row>
    <row r="12" spans="1:21" s="61" customFormat="1" ht="34.5" customHeight="1" x14ac:dyDescent="0.25">
      <c r="A12" s="84" t="s">
        <v>364</v>
      </c>
      <c r="B12" s="163">
        <v>0.15</v>
      </c>
      <c r="C12" s="145">
        <f>1842924000*119%</f>
        <v>2193079560</v>
      </c>
      <c r="D12" s="201">
        <f>814762374.58*119%</f>
        <v>969567225.75020003</v>
      </c>
      <c r="E12" s="124"/>
      <c r="F12" s="125"/>
      <c r="G12" s="125"/>
      <c r="H12" s="126"/>
      <c r="I12" s="50"/>
      <c r="N12" s="50"/>
      <c r="O12" s="50"/>
      <c r="P12" s="50"/>
      <c r="Q12" s="50"/>
      <c r="R12" s="50"/>
      <c r="S12" s="50"/>
      <c r="T12" s="50"/>
      <c r="U12" s="50"/>
    </row>
    <row r="13" spans="1:21" s="62" customFormat="1" ht="34.5" customHeight="1" x14ac:dyDescent="0.25">
      <c r="A13" s="84" t="s">
        <v>365</v>
      </c>
      <c r="B13" s="163">
        <v>0.1</v>
      </c>
      <c r="C13" s="145">
        <f>1228616000*119%</f>
        <v>1462053040</v>
      </c>
      <c r="D13" s="201">
        <f>543174916.39*119%</f>
        <v>646378150.50409997</v>
      </c>
      <c r="E13" s="124"/>
      <c r="F13" s="125"/>
      <c r="G13" s="125"/>
      <c r="H13" s="126"/>
      <c r="N13" s="63"/>
      <c r="O13" s="64"/>
      <c r="Q13" s="64"/>
      <c r="R13" s="63"/>
    </row>
    <row r="14" spans="1:21" s="62" customFormat="1" ht="34.5" customHeight="1" x14ac:dyDescent="0.25">
      <c r="A14" s="84" t="s">
        <v>366</v>
      </c>
      <c r="B14" s="163">
        <v>0.15</v>
      </c>
      <c r="C14" s="145">
        <f>1842924000*119%</f>
        <v>2193079560</v>
      </c>
      <c r="D14" s="201">
        <f t="shared" ref="D14:D18" si="0">814762374.58*119%</f>
        <v>969567225.75020003</v>
      </c>
      <c r="E14" s="124"/>
      <c r="F14" s="125"/>
      <c r="G14" s="125"/>
      <c r="H14" s="126"/>
      <c r="I14" s="65"/>
      <c r="P14" s="66"/>
    </row>
    <row r="15" spans="1:21" s="62" customFormat="1" ht="34.5" customHeight="1" x14ac:dyDescent="0.25">
      <c r="A15" s="84" t="s">
        <v>367</v>
      </c>
      <c r="B15" s="163">
        <v>0.15</v>
      </c>
      <c r="C15" s="145">
        <f>1842924000*119%</f>
        <v>2193079560</v>
      </c>
      <c r="D15" s="201">
        <f t="shared" si="0"/>
        <v>969567225.75020003</v>
      </c>
      <c r="E15" s="124"/>
      <c r="F15" s="125"/>
      <c r="G15" s="125"/>
      <c r="H15" s="126"/>
      <c r="I15" s="65"/>
    </row>
    <row r="16" spans="1:21" s="62" customFormat="1" ht="34.5" customHeight="1" x14ac:dyDescent="0.25">
      <c r="A16" s="84" t="s">
        <v>368</v>
      </c>
      <c r="B16" s="163">
        <v>0.15</v>
      </c>
      <c r="C16" s="145">
        <f>1842924000*119%</f>
        <v>2193079560</v>
      </c>
      <c r="D16" s="201">
        <f t="shared" si="0"/>
        <v>969567225.75020003</v>
      </c>
      <c r="E16" s="124"/>
      <c r="F16" s="125"/>
      <c r="G16" s="125"/>
      <c r="H16" s="126"/>
      <c r="I16" s="65"/>
      <c r="N16" s="67"/>
    </row>
    <row r="17" spans="1:14" s="62" customFormat="1" ht="34.5" customHeight="1" x14ac:dyDescent="0.25">
      <c r="A17" s="84" t="s">
        <v>369</v>
      </c>
      <c r="B17" s="163">
        <v>0.15</v>
      </c>
      <c r="C17" s="145">
        <f>1842924000*119%</f>
        <v>2193079560</v>
      </c>
      <c r="D17" s="201">
        <f t="shared" si="0"/>
        <v>969567225.75020003</v>
      </c>
      <c r="E17" s="124"/>
      <c r="F17" s="125"/>
      <c r="G17" s="125"/>
      <c r="H17" s="126"/>
      <c r="I17" s="65"/>
      <c r="N17" s="67"/>
    </row>
    <row r="18" spans="1:14" s="62" customFormat="1" ht="34.5" customHeight="1" x14ac:dyDescent="0.25">
      <c r="A18" s="84" t="s">
        <v>370</v>
      </c>
      <c r="B18" s="163">
        <v>0.15</v>
      </c>
      <c r="C18" s="145">
        <f>1842924000*119%</f>
        <v>2193079560</v>
      </c>
      <c r="D18" s="201">
        <f t="shared" si="0"/>
        <v>969567225.75020003</v>
      </c>
      <c r="E18" s="124"/>
      <c r="F18" s="125"/>
      <c r="G18" s="125"/>
      <c r="H18" s="126"/>
      <c r="I18" s="65"/>
      <c r="N18" s="67"/>
    </row>
    <row r="19" spans="1:14" s="62" customFormat="1" ht="34.5" customHeight="1" x14ac:dyDescent="0.25">
      <c r="A19" s="146" t="s">
        <v>91</v>
      </c>
      <c r="B19" s="164">
        <f>SUM(B8,B11)</f>
        <v>1</v>
      </c>
      <c r="C19" s="145">
        <f>SUM(C8,C11)</f>
        <v>15746080000</v>
      </c>
      <c r="D19" s="145">
        <f>SUM(D8,D11)</f>
        <v>7307943704.9953012</v>
      </c>
      <c r="E19" s="28"/>
      <c r="F19" s="145">
        <f>SUM(F9:F18)</f>
        <v>0</v>
      </c>
      <c r="G19" s="145">
        <f>SUM(G9:G18)</f>
        <v>0</v>
      </c>
      <c r="H19" s="28"/>
      <c r="N19" s="67"/>
    </row>
    <row r="20" spans="1:14" ht="30" customHeight="1" x14ac:dyDescent="0.25">
      <c r="C20" s="101"/>
      <c r="D20" s="101"/>
      <c r="F20" s="108"/>
    </row>
    <row r="21" spans="1:14" ht="30" customHeight="1" x14ac:dyDescent="0.25"/>
    <row r="22" spans="1:14" ht="30" customHeight="1" x14ac:dyDescent="0.25"/>
    <row r="23" spans="1:14" ht="30" customHeight="1" x14ac:dyDescent="0.25"/>
  </sheetData>
  <sheetProtection algorithmName="SHA-512" hashValue="iYu2EgdG/sO/3dYurLe6afrlORXWZhUnDwwQjytB+DHZIr2ltBQTHh21ka8sewrpTocIFfR1ekYdsjTgXLja7A==" saltValue="aMubqL8ggx81rt+fqSj/Lg==" spinCount="100000" sheet="1" objects="1" scenarios="1"/>
  <mergeCells count="5">
    <mergeCell ref="A1:H1"/>
    <mergeCell ref="A2:H2"/>
    <mergeCell ref="A3:H3"/>
    <mergeCell ref="A4:H4"/>
    <mergeCell ref="A5:H5"/>
  </mergeCells>
  <pageMargins left="0.70866141732283472" right="0.70866141732283472" top="0.74803149606299213" bottom="0.74803149606299213" header="0.31496062992125984" footer="0.31496062992125984"/>
  <pageSetup scale="48"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T950"/>
  <sheetViews>
    <sheetView showGridLines="0" view="pageBreakPreview" topLeftCell="A898" zoomScale="85" zoomScaleNormal="85" zoomScaleSheetLayoutView="85" workbookViewId="0">
      <selection activeCell="D924" sqref="D924"/>
    </sheetView>
  </sheetViews>
  <sheetFormatPr baseColWidth="10" defaultColWidth="11.42578125" defaultRowHeight="15" outlineLevelRow="1" x14ac:dyDescent="0.25"/>
  <cols>
    <col min="1" max="1" width="8" bestFit="1" customWidth="1"/>
    <col min="2" max="2" width="13.5703125" bestFit="1" customWidth="1"/>
    <col min="3" max="3" width="26.42578125" customWidth="1"/>
    <col min="4" max="5" width="16.140625" customWidth="1"/>
    <col min="6" max="6" width="53.5703125" customWidth="1"/>
    <col min="7" max="7" width="16.5703125" customWidth="1"/>
    <col min="8" max="8" width="17.140625" customWidth="1"/>
    <col min="9" max="9" width="19.42578125" style="68" bestFit="1" customWidth="1"/>
    <col min="10" max="10" width="17.140625" style="68" customWidth="1"/>
    <col min="11" max="11" width="18.42578125" style="68" bestFit="1" customWidth="1"/>
    <col min="12" max="12" width="17.140625" style="68" customWidth="1"/>
    <col min="13" max="13" width="22.5703125" style="100" customWidth="1"/>
    <col min="14" max="14" width="20.42578125" style="68" bestFit="1" customWidth="1"/>
    <col min="15" max="15" width="17" hidden="1" customWidth="1"/>
    <col min="16" max="16" width="15.42578125" hidden="1" customWidth="1"/>
    <col min="17" max="18" width="0" hidden="1" customWidth="1"/>
    <col min="19" max="19" width="17.140625" bestFit="1" customWidth="1"/>
    <col min="20" max="20" width="19.140625" bestFit="1" customWidth="1"/>
  </cols>
  <sheetData>
    <row r="1" spans="1:15" ht="15.75" x14ac:dyDescent="0.25">
      <c r="A1" s="274" t="str">
        <f>CONTRATO</f>
        <v>Contrato Interadministrativo No. CO1.PCCNTR.5090635</v>
      </c>
      <c r="B1" s="274"/>
      <c r="C1" s="274"/>
      <c r="D1" s="274"/>
      <c r="E1" s="274"/>
      <c r="F1" s="274"/>
      <c r="G1" s="274"/>
      <c r="H1" s="274"/>
      <c r="I1" s="274"/>
      <c r="J1" s="274"/>
      <c r="K1" s="274"/>
      <c r="L1" s="274"/>
      <c r="M1" s="299"/>
      <c r="N1" s="274"/>
    </row>
    <row r="2" spans="1:15" ht="15.75" x14ac:dyDescent="0.25">
      <c r="A2" s="274" t="s">
        <v>6</v>
      </c>
      <c r="B2" s="274"/>
      <c r="C2" s="274"/>
      <c r="D2" s="274"/>
      <c r="E2" s="274"/>
      <c r="F2" s="274"/>
      <c r="G2" s="274"/>
      <c r="H2" s="274"/>
      <c r="I2" s="274"/>
      <c r="J2" s="274"/>
      <c r="K2" s="274"/>
      <c r="L2" s="274"/>
      <c r="M2" s="299"/>
      <c r="N2" s="274"/>
    </row>
    <row r="3" spans="1:15" ht="15.75" x14ac:dyDescent="0.25">
      <c r="A3" s="274" t="s">
        <v>17</v>
      </c>
      <c r="B3" s="274"/>
      <c r="C3" s="274"/>
      <c r="D3" s="274"/>
      <c r="E3" s="274"/>
      <c r="F3" s="274"/>
      <c r="G3" s="274"/>
      <c r="H3" s="274"/>
      <c r="I3" s="274"/>
      <c r="J3" s="274"/>
      <c r="K3" s="274"/>
      <c r="L3" s="274"/>
      <c r="M3" s="299"/>
      <c r="N3" s="274"/>
    </row>
    <row r="4" spans="1:15" ht="18.75" x14ac:dyDescent="0.3">
      <c r="A4" s="271" t="s">
        <v>371</v>
      </c>
      <c r="B4" s="271"/>
      <c r="C4" s="271"/>
      <c r="D4" s="271"/>
      <c r="E4" s="271"/>
      <c r="F4" s="271"/>
      <c r="G4" s="271"/>
      <c r="H4" s="271"/>
      <c r="I4" s="271"/>
      <c r="J4" s="271"/>
      <c r="K4" s="271"/>
      <c r="L4" s="271"/>
      <c r="M4" s="300"/>
      <c r="N4" s="271"/>
    </row>
    <row r="5" spans="1:15" ht="15.75" x14ac:dyDescent="0.25">
      <c r="A5" s="293" t="str">
        <f>periodo</f>
        <v>01 de julio al 31 de julio de 2025</v>
      </c>
      <c r="B5" s="293"/>
      <c r="C5" s="293"/>
      <c r="D5" s="293"/>
      <c r="E5" s="293"/>
      <c r="F5" s="293"/>
      <c r="G5" s="293"/>
      <c r="H5" s="293"/>
      <c r="I5" s="293"/>
      <c r="J5" s="293"/>
      <c r="K5" s="293"/>
      <c r="L5" s="293"/>
      <c r="M5" s="299"/>
      <c r="N5" s="293"/>
    </row>
    <row r="6" spans="1:15" ht="15.75" x14ac:dyDescent="0.25">
      <c r="F6" s="23"/>
    </row>
    <row r="7" spans="1:15" ht="61.5" customHeight="1" x14ac:dyDescent="0.25">
      <c r="A7" s="131" t="s">
        <v>113</v>
      </c>
      <c r="B7" s="131" t="s">
        <v>19</v>
      </c>
      <c r="C7" s="131" t="s">
        <v>372</v>
      </c>
      <c r="D7" s="131" t="s">
        <v>373</v>
      </c>
      <c r="E7" s="131" t="s">
        <v>411</v>
      </c>
      <c r="F7" s="131" t="s">
        <v>374</v>
      </c>
      <c r="G7" s="131" t="s">
        <v>506</v>
      </c>
      <c r="H7" s="131" t="s">
        <v>375</v>
      </c>
      <c r="I7" s="132" t="s">
        <v>376</v>
      </c>
      <c r="J7" s="132" t="s">
        <v>377</v>
      </c>
      <c r="K7" s="132" t="s">
        <v>378</v>
      </c>
      <c r="L7" s="132" t="s">
        <v>741</v>
      </c>
      <c r="M7" s="199" t="s">
        <v>379</v>
      </c>
      <c r="N7" s="132" t="s">
        <v>380</v>
      </c>
    </row>
    <row r="8" spans="1:15" ht="53.1" customHeight="1" outlineLevel="1" x14ac:dyDescent="0.25">
      <c r="A8" s="73" t="s">
        <v>381</v>
      </c>
      <c r="B8" s="78">
        <v>93361855</v>
      </c>
      <c r="C8" s="74" t="s">
        <v>382</v>
      </c>
      <c r="D8" s="75" t="s">
        <v>744</v>
      </c>
      <c r="E8" s="75" t="s">
        <v>394</v>
      </c>
      <c r="F8" s="76" t="s">
        <v>383</v>
      </c>
      <c r="G8" s="83">
        <v>222838</v>
      </c>
      <c r="H8" s="72">
        <v>45265</v>
      </c>
      <c r="I8" s="166">
        <v>1262766</v>
      </c>
      <c r="J8" s="166">
        <v>0</v>
      </c>
      <c r="K8" s="166">
        <v>121787.95999999999</v>
      </c>
      <c r="L8" s="166">
        <v>0</v>
      </c>
      <c r="M8" s="166">
        <v>0</v>
      </c>
      <c r="N8" s="166">
        <f>+I8-J8-K8+M8-L8</f>
        <v>1140978.04</v>
      </c>
      <c r="O8" s="36"/>
    </row>
    <row r="9" spans="1:15" ht="36.75" customHeight="1" x14ac:dyDescent="0.25">
      <c r="F9" s="107" t="s">
        <v>384</v>
      </c>
      <c r="I9" s="184">
        <f t="shared" ref="I9:N9" si="0">SUM(I8:I8)</f>
        <v>1262766</v>
      </c>
      <c r="J9" s="184">
        <f t="shared" si="0"/>
        <v>0</v>
      </c>
      <c r="K9" s="184">
        <f t="shared" si="0"/>
        <v>121787.95999999999</v>
      </c>
      <c r="L9" s="184">
        <f t="shared" si="0"/>
        <v>0</v>
      </c>
      <c r="M9" s="184">
        <f t="shared" si="0"/>
        <v>0</v>
      </c>
      <c r="N9" s="184">
        <f t="shared" si="0"/>
        <v>1140978.04</v>
      </c>
    </row>
    <row r="10" spans="1:15" x14ac:dyDescent="0.25">
      <c r="A10" s="73" t="s">
        <v>23</v>
      </c>
      <c r="B10" s="78">
        <v>800113389</v>
      </c>
      <c r="C10" s="74" t="s">
        <v>385</v>
      </c>
      <c r="D10" s="75" t="s">
        <v>60</v>
      </c>
      <c r="E10" s="75" t="s">
        <v>378</v>
      </c>
      <c r="F10" s="76" t="s">
        <v>386</v>
      </c>
      <c r="G10" s="83" t="s">
        <v>60</v>
      </c>
      <c r="H10" s="72">
        <v>45306</v>
      </c>
      <c r="I10" s="166">
        <v>4775.17</v>
      </c>
      <c r="J10" s="166"/>
      <c r="K10" s="166">
        <v>0</v>
      </c>
      <c r="L10" s="166">
        <v>0</v>
      </c>
      <c r="M10" s="166">
        <v>0</v>
      </c>
      <c r="N10" s="166">
        <f>+I10-J10-K10+M10-L10</f>
        <v>4775.17</v>
      </c>
      <c r="O10" s="36"/>
    </row>
    <row r="11" spans="1:15" x14ac:dyDescent="0.25">
      <c r="A11" s="73" t="s">
        <v>23</v>
      </c>
      <c r="B11" s="78">
        <v>800113389</v>
      </c>
      <c r="C11" s="74" t="s">
        <v>385</v>
      </c>
      <c r="D11" s="75" t="s">
        <v>60</v>
      </c>
      <c r="E11" s="75" t="s">
        <v>378</v>
      </c>
      <c r="F11" s="76" t="s">
        <v>387</v>
      </c>
      <c r="G11" s="83" t="s">
        <v>60</v>
      </c>
      <c r="H11" s="72">
        <v>45306</v>
      </c>
      <c r="I11" s="166">
        <v>286.51</v>
      </c>
      <c r="J11" s="166"/>
      <c r="K11" s="166">
        <v>0</v>
      </c>
      <c r="L11" s="166">
        <v>0</v>
      </c>
      <c r="M11" s="166">
        <v>0</v>
      </c>
      <c r="N11" s="166">
        <f>+I11-J11-K11+M11-L11</f>
        <v>286.51</v>
      </c>
      <c r="O11" s="36"/>
    </row>
    <row r="12" spans="1:15" x14ac:dyDescent="0.25">
      <c r="A12" s="73" t="s">
        <v>23</v>
      </c>
      <c r="B12" s="78">
        <v>800197268</v>
      </c>
      <c r="C12" s="74" t="s">
        <v>388</v>
      </c>
      <c r="D12" s="75" t="s">
        <v>60</v>
      </c>
      <c r="E12" s="75" t="s">
        <v>378</v>
      </c>
      <c r="F12" s="76" t="s">
        <v>389</v>
      </c>
      <c r="G12" s="83" t="s">
        <v>60</v>
      </c>
      <c r="H12" s="72">
        <v>45320</v>
      </c>
      <c r="I12" s="166">
        <v>116726.28</v>
      </c>
      <c r="J12" s="166"/>
      <c r="K12" s="166">
        <v>0</v>
      </c>
      <c r="L12" s="166">
        <v>0</v>
      </c>
      <c r="M12" s="166">
        <v>273.72000000000003</v>
      </c>
      <c r="N12" s="166">
        <f>+I12-J12-K12+M12-L12</f>
        <v>117000</v>
      </c>
      <c r="O12" s="36"/>
    </row>
    <row r="13" spans="1:15" ht="36.75" customHeight="1" x14ac:dyDescent="0.25">
      <c r="F13" s="107" t="s">
        <v>390</v>
      </c>
      <c r="I13" s="184">
        <f>SUM(I10:I12)</f>
        <v>121787.95999999999</v>
      </c>
      <c r="J13" s="184">
        <f>SUM(J10:J11)</f>
        <v>0</v>
      </c>
      <c r="K13" s="184">
        <f>SUM(K10:K11)</f>
        <v>0</v>
      </c>
      <c r="L13" s="184">
        <f>SUM(L11:L11)</f>
        <v>0</v>
      </c>
      <c r="M13" s="184">
        <f>SUM(M11:M12)</f>
        <v>273.72000000000003</v>
      </c>
      <c r="N13" s="184">
        <f>SUM(N10:N12)</f>
        <v>122061.68</v>
      </c>
    </row>
    <row r="14" spans="1:15" x14ac:dyDescent="0.25">
      <c r="A14" s="73"/>
      <c r="B14" s="78"/>
      <c r="C14" s="74"/>
      <c r="D14" s="75"/>
      <c r="E14" s="75"/>
      <c r="F14" s="76"/>
      <c r="G14" s="83"/>
      <c r="H14" s="72"/>
      <c r="I14" s="166"/>
      <c r="J14" s="166"/>
      <c r="K14" s="166">
        <v>0</v>
      </c>
      <c r="L14" s="166">
        <v>0</v>
      </c>
      <c r="M14" s="166">
        <v>0</v>
      </c>
      <c r="N14" s="166">
        <f>+I14-J14-K14+M14-L14</f>
        <v>0</v>
      </c>
      <c r="O14" s="36"/>
    </row>
    <row r="15" spans="1:15" ht="36.75" customHeight="1" x14ac:dyDescent="0.25">
      <c r="F15" s="107" t="s">
        <v>391</v>
      </c>
      <c r="I15" s="184">
        <f>SUM(I14:I14)</f>
        <v>0</v>
      </c>
      <c r="J15" s="184">
        <f>SUM(J14:J14)</f>
        <v>0</v>
      </c>
      <c r="K15" s="184">
        <f>SUM(K14:K14)</f>
        <v>0</v>
      </c>
      <c r="L15" s="184">
        <v>0</v>
      </c>
      <c r="M15" s="184">
        <v>0</v>
      </c>
      <c r="N15" s="184">
        <f>SUM(N14:N14)</f>
        <v>0</v>
      </c>
    </row>
    <row r="16" spans="1:15" x14ac:dyDescent="0.25">
      <c r="A16" s="73"/>
      <c r="B16" s="78"/>
      <c r="C16" s="74"/>
      <c r="D16" s="75"/>
      <c r="E16" s="75"/>
      <c r="F16" s="76"/>
      <c r="G16" s="83"/>
      <c r="H16" s="72"/>
      <c r="I16" s="166"/>
      <c r="J16" s="166"/>
      <c r="K16" s="166">
        <v>0</v>
      </c>
      <c r="L16" s="166">
        <v>0</v>
      </c>
      <c r="M16" s="166">
        <v>0</v>
      </c>
      <c r="N16" s="166">
        <f>+I16-J16-K16+M16-L16</f>
        <v>0</v>
      </c>
      <c r="O16" s="36"/>
    </row>
    <row r="17" spans="1:15" ht="36.75" customHeight="1" x14ac:dyDescent="0.25">
      <c r="F17" s="107" t="s">
        <v>409</v>
      </c>
      <c r="I17" s="184">
        <f>SUM(I16:I16)</f>
        <v>0</v>
      </c>
      <c r="J17" s="184">
        <f>SUM(J16:J16)</f>
        <v>0</v>
      </c>
      <c r="K17" s="184">
        <f>SUM(K16:K16)</f>
        <v>0</v>
      </c>
      <c r="L17" s="184">
        <v>0</v>
      </c>
      <c r="M17" s="184">
        <v>0</v>
      </c>
      <c r="N17" s="184">
        <f>SUM(N16:N16)</f>
        <v>0</v>
      </c>
    </row>
    <row r="18" spans="1:15" x14ac:dyDescent="0.25">
      <c r="A18" s="73"/>
      <c r="B18" s="78"/>
      <c r="C18" s="74"/>
      <c r="D18" s="75"/>
      <c r="E18" s="75"/>
      <c r="F18" s="76"/>
      <c r="G18" s="83"/>
      <c r="H18" s="72"/>
      <c r="I18" s="166"/>
      <c r="J18" s="166"/>
      <c r="K18" s="166">
        <v>0</v>
      </c>
      <c r="L18" s="166">
        <v>0</v>
      </c>
      <c r="M18" s="166">
        <v>0</v>
      </c>
      <c r="N18" s="166">
        <f>+I18-J18-K18+M18-L18</f>
        <v>0</v>
      </c>
      <c r="O18" s="36"/>
    </row>
    <row r="19" spans="1:15" ht="36.75" customHeight="1" x14ac:dyDescent="0.25">
      <c r="F19" s="107" t="s">
        <v>410</v>
      </c>
      <c r="I19" s="184">
        <f>SUM(I18:I18)</f>
        <v>0</v>
      </c>
      <c r="J19" s="184">
        <f>SUM(J18:J18)</f>
        <v>0</v>
      </c>
      <c r="K19" s="184">
        <f>SUM(K18:K18)</f>
        <v>0</v>
      </c>
      <c r="L19" s="184">
        <v>0</v>
      </c>
      <c r="M19" s="184">
        <v>0</v>
      </c>
      <c r="N19" s="184">
        <f>SUM(N18:N18)</f>
        <v>0</v>
      </c>
    </row>
    <row r="20" spans="1:15" ht="75" x14ac:dyDescent="0.25">
      <c r="A20" s="73" t="s">
        <v>23</v>
      </c>
      <c r="B20" s="78">
        <v>901794652</v>
      </c>
      <c r="C20" s="74" t="s">
        <v>191</v>
      </c>
      <c r="D20" s="75" t="s">
        <v>190</v>
      </c>
      <c r="E20" s="75" t="s">
        <v>394</v>
      </c>
      <c r="F20" s="76" t="s">
        <v>514</v>
      </c>
      <c r="G20" s="83">
        <v>246577</v>
      </c>
      <c r="H20" s="72">
        <v>45435</v>
      </c>
      <c r="I20" s="166">
        <v>68905760</v>
      </c>
      <c r="J20" s="166">
        <v>6890576</v>
      </c>
      <c r="K20" s="166">
        <v>7419608</v>
      </c>
      <c r="L20" s="166">
        <v>0</v>
      </c>
      <c r="M20" s="166">
        <v>0</v>
      </c>
      <c r="N20" s="166">
        <f>+I20-J20-K20+M20-L20</f>
        <v>54595576</v>
      </c>
      <c r="O20" s="36"/>
    </row>
    <row r="21" spans="1:15" ht="75" x14ac:dyDescent="0.25">
      <c r="A21" s="73" t="s">
        <v>23</v>
      </c>
      <c r="B21" s="78">
        <v>900503646</v>
      </c>
      <c r="C21" s="74" t="s">
        <v>194</v>
      </c>
      <c r="D21" s="75" t="s">
        <v>193</v>
      </c>
      <c r="E21" s="75" t="s">
        <v>394</v>
      </c>
      <c r="F21" s="76" t="s">
        <v>515</v>
      </c>
      <c r="G21" s="83">
        <v>246592</v>
      </c>
      <c r="H21" s="72">
        <v>45435</v>
      </c>
      <c r="I21" s="166">
        <v>48232800</v>
      </c>
      <c r="J21" s="166">
        <v>4823280</v>
      </c>
      <c r="K21" s="166">
        <v>3028828.2399999998</v>
      </c>
      <c r="L21" s="166">
        <v>0</v>
      </c>
      <c r="M21" s="166">
        <v>0</v>
      </c>
      <c r="N21" s="166">
        <f t="shared" ref="N21:N31" si="1">+I21-J21-K21+M21-L21</f>
        <v>40380691.759999998</v>
      </c>
      <c r="O21" s="36"/>
    </row>
    <row r="22" spans="1:15" ht="75" x14ac:dyDescent="0.25">
      <c r="A22" s="73" t="s">
        <v>23</v>
      </c>
      <c r="B22" s="78">
        <v>900503646</v>
      </c>
      <c r="C22" s="74" t="s">
        <v>194</v>
      </c>
      <c r="D22" s="75" t="s">
        <v>193</v>
      </c>
      <c r="E22" s="75" t="s">
        <v>394</v>
      </c>
      <c r="F22" s="76" t="s">
        <v>516</v>
      </c>
      <c r="G22" s="83">
        <v>247170</v>
      </c>
      <c r="H22" s="72">
        <v>45440</v>
      </c>
      <c r="I22" s="166">
        <v>20987100.109999999</v>
      </c>
      <c r="J22" s="166">
        <v>2098710.0099999998</v>
      </c>
      <c r="K22" s="166">
        <v>1317906.5100000002</v>
      </c>
      <c r="L22" s="166">
        <v>0</v>
      </c>
      <c r="M22" s="166">
        <v>0</v>
      </c>
      <c r="N22" s="166">
        <f t="shared" si="1"/>
        <v>17570483.59</v>
      </c>
      <c r="O22" s="36"/>
    </row>
    <row r="23" spans="1:15" ht="75" x14ac:dyDescent="0.25">
      <c r="A23" s="73" t="s">
        <v>23</v>
      </c>
      <c r="B23" s="78">
        <v>901786131</v>
      </c>
      <c r="C23" s="74" t="s">
        <v>210</v>
      </c>
      <c r="D23" s="75" t="s">
        <v>209</v>
      </c>
      <c r="E23" s="75" t="s">
        <v>394</v>
      </c>
      <c r="F23" s="76" t="s">
        <v>517</v>
      </c>
      <c r="G23" s="83">
        <v>246929</v>
      </c>
      <c r="H23" s="72">
        <v>45435</v>
      </c>
      <c r="I23" s="166">
        <v>32605732</v>
      </c>
      <c r="J23" s="166">
        <v>3260573.1999999993</v>
      </c>
      <c r="K23" s="166">
        <v>1863184.6800000002</v>
      </c>
      <c r="L23" s="166">
        <v>0</v>
      </c>
      <c r="M23" s="166">
        <v>0</v>
      </c>
      <c r="N23" s="166">
        <f t="shared" si="1"/>
        <v>27481974.120000001</v>
      </c>
      <c r="O23" s="36"/>
    </row>
    <row r="24" spans="1:15" ht="75" x14ac:dyDescent="0.25">
      <c r="A24" s="73" t="s">
        <v>23</v>
      </c>
      <c r="B24" s="78">
        <v>900584208</v>
      </c>
      <c r="C24" s="74" t="s">
        <v>145</v>
      </c>
      <c r="D24" s="75" t="s">
        <v>144</v>
      </c>
      <c r="E24" s="75" t="s">
        <v>394</v>
      </c>
      <c r="F24" s="76" t="s">
        <v>518</v>
      </c>
      <c r="G24" s="83">
        <v>247732</v>
      </c>
      <c r="H24" s="72">
        <v>45440</v>
      </c>
      <c r="I24" s="166">
        <v>107451264</v>
      </c>
      <c r="J24" s="166">
        <v>10745126.4</v>
      </c>
      <c r="K24" s="166">
        <v>11602930.609999999</v>
      </c>
      <c r="L24" s="166">
        <v>0</v>
      </c>
      <c r="M24" s="166">
        <v>0</v>
      </c>
      <c r="N24" s="166">
        <f t="shared" si="1"/>
        <v>85103206.989999995</v>
      </c>
      <c r="O24" s="36"/>
    </row>
    <row r="25" spans="1:15" ht="75" x14ac:dyDescent="0.25">
      <c r="A25" s="73" t="s">
        <v>23</v>
      </c>
      <c r="B25" s="78">
        <v>900506471</v>
      </c>
      <c r="C25" s="74" t="s">
        <v>148</v>
      </c>
      <c r="D25" s="75" t="s">
        <v>147</v>
      </c>
      <c r="E25" s="75" t="s">
        <v>394</v>
      </c>
      <c r="F25" s="76" t="s">
        <v>508</v>
      </c>
      <c r="G25" s="83">
        <v>247126</v>
      </c>
      <c r="H25" s="72">
        <v>45440</v>
      </c>
      <c r="I25" s="166">
        <v>73250450</v>
      </c>
      <c r="J25" s="166">
        <v>7325045</v>
      </c>
      <c r="K25" s="166">
        <v>4524292.5</v>
      </c>
      <c r="L25" s="166">
        <v>0</v>
      </c>
      <c r="M25" s="166">
        <v>0</v>
      </c>
      <c r="N25" s="166">
        <f t="shared" si="1"/>
        <v>61401112.5</v>
      </c>
      <c r="O25" s="36"/>
    </row>
    <row r="26" spans="1:15" ht="75" x14ac:dyDescent="0.25">
      <c r="A26" s="73" t="s">
        <v>381</v>
      </c>
      <c r="B26" s="78">
        <v>59312287</v>
      </c>
      <c r="C26" s="74" t="s">
        <v>172</v>
      </c>
      <c r="D26" s="75" t="s">
        <v>171</v>
      </c>
      <c r="E26" s="75" t="s">
        <v>394</v>
      </c>
      <c r="F26" s="76" t="s">
        <v>509</v>
      </c>
      <c r="G26" s="83">
        <v>247737</v>
      </c>
      <c r="H26" s="72">
        <v>45440</v>
      </c>
      <c r="I26" s="166">
        <v>45103380.000000015</v>
      </c>
      <c r="J26" s="166">
        <v>4510338</v>
      </c>
      <c r="K26" s="166">
        <v>4691101.38</v>
      </c>
      <c r="L26" s="166">
        <v>0</v>
      </c>
      <c r="M26" s="166">
        <v>0</v>
      </c>
      <c r="N26" s="166">
        <f t="shared" si="1"/>
        <v>35901940.620000012</v>
      </c>
      <c r="O26" s="36"/>
    </row>
    <row r="27" spans="1:15" ht="75" x14ac:dyDescent="0.25">
      <c r="A27" s="73" t="s">
        <v>23</v>
      </c>
      <c r="B27" s="78">
        <v>901785672</v>
      </c>
      <c r="C27" s="74" t="s">
        <v>175</v>
      </c>
      <c r="D27" s="75" t="s">
        <v>174</v>
      </c>
      <c r="E27" s="75" t="s">
        <v>394</v>
      </c>
      <c r="F27" s="76" t="s">
        <v>510</v>
      </c>
      <c r="G27" s="83">
        <v>247132</v>
      </c>
      <c r="H27" s="72">
        <v>45440</v>
      </c>
      <c r="I27" s="166">
        <v>29893990</v>
      </c>
      <c r="J27" s="166">
        <v>2989399</v>
      </c>
      <c r="K27" s="166">
        <v>1833833</v>
      </c>
      <c r="L27" s="166">
        <v>0</v>
      </c>
      <c r="M27" s="166">
        <v>0</v>
      </c>
      <c r="N27" s="166">
        <f t="shared" si="1"/>
        <v>25070758</v>
      </c>
      <c r="O27" s="36"/>
    </row>
    <row r="28" spans="1:15" ht="75" x14ac:dyDescent="0.25">
      <c r="A28" s="73" t="s">
        <v>381</v>
      </c>
      <c r="B28" s="78">
        <v>59312287</v>
      </c>
      <c r="C28" s="74" t="s">
        <v>172</v>
      </c>
      <c r="D28" s="75" t="s">
        <v>171</v>
      </c>
      <c r="E28" s="75" t="s">
        <v>394</v>
      </c>
      <c r="F28" s="76" t="s">
        <v>511</v>
      </c>
      <c r="G28" s="83">
        <v>247739</v>
      </c>
      <c r="H28" s="72">
        <v>45440</v>
      </c>
      <c r="I28" s="166">
        <v>821943412.23000002</v>
      </c>
      <c r="J28" s="166">
        <v>82194341.219999999</v>
      </c>
      <c r="K28" s="166">
        <v>68234833.99000001</v>
      </c>
      <c r="L28" s="166">
        <v>0</v>
      </c>
      <c r="M28" s="166">
        <v>0</v>
      </c>
      <c r="N28" s="166">
        <f t="shared" si="1"/>
        <v>671514237.01999998</v>
      </c>
      <c r="O28" s="36"/>
    </row>
    <row r="29" spans="1:15" ht="90" x14ac:dyDescent="0.25">
      <c r="A29" s="73" t="s">
        <v>23</v>
      </c>
      <c r="B29" s="78">
        <v>901785672</v>
      </c>
      <c r="C29" s="74" t="s">
        <v>175</v>
      </c>
      <c r="D29" s="75" t="s">
        <v>174</v>
      </c>
      <c r="E29" s="75" t="s">
        <v>394</v>
      </c>
      <c r="F29" s="76" t="s">
        <v>512</v>
      </c>
      <c r="G29" s="83">
        <v>247804</v>
      </c>
      <c r="H29" s="72">
        <v>45440</v>
      </c>
      <c r="I29" s="166">
        <v>37371307.780000001</v>
      </c>
      <c r="J29" s="166">
        <v>3737130.78</v>
      </c>
      <c r="K29" s="166">
        <v>2292525.6</v>
      </c>
      <c r="L29" s="166">
        <v>0</v>
      </c>
      <c r="M29" s="166">
        <v>0</v>
      </c>
      <c r="N29" s="166">
        <f t="shared" si="1"/>
        <v>31341651.399999999</v>
      </c>
      <c r="O29" s="36"/>
    </row>
    <row r="30" spans="1:15" ht="75" x14ac:dyDescent="0.25">
      <c r="A30" s="73" t="s">
        <v>23</v>
      </c>
      <c r="B30" s="78">
        <v>900584208</v>
      </c>
      <c r="C30" s="74" t="s">
        <v>145</v>
      </c>
      <c r="D30" s="75" t="s">
        <v>144</v>
      </c>
      <c r="E30" s="75" t="s">
        <v>394</v>
      </c>
      <c r="F30" s="76" t="s">
        <v>513</v>
      </c>
      <c r="G30" s="83">
        <v>248957</v>
      </c>
      <c r="H30" s="72">
        <v>45440</v>
      </c>
      <c r="I30" s="166">
        <v>731704700</v>
      </c>
      <c r="J30" s="166">
        <v>73170470</v>
      </c>
      <c r="K30" s="166">
        <v>64199825.050000004</v>
      </c>
      <c r="L30" s="166">
        <v>0</v>
      </c>
      <c r="M30" s="166">
        <v>0</v>
      </c>
      <c r="N30" s="166">
        <f t="shared" si="1"/>
        <v>594334404.95000005</v>
      </c>
      <c r="O30" s="36"/>
    </row>
    <row r="31" spans="1:15" ht="120" x14ac:dyDescent="0.25">
      <c r="A31" s="73" t="s">
        <v>23</v>
      </c>
      <c r="B31" s="78">
        <v>900506471</v>
      </c>
      <c r="C31" s="74" t="s">
        <v>148</v>
      </c>
      <c r="D31" s="75" t="s">
        <v>147</v>
      </c>
      <c r="E31" s="75" t="s">
        <v>394</v>
      </c>
      <c r="F31" s="76" t="s">
        <v>519</v>
      </c>
      <c r="G31" s="83">
        <v>247743</v>
      </c>
      <c r="H31" s="72">
        <v>45440</v>
      </c>
      <c r="I31" s="166">
        <v>61494188.909999996</v>
      </c>
      <c r="J31" s="166">
        <v>6149418.8899999997</v>
      </c>
      <c r="K31" s="166">
        <v>3802011.3200000003</v>
      </c>
      <c r="L31" s="166">
        <v>0</v>
      </c>
      <c r="M31" s="166">
        <v>0</v>
      </c>
      <c r="N31" s="166">
        <f t="shared" si="1"/>
        <v>51542758.699999996</v>
      </c>
      <c r="O31" s="36"/>
    </row>
    <row r="32" spans="1:15" ht="36.75" customHeight="1" x14ac:dyDescent="0.25">
      <c r="F32" s="107" t="s">
        <v>448</v>
      </c>
      <c r="I32" s="184">
        <f t="shared" ref="I32:N32" si="2">+SUM(I20:I31)</f>
        <v>2078944085.0300002</v>
      </c>
      <c r="J32" s="184">
        <f t="shared" si="2"/>
        <v>207894408.5</v>
      </c>
      <c r="K32" s="184">
        <f t="shared" si="2"/>
        <v>174810880.88</v>
      </c>
      <c r="L32" s="184">
        <f t="shared" si="2"/>
        <v>0</v>
      </c>
      <c r="M32" s="184">
        <f>+SUM(M20:M31)</f>
        <v>0</v>
      </c>
      <c r="N32" s="184">
        <f t="shared" si="2"/>
        <v>1696238795.6499999</v>
      </c>
    </row>
    <row r="33" spans="1:15" ht="75" x14ac:dyDescent="0.25">
      <c r="A33" s="73" t="s">
        <v>23</v>
      </c>
      <c r="B33" s="78">
        <v>901786131</v>
      </c>
      <c r="C33" s="74" t="s">
        <v>210</v>
      </c>
      <c r="D33" s="75" t="s">
        <v>209</v>
      </c>
      <c r="E33" s="75" t="s">
        <v>394</v>
      </c>
      <c r="F33" s="76" t="s">
        <v>520</v>
      </c>
      <c r="G33" s="83">
        <v>251581</v>
      </c>
      <c r="H33" s="72">
        <v>45469</v>
      </c>
      <c r="I33" s="166">
        <v>65211464</v>
      </c>
      <c r="J33" s="166">
        <v>6521146.4000000004</v>
      </c>
      <c r="K33" s="166">
        <v>3726369.37</v>
      </c>
      <c r="L33" s="166">
        <v>0</v>
      </c>
      <c r="M33" s="166">
        <v>0</v>
      </c>
      <c r="N33" s="185">
        <f t="shared" ref="N33" si="3">+I33-J33-K33+M33-L33</f>
        <v>54963948.230000004</v>
      </c>
      <c r="O33" s="36"/>
    </row>
    <row r="34" spans="1:15" ht="60" x14ac:dyDescent="0.25">
      <c r="A34" s="73" t="s">
        <v>23</v>
      </c>
      <c r="B34" s="78">
        <v>900503646</v>
      </c>
      <c r="C34" s="74" t="s">
        <v>194</v>
      </c>
      <c r="D34" s="75" t="s">
        <v>193</v>
      </c>
      <c r="E34" s="75" t="s">
        <v>394</v>
      </c>
      <c r="F34" s="76" t="s">
        <v>521</v>
      </c>
      <c r="G34" s="83">
        <v>251588</v>
      </c>
      <c r="H34" s="72">
        <v>45469</v>
      </c>
      <c r="I34" s="166">
        <v>19989968.300000001</v>
      </c>
      <c r="J34" s="166">
        <v>1998996.8299999998</v>
      </c>
      <c r="K34" s="166">
        <v>1254025.1499999999</v>
      </c>
      <c r="L34" s="166">
        <v>0</v>
      </c>
      <c r="M34" s="166">
        <v>0</v>
      </c>
      <c r="N34" s="185">
        <f t="shared" ref="N34:N69" si="4">+I34-J34-K34+M34-L34</f>
        <v>16736946.320000002</v>
      </c>
      <c r="O34" s="36"/>
    </row>
    <row r="35" spans="1:15" ht="75" x14ac:dyDescent="0.25">
      <c r="A35" s="73" t="s">
        <v>23</v>
      </c>
      <c r="B35" s="78">
        <v>900278442</v>
      </c>
      <c r="C35" s="74" t="s">
        <v>199</v>
      </c>
      <c r="D35" s="75" t="s">
        <v>198</v>
      </c>
      <c r="E35" s="75" t="s">
        <v>394</v>
      </c>
      <c r="F35" s="76" t="s">
        <v>522</v>
      </c>
      <c r="G35" s="83">
        <v>253418</v>
      </c>
      <c r="H35" s="72">
        <v>45470</v>
      </c>
      <c r="I35" s="166">
        <v>78523788</v>
      </c>
      <c r="J35" s="166">
        <v>7852378.7999999998</v>
      </c>
      <c r="K35" s="166">
        <v>8543294.9700000007</v>
      </c>
      <c r="L35" s="166">
        <v>0</v>
      </c>
      <c r="M35" s="166">
        <v>0</v>
      </c>
      <c r="N35" s="185">
        <f t="shared" si="4"/>
        <v>62128114.230000004</v>
      </c>
      <c r="O35" s="36"/>
    </row>
    <row r="36" spans="1:15" ht="75" x14ac:dyDescent="0.25">
      <c r="A36" s="73" t="s">
        <v>23</v>
      </c>
      <c r="B36" s="78">
        <v>900506471</v>
      </c>
      <c r="C36" s="74" t="s">
        <v>202</v>
      </c>
      <c r="D36" s="75" t="s">
        <v>201</v>
      </c>
      <c r="E36" s="75" t="s">
        <v>394</v>
      </c>
      <c r="F36" s="76" t="s">
        <v>523</v>
      </c>
      <c r="G36" s="83">
        <v>253371</v>
      </c>
      <c r="H36" s="72">
        <v>45470</v>
      </c>
      <c r="I36" s="166">
        <v>53760418.689999998</v>
      </c>
      <c r="J36" s="166">
        <v>5376041.8700000001</v>
      </c>
      <c r="K36" s="166">
        <v>5623185.6600000001</v>
      </c>
      <c r="L36" s="166">
        <v>0</v>
      </c>
      <c r="M36" s="166">
        <v>0</v>
      </c>
      <c r="N36" s="185">
        <f t="shared" si="4"/>
        <v>42761191.159999996</v>
      </c>
      <c r="O36" s="36"/>
    </row>
    <row r="37" spans="1:15" ht="120" x14ac:dyDescent="0.25">
      <c r="A37" s="73" t="s">
        <v>23</v>
      </c>
      <c r="B37" s="78">
        <v>900506471</v>
      </c>
      <c r="C37" s="74" t="s">
        <v>148</v>
      </c>
      <c r="D37" s="75" t="s">
        <v>147</v>
      </c>
      <c r="E37" s="75" t="s">
        <v>394</v>
      </c>
      <c r="F37" s="76" t="s">
        <v>524</v>
      </c>
      <c r="G37" s="83">
        <v>251592</v>
      </c>
      <c r="H37" s="72">
        <v>45469</v>
      </c>
      <c r="I37" s="166">
        <v>40200271.399999999</v>
      </c>
      <c r="J37" s="166">
        <v>4020027.14</v>
      </c>
      <c r="K37" s="166">
        <v>2493995.91</v>
      </c>
      <c r="L37" s="166">
        <v>0</v>
      </c>
      <c r="M37" s="166">
        <v>0</v>
      </c>
      <c r="N37" s="185">
        <f t="shared" si="4"/>
        <v>33686248.349999994</v>
      </c>
      <c r="O37" s="36"/>
    </row>
    <row r="38" spans="1:15" ht="75" x14ac:dyDescent="0.25">
      <c r="A38" s="73" t="s">
        <v>23</v>
      </c>
      <c r="B38" s="78">
        <v>59312287</v>
      </c>
      <c r="C38" s="74" t="s">
        <v>172</v>
      </c>
      <c r="D38" s="75" t="s">
        <v>171</v>
      </c>
      <c r="E38" s="75" t="s">
        <v>394</v>
      </c>
      <c r="F38" s="76" t="s">
        <v>525</v>
      </c>
      <c r="G38" s="83">
        <v>251602</v>
      </c>
      <c r="H38" s="72">
        <v>45470</v>
      </c>
      <c r="I38" s="166">
        <v>966469682.20000005</v>
      </c>
      <c r="J38" s="166">
        <v>96646968.219999999</v>
      </c>
      <c r="K38" s="166">
        <v>85533097.159999996</v>
      </c>
      <c r="L38" s="166">
        <v>0</v>
      </c>
      <c r="M38" s="166">
        <v>0</v>
      </c>
      <c r="N38" s="185">
        <f t="shared" si="4"/>
        <v>784289616.82000005</v>
      </c>
      <c r="O38" s="36"/>
    </row>
    <row r="39" spans="1:15" ht="90" x14ac:dyDescent="0.25">
      <c r="A39" s="73" t="s">
        <v>23</v>
      </c>
      <c r="B39" s="78">
        <v>901785672</v>
      </c>
      <c r="C39" s="74" t="s">
        <v>175</v>
      </c>
      <c r="D39" s="75" t="s">
        <v>174</v>
      </c>
      <c r="E39" s="75" t="s">
        <v>394</v>
      </c>
      <c r="F39" s="76" t="s">
        <v>526</v>
      </c>
      <c r="G39" s="83">
        <v>251607</v>
      </c>
      <c r="H39" s="72">
        <v>45469</v>
      </c>
      <c r="I39" s="166">
        <v>41051914.950000003</v>
      </c>
      <c r="J39" s="166">
        <v>4105191.49</v>
      </c>
      <c r="K39" s="166">
        <v>2518310.75</v>
      </c>
      <c r="L39" s="166">
        <v>0</v>
      </c>
      <c r="M39" s="166">
        <v>0</v>
      </c>
      <c r="N39" s="185">
        <f t="shared" si="4"/>
        <v>34428412.710000001</v>
      </c>
      <c r="O39" s="36"/>
    </row>
    <row r="40" spans="1:15" ht="75" x14ac:dyDescent="0.25">
      <c r="A40" s="73" t="s">
        <v>23</v>
      </c>
      <c r="B40" s="78">
        <v>901792473</v>
      </c>
      <c r="C40" s="74" t="s">
        <v>254</v>
      </c>
      <c r="D40" s="75" t="s">
        <v>253</v>
      </c>
      <c r="E40" s="75" t="s">
        <v>394</v>
      </c>
      <c r="F40" s="76" t="s">
        <v>527</v>
      </c>
      <c r="G40" s="83">
        <v>253335</v>
      </c>
      <c r="H40" s="72">
        <v>45470</v>
      </c>
      <c r="I40" s="166">
        <v>28916666.800000001</v>
      </c>
      <c r="J40" s="166">
        <v>2891666.68</v>
      </c>
      <c r="K40" s="166">
        <v>2988865.56</v>
      </c>
      <c r="L40" s="166">
        <v>0</v>
      </c>
      <c r="M40" s="166">
        <v>0</v>
      </c>
      <c r="N40" s="185">
        <f t="shared" si="4"/>
        <v>23036134.560000002</v>
      </c>
      <c r="O40" s="36"/>
    </row>
    <row r="41" spans="1:15" ht="75" x14ac:dyDescent="0.25">
      <c r="A41" s="73" t="s">
        <v>23</v>
      </c>
      <c r="B41" s="78">
        <v>74184643</v>
      </c>
      <c r="C41" s="74" t="s">
        <v>257</v>
      </c>
      <c r="D41" s="75" t="s">
        <v>256</v>
      </c>
      <c r="E41" s="75" t="s">
        <v>394</v>
      </c>
      <c r="F41" s="76" t="s">
        <v>528</v>
      </c>
      <c r="G41" s="83">
        <v>252555</v>
      </c>
      <c r="H41" s="72">
        <v>45470</v>
      </c>
      <c r="I41" s="166">
        <v>18270000</v>
      </c>
      <c r="J41" s="166">
        <v>1827000</v>
      </c>
      <c r="K41" s="166">
        <v>1120764.71</v>
      </c>
      <c r="L41" s="166">
        <v>0</v>
      </c>
      <c r="M41" s="166">
        <v>0</v>
      </c>
      <c r="N41" s="185">
        <f t="shared" si="4"/>
        <v>15322235.289999999</v>
      </c>
      <c r="O41" s="36"/>
    </row>
    <row r="42" spans="1:15" ht="75" x14ac:dyDescent="0.25">
      <c r="A42" s="73" t="s">
        <v>23</v>
      </c>
      <c r="B42" s="78">
        <v>901792473</v>
      </c>
      <c r="C42" s="74" t="s">
        <v>254</v>
      </c>
      <c r="D42" s="75" t="s">
        <v>253</v>
      </c>
      <c r="E42" s="75" t="s">
        <v>394</v>
      </c>
      <c r="F42" s="76" t="s">
        <v>532</v>
      </c>
      <c r="G42" s="83" t="s">
        <v>507</v>
      </c>
      <c r="H42" s="72">
        <v>45470</v>
      </c>
      <c r="I42" s="166">
        <v>256378939.55000001</v>
      </c>
      <c r="J42" s="166">
        <v>25637893.960000001</v>
      </c>
      <c r="K42" s="166">
        <v>21123504.449999999</v>
      </c>
      <c r="L42" s="166">
        <v>0</v>
      </c>
      <c r="M42" s="166">
        <v>0</v>
      </c>
      <c r="N42" s="185">
        <f t="shared" si="4"/>
        <v>209617541.14000002</v>
      </c>
      <c r="O42" s="36"/>
    </row>
    <row r="43" spans="1:15" ht="75" x14ac:dyDescent="0.25">
      <c r="A43" s="73" t="s">
        <v>23</v>
      </c>
      <c r="B43" s="78">
        <v>74184643</v>
      </c>
      <c r="C43" s="74" t="s">
        <v>257</v>
      </c>
      <c r="D43" s="75" t="s">
        <v>256</v>
      </c>
      <c r="E43" s="75" t="s">
        <v>394</v>
      </c>
      <c r="F43" s="76" t="s">
        <v>529</v>
      </c>
      <c r="G43" s="83">
        <v>252967</v>
      </c>
      <c r="H43" s="72">
        <v>45470</v>
      </c>
      <c r="I43" s="166">
        <v>60706821.240000002</v>
      </c>
      <c r="J43" s="166">
        <v>6070682.1200000001</v>
      </c>
      <c r="K43" s="166">
        <v>3724031.89</v>
      </c>
      <c r="L43" s="166">
        <v>0</v>
      </c>
      <c r="M43" s="166">
        <v>0</v>
      </c>
      <c r="N43" s="185">
        <f t="shared" si="4"/>
        <v>50912107.230000004</v>
      </c>
      <c r="O43" s="36"/>
    </row>
    <row r="44" spans="1:15" ht="75" x14ac:dyDescent="0.25">
      <c r="A44" s="73" t="s">
        <v>23</v>
      </c>
      <c r="B44" s="78">
        <v>900584208</v>
      </c>
      <c r="C44" s="74" t="s">
        <v>145</v>
      </c>
      <c r="D44" s="75" t="s">
        <v>144</v>
      </c>
      <c r="E44" s="75" t="s">
        <v>394</v>
      </c>
      <c r="F44" s="76" t="s">
        <v>530</v>
      </c>
      <c r="G44" s="83">
        <v>251616</v>
      </c>
      <c r="H44" s="72">
        <v>45470</v>
      </c>
      <c r="I44" s="166">
        <v>1111039167.6299999</v>
      </c>
      <c r="J44" s="166">
        <v>111103916.76000001</v>
      </c>
      <c r="K44" s="166">
        <v>98205074.50999999</v>
      </c>
      <c r="L44" s="166">
        <v>0</v>
      </c>
      <c r="M44" s="166">
        <v>0</v>
      </c>
      <c r="N44" s="185">
        <f t="shared" si="4"/>
        <v>901730176.3599999</v>
      </c>
      <c r="O44" s="36"/>
    </row>
    <row r="45" spans="1:15" ht="60" x14ac:dyDescent="0.25">
      <c r="A45" s="73" t="s">
        <v>23</v>
      </c>
      <c r="B45" s="78">
        <v>901787725</v>
      </c>
      <c r="C45" s="74" t="s">
        <v>153</v>
      </c>
      <c r="D45" s="75" t="s">
        <v>152</v>
      </c>
      <c r="E45" s="75" t="s">
        <v>394</v>
      </c>
      <c r="F45" s="76" t="s">
        <v>531</v>
      </c>
      <c r="G45" s="83">
        <v>252924</v>
      </c>
      <c r="H45" s="72">
        <v>45470</v>
      </c>
      <c r="I45" s="166">
        <v>389128127.67000002</v>
      </c>
      <c r="J45" s="166">
        <v>38912812.770000003</v>
      </c>
      <c r="K45" s="166">
        <v>34760238.359999999</v>
      </c>
      <c r="L45" s="166">
        <v>0</v>
      </c>
      <c r="M45" s="166">
        <v>0</v>
      </c>
      <c r="N45" s="185">
        <f t="shared" si="4"/>
        <v>315455076.54000002</v>
      </c>
      <c r="O45" s="36"/>
    </row>
    <row r="46" spans="1:15" ht="45" x14ac:dyDescent="0.25">
      <c r="A46" s="73" t="s">
        <v>23</v>
      </c>
      <c r="B46" s="78">
        <v>800197268</v>
      </c>
      <c r="C46" s="74" t="s">
        <v>449</v>
      </c>
      <c r="D46" s="83" t="s">
        <v>60</v>
      </c>
      <c r="E46" s="75" t="s">
        <v>378</v>
      </c>
      <c r="F46" s="76" t="s">
        <v>455</v>
      </c>
      <c r="G46" s="83" t="s">
        <v>60</v>
      </c>
      <c r="H46" s="72">
        <v>45468</v>
      </c>
      <c r="I46" s="166">
        <v>66682394.760000005</v>
      </c>
      <c r="J46" s="166">
        <v>0</v>
      </c>
      <c r="K46" s="166">
        <v>0</v>
      </c>
      <c r="L46" s="166">
        <v>0</v>
      </c>
      <c r="M46" s="166">
        <v>-394.76</v>
      </c>
      <c r="N46" s="166">
        <f t="shared" si="4"/>
        <v>66682000.000000007</v>
      </c>
      <c r="O46" s="36"/>
    </row>
    <row r="47" spans="1:15" ht="30" x14ac:dyDescent="0.25">
      <c r="A47" s="73" t="s">
        <v>23</v>
      </c>
      <c r="B47" s="78">
        <v>899999090</v>
      </c>
      <c r="C47" s="74" t="s">
        <v>450</v>
      </c>
      <c r="D47" s="83" t="s">
        <v>60</v>
      </c>
      <c r="E47" s="75" t="s">
        <v>378</v>
      </c>
      <c r="F47" s="76" t="s">
        <v>456</v>
      </c>
      <c r="G47" s="83" t="s">
        <v>60</v>
      </c>
      <c r="H47" s="72">
        <v>45454</v>
      </c>
      <c r="I47" s="166">
        <v>77229561.340000004</v>
      </c>
      <c r="J47" s="166">
        <v>0</v>
      </c>
      <c r="K47" s="166">
        <v>0</v>
      </c>
      <c r="L47" s="166">
        <v>0</v>
      </c>
      <c r="M47" s="166">
        <v>438.66</v>
      </c>
      <c r="N47" s="166">
        <f t="shared" si="4"/>
        <v>77230000</v>
      </c>
      <c r="O47" s="36"/>
    </row>
    <row r="48" spans="1:15" ht="30" x14ac:dyDescent="0.25">
      <c r="A48" s="73" t="s">
        <v>23</v>
      </c>
      <c r="B48" s="78">
        <v>800096585</v>
      </c>
      <c r="C48" s="74" t="s">
        <v>451</v>
      </c>
      <c r="D48" s="83" t="s">
        <v>60</v>
      </c>
      <c r="E48" s="75" t="s">
        <v>378</v>
      </c>
      <c r="F48" s="76" t="s">
        <v>457</v>
      </c>
      <c r="G48" s="83" t="s">
        <v>60</v>
      </c>
      <c r="H48" s="72">
        <v>45454</v>
      </c>
      <c r="I48" s="166">
        <v>211039.97</v>
      </c>
      <c r="J48" s="166">
        <v>0</v>
      </c>
      <c r="K48" s="166">
        <v>0</v>
      </c>
      <c r="L48" s="166">
        <v>0</v>
      </c>
      <c r="M48" s="166">
        <v>-39.97</v>
      </c>
      <c r="N48" s="166">
        <f t="shared" si="4"/>
        <v>211000</v>
      </c>
      <c r="O48" s="36"/>
    </row>
    <row r="49" spans="1:15" x14ac:dyDescent="0.25">
      <c r="A49" s="73" t="s">
        <v>23</v>
      </c>
      <c r="B49" s="78">
        <v>800096576</v>
      </c>
      <c r="C49" s="74" t="s">
        <v>452</v>
      </c>
      <c r="D49" s="83" t="s">
        <v>60</v>
      </c>
      <c r="E49" s="75" t="s">
        <v>378</v>
      </c>
      <c r="F49" s="76" t="s">
        <v>457</v>
      </c>
      <c r="G49" s="83" t="s">
        <v>60</v>
      </c>
      <c r="H49" s="72">
        <v>45460</v>
      </c>
      <c r="I49" s="166">
        <v>211159.97</v>
      </c>
      <c r="J49" s="166">
        <v>0</v>
      </c>
      <c r="K49" s="166">
        <v>0</v>
      </c>
      <c r="L49" s="166">
        <v>0</v>
      </c>
      <c r="M49" s="166">
        <v>-159.97</v>
      </c>
      <c r="N49" s="166">
        <f t="shared" si="4"/>
        <v>211000</v>
      </c>
      <c r="O49" s="36"/>
    </row>
    <row r="50" spans="1:15" ht="30" x14ac:dyDescent="0.25">
      <c r="A50" s="73" t="s">
        <v>23</v>
      </c>
      <c r="B50" s="78">
        <v>891500982</v>
      </c>
      <c r="C50" s="74" t="s">
        <v>453</v>
      </c>
      <c r="D50" s="83" t="s">
        <v>60</v>
      </c>
      <c r="E50" s="75" t="s">
        <v>378</v>
      </c>
      <c r="F50" s="76" t="s">
        <v>457</v>
      </c>
      <c r="G50" s="83" t="s">
        <v>60</v>
      </c>
      <c r="H50" s="72">
        <v>45461</v>
      </c>
      <c r="I50" s="166">
        <v>5809738.29</v>
      </c>
      <c r="J50" s="166">
        <v>0</v>
      </c>
      <c r="K50" s="166">
        <v>0</v>
      </c>
      <c r="L50" s="166">
        <v>0</v>
      </c>
      <c r="M50" s="166">
        <v>261.70999999999998</v>
      </c>
      <c r="N50" s="166">
        <f t="shared" si="4"/>
        <v>5810000</v>
      </c>
      <c r="O50" s="36"/>
    </row>
    <row r="51" spans="1:15" ht="30" x14ac:dyDescent="0.25">
      <c r="A51" s="73" t="s">
        <v>23</v>
      </c>
      <c r="B51" s="78">
        <v>891500856</v>
      </c>
      <c r="C51" s="74" t="s">
        <v>454</v>
      </c>
      <c r="D51" s="83" t="s">
        <v>60</v>
      </c>
      <c r="E51" s="75" t="s">
        <v>378</v>
      </c>
      <c r="F51" s="76" t="s">
        <v>457</v>
      </c>
      <c r="G51" s="83" t="s">
        <v>60</v>
      </c>
      <c r="H51" s="72">
        <v>45461</v>
      </c>
      <c r="I51" s="166">
        <v>1829649.4</v>
      </c>
      <c r="J51" s="166">
        <v>0</v>
      </c>
      <c r="K51" s="166">
        <v>0</v>
      </c>
      <c r="L51" s="166">
        <v>0</v>
      </c>
      <c r="M51" s="166">
        <v>350.6</v>
      </c>
      <c r="N51" s="166">
        <f t="shared" si="4"/>
        <v>1830000</v>
      </c>
      <c r="O51" s="36"/>
    </row>
    <row r="52" spans="1:15" ht="36.75" customHeight="1" x14ac:dyDescent="0.25">
      <c r="F52" s="107" t="s">
        <v>464</v>
      </c>
      <c r="I52" s="184">
        <f t="shared" ref="I52:N52" si="5">+SUM(I33:I51)</f>
        <v>3281620774.1600003</v>
      </c>
      <c r="J52" s="184">
        <f t="shared" si="5"/>
        <v>312964723.04000002</v>
      </c>
      <c r="K52" s="184">
        <f>+SUM(K33:K51)</f>
        <v>271614758.44999999</v>
      </c>
      <c r="L52" s="184">
        <f t="shared" si="5"/>
        <v>0</v>
      </c>
      <c r="M52" s="184">
        <f>+SUM(M33:M51)</f>
        <v>456.27000000000004</v>
      </c>
      <c r="N52" s="184">
        <f t="shared" si="5"/>
        <v>2697041748.9400001</v>
      </c>
    </row>
    <row r="53" spans="1:15" ht="75" x14ac:dyDescent="0.25">
      <c r="A53" s="73" t="s">
        <v>23</v>
      </c>
      <c r="B53" s="78">
        <v>900506471</v>
      </c>
      <c r="C53" s="74" t="s">
        <v>202</v>
      </c>
      <c r="D53" s="83" t="s">
        <v>201</v>
      </c>
      <c r="E53" s="75" t="s">
        <v>394</v>
      </c>
      <c r="F53" s="76" t="s">
        <v>465</v>
      </c>
      <c r="G53" s="83">
        <v>255631</v>
      </c>
      <c r="H53" s="72">
        <v>45496</v>
      </c>
      <c r="I53" s="166">
        <v>77807940.930000007</v>
      </c>
      <c r="J53" s="166">
        <v>7780794.0899999999</v>
      </c>
      <c r="K53" s="166">
        <v>4903861.82</v>
      </c>
      <c r="L53" s="166">
        <v>0</v>
      </c>
      <c r="M53" s="166">
        <v>0</v>
      </c>
      <c r="N53" s="166">
        <f t="shared" si="4"/>
        <v>65123285.020000003</v>
      </c>
      <c r="O53" s="36"/>
    </row>
    <row r="54" spans="1:15" ht="75" x14ac:dyDescent="0.25">
      <c r="A54" s="73" t="s">
        <v>23</v>
      </c>
      <c r="B54" s="78">
        <v>900278442</v>
      </c>
      <c r="C54" s="74" t="s">
        <v>199</v>
      </c>
      <c r="D54" s="83" t="s">
        <v>198</v>
      </c>
      <c r="E54" s="75" t="s">
        <v>394</v>
      </c>
      <c r="F54" s="76" t="s">
        <v>466</v>
      </c>
      <c r="G54" s="83">
        <v>255634</v>
      </c>
      <c r="H54" s="72">
        <v>45496</v>
      </c>
      <c r="I54" s="166">
        <v>1086989919.5599999</v>
      </c>
      <c r="J54" s="166">
        <v>108698991.95999999</v>
      </c>
      <c r="K54" s="166">
        <v>97002816.810000002</v>
      </c>
      <c r="L54" s="166">
        <v>0</v>
      </c>
      <c r="M54" s="166">
        <v>0</v>
      </c>
      <c r="N54" s="166">
        <f t="shared" si="4"/>
        <v>881288110.78999996</v>
      </c>
      <c r="O54" s="36"/>
    </row>
    <row r="55" spans="1:15" ht="75" x14ac:dyDescent="0.25">
      <c r="A55" s="73" t="s">
        <v>23</v>
      </c>
      <c r="B55" s="78">
        <v>901794652</v>
      </c>
      <c r="C55" s="74" t="s">
        <v>191</v>
      </c>
      <c r="D55" s="83" t="s">
        <v>190</v>
      </c>
      <c r="E55" s="75" t="s">
        <v>394</v>
      </c>
      <c r="F55" s="76" t="s">
        <v>467</v>
      </c>
      <c r="G55" s="83">
        <v>255658</v>
      </c>
      <c r="H55" s="72">
        <v>45492</v>
      </c>
      <c r="I55" s="166">
        <v>173474772.16999999</v>
      </c>
      <c r="J55" s="166">
        <v>17347477.219999999</v>
      </c>
      <c r="K55" s="166">
        <v>15419132.149999999</v>
      </c>
      <c r="L55" s="166">
        <v>0</v>
      </c>
      <c r="M55" s="166">
        <v>0</v>
      </c>
      <c r="N55" s="166">
        <f t="shared" si="4"/>
        <v>140708162.79999998</v>
      </c>
      <c r="O55" s="36"/>
    </row>
    <row r="56" spans="1:15" ht="75" x14ac:dyDescent="0.25">
      <c r="A56" s="73" t="s">
        <v>23</v>
      </c>
      <c r="B56" s="78">
        <v>901794652</v>
      </c>
      <c r="C56" s="74" t="s">
        <v>191</v>
      </c>
      <c r="D56" s="83" t="s">
        <v>190</v>
      </c>
      <c r="E56" s="75" t="s">
        <v>394</v>
      </c>
      <c r="F56" s="76" t="s">
        <v>468</v>
      </c>
      <c r="G56" s="83">
        <v>255661</v>
      </c>
      <c r="H56" s="72">
        <v>45492</v>
      </c>
      <c r="I56" s="166">
        <v>327485521.52999997</v>
      </c>
      <c r="J56" s="166">
        <v>32748552.149999999</v>
      </c>
      <c r="K56" s="166">
        <v>29105092.280000001</v>
      </c>
      <c r="L56" s="166">
        <v>0</v>
      </c>
      <c r="M56" s="166">
        <v>0</v>
      </c>
      <c r="N56" s="166">
        <f t="shared" si="4"/>
        <v>265631877.09999999</v>
      </c>
      <c r="O56" s="36"/>
    </row>
    <row r="57" spans="1:15" ht="75" x14ac:dyDescent="0.25">
      <c r="A57" s="73" t="s">
        <v>23</v>
      </c>
      <c r="B57" s="78">
        <v>901786317</v>
      </c>
      <c r="C57" s="74" t="s">
        <v>207</v>
      </c>
      <c r="D57" s="83" t="s">
        <v>206</v>
      </c>
      <c r="E57" s="75" t="s">
        <v>394</v>
      </c>
      <c r="F57" s="76" t="s">
        <v>469</v>
      </c>
      <c r="G57" s="83">
        <v>255664</v>
      </c>
      <c r="H57" s="72">
        <v>45495</v>
      </c>
      <c r="I57" s="166">
        <v>96036985.310000002</v>
      </c>
      <c r="J57" s="166">
        <v>9603698.5299999993</v>
      </c>
      <c r="K57" s="166">
        <v>10168621.970000001</v>
      </c>
      <c r="L57" s="166">
        <v>0</v>
      </c>
      <c r="M57" s="166">
        <v>0</v>
      </c>
      <c r="N57" s="166">
        <f t="shared" si="4"/>
        <v>76264664.810000002</v>
      </c>
      <c r="O57" s="36"/>
    </row>
    <row r="58" spans="1:15" ht="75" x14ac:dyDescent="0.25">
      <c r="A58" s="73" t="s">
        <v>23</v>
      </c>
      <c r="B58" s="78">
        <v>900503646</v>
      </c>
      <c r="C58" s="74" t="s">
        <v>194</v>
      </c>
      <c r="D58" s="83" t="s">
        <v>193</v>
      </c>
      <c r="E58" s="75" t="s">
        <v>394</v>
      </c>
      <c r="F58" s="76" t="s">
        <v>470</v>
      </c>
      <c r="G58" s="83">
        <v>255668</v>
      </c>
      <c r="H58" s="72">
        <v>45495</v>
      </c>
      <c r="I58" s="166">
        <v>24402273.670000002</v>
      </c>
      <c r="J58" s="166">
        <v>2440227.37</v>
      </c>
      <c r="K58" s="166">
        <v>1500705.92</v>
      </c>
      <c r="L58" s="166">
        <v>0</v>
      </c>
      <c r="M58" s="166">
        <v>0</v>
      </c>
      <c r="N58" s="166">
        <f t="shared" si="4"/>
        <v>20461340.380000003</v>
      </c>
      <c r="O58" s="36"/>
    </row>
    <row r="59" spans="1:15" ht="60" x14ac:dyDescent="0.25">
      <c r="A59" s="73" t="s">
        <v>23</v>
      </c>
      <c r="B59" s="78">
        <v>901786131</v>
      </c>
      <c r="C59" s="74" t="s">
        <v>210</v>
      </c>
      <c r="D59" s="83" t="s">
        <v>209</v>
      </c>
      <c r="E59" s="75" t="s">
        <v>394</v>
      </c>
      <c r="F59" s="76" t="s">
        <v>471</v>
      </c>
      <c r="G59" s="83">
        <v>255670</v>
      </c>
      <c r="H59" s="72">
        <v>45496</v>
      </c>
      <c r="I59" s="166">
        <v>67354425.219999999</v>
      </c>
      <c r="J59" s="166">
        <v>6735442.5599999996</v>
      </c>
      <c r="K59" s="166">
        <v>3848824.3</v>
      </c>
      <c r="L59" s="166">
        <v>0</v>
      </c>
      <c r="M59" s="166">
        <v>0</v>
      </c>
      <c r="N59" s="166">
        <f t="shared" si="4"/>
        <v>56770158.359999999</v>
      </c>
      <c r="O59" s="36"/>
    </row>
    <row r="60" spans="1:15" ht="60" x14ac:dyDescent="0.25">
      <c r="A60" s="73" t="s">
        <v>23</v>
      </c>
      <c r="B60" s="78">
        <v>901787725</v>
      </c>
      <c r="C60" s="74" t="s">
        <v>153</v>
      </c>
      <c r="D60" s="83" t="s">
        <v>152</v>
      </c>
      <c r="E60" s="75" t="s">
        <v>394</v>
      </c>
      <c r="F60" s="76" t="s">
        <v>472</v>
      </c>
      <c r="G60" s="83">
        <v>255679</v>
      </c>
      <c r="H60" s="72">
        <v>45496</v>
      </c>
      <c r="I60" s="166">
        <v>1272318911.1300001</v>
      </c>
      <c r="J60" s="166">
        <v>127231891.11</v>
      </c>
      <c r="K60" s="166">
        <v>113654360.78999999</v>
      </c>
      <c r="L60" s="166">
        <v>0</v>
      </c>
      <c r="M60" s="166">
        <v>0</v>
      </c>
      <c r="N60" s="166">
        <f t="shared" si="4"/>
        <v>1031432659.2300003</v>
      </c>
      <c r="O60" s="36"/>
    </row>
    <row r="61" spans="1:15" ht="75" x14ac:dyDescent="0.25">
      <c r="A61" s="73" t="s">
        <v>23</v>
      </c>
      <c r="B61" s="78">
        <v>901785680</v>
      </c>
      <c r="C61" s="74" t="s">
        <v>505</v>
      </c>
      <c r="D61" s="83" t="s">
        <v>155</v>
      </c>
      <c r="E61" s="75" t="s">
        <v>394</v>
      </c>
      <c r="F61" s="76" t="s">
        <v>473</v>
      </c>
      <c r="G61" s="83">
        <v>256184</v>
      </c>
      <c r="H61" s="72">
        <v>45496</v>
      </c>
      <c r="I61" s="166">
        <v>42460429.660000004</v>
      </c>
      <c r="J61" s="166">
        <v>4246042.97</v>
      </c>
      <c r="K61" s="166">
        <v>2676077.5</v>
      </c>
      <c r="L61" s="166">
        <v>0</v>
      </c>
      <c r="M61" s="166">
        <v>0</v>
      </c>
      <c r="N61" s="166">
        <f t="shared" si="4"/>
        <v>35538309.190000005</v>
      </c>
      <c r="O61" s="36"/>
    </row>
    <row r="62" spans="1:15" ht="75" x14ac:dyDescent="0.25">
      <c r="A62" s="73" t="s">
        <v>23</v>
      </c>
      <c r="B62" s="78">
        <v>900506471</v>
      </c>
      <c r="C62" s="74" t="s">
        <v>202</v>
      </c>
      <c r="D62" s="83" t="s">
        <v>201</v>
      </c>
      <c r="E62" s="75" t="s">
        <v>394</v>
      </c>
      <c r="F62" s="76" t="s">
        <v>474</v>
      </c>
      <c r="G62" s="83">
        <v>255671</v>
      </c>
      <c r="H62" s="72">
        <v>45495</v>
      </c>
      <c r="I62" s="166">
        <v>54579253.490000002</v>
      </c>
      <c r="J62" s="166">
        <v>5457925.3499999996</v>
      </c>
      <c r="K62" s="166">
        <v>3439868.9099999997</v>
      </c>
      <c r="L62" s="166">
        <v>0</v>
      </c>
      <c r="M62" s="166">
        <v>0</v>
      </c>
      <c r="N62" s="166">
        <f t="shared" si="4"/>
        <v>45681459.230000004</v>
      </c>
      <c r="O62" s="36"/>
    </row>
    <row r="63" spans="1:15" ht="75" x14ac:dyDescent="0.25">
      <c r="A63" s="73" t="s">
        <v>23</v>
      </c>
      <c r="B63" s="78">
        <v>900278442</v>
      </c>
      <c r="C63" s="74" t="s">
        <v>199</v>
      </c>
      <c r="D63" s="83" t="s">
        <v>198</v>
      </c>
      <c r="E63" s="75" t="s">
        <v>394</v>
      </c>
      <c r="F63" s="76" t="s">
        <v>475</v>
      </c>
      <c r="G63" s="83">
        <v>255673</v>
      </c>
      <c r="H63" s="72">
        <v>45496</v>
      </c>
      <c r="I63" s="166">
        <v>1823731648.5</v>
      </c>
      <c r="J63" s="166">
        <v>182373164.84999999</v>
      </c>
      <c r="K63" s="166">
        <v>161717420.66000003</v>
      </c>
      <c r="L63" s="166">
        <v>0</v>
      </c>
      <c r="M63" s="166">
        <v>0</v>
      </c>
      <c r="N63" s="166">
        <f t="shared" si="4"/>
        <v>1479641062.99</v>
      </c>
      <c r="O63" s="36"/>
    </row>
    <row r="64" spans="1:15" ht="75" x14ac:dyDescent="0.25">
      <c r="A64" s="73" t="s">
        <v>23</v>
      </c>
      <c r="B64" s="78">
        <v>901792473</v>
      </c>
      <c r="C64" s="74" t="s">
        <v>254</v>
      </c>
      <c r="D64" s="83" t="s">
        <v>253</v>
      </c>
      <c r="E64" s="75" t="s">
        <v>394</v>
      </c>
      <c r="F64" s="76" t="s">
        <v>476</v>
      </c>
      <c r="G64" s="83">
        <v>255680</v>
      </c>
      <c r="H64" s="72">
        <v>45496</v>
      </c>
      <c r="I64" s="166">
        <v>200951046.22</v>
      </c>
      <c r="J64" s="166">
        <v>20095104.620000001</v>
      </c>
      <c r="K64" s="166">
        <v>16556704.41</v>
      </c>
      <c r="L64" s="166">
        <v>0</v>
      </c>
      <c r="M64" s="166">
        <v>0</v>
      </c>
      <c r="N64" s="166">
        <f t="shared" si="4"/>
        <v>164299237.19</v>
      </c>
      <c r="O64" s="36"/>
    </row>
    <row r="65" spans="1:15" ht="75" x14ac:dyDescent="0.25">
      <c r="A65" s="73" t="s">
        <v>23</v>
      </c>
      <c r="B65" s="78">
        <v>901786317</v>
      </c>
      <c r="C65" s="74" t="s">
        <v>207</v>
      </c>
      <c r="D65" s="83" t="s">
        <v>206</v>
      </c>
      <c r="E65" s="75" t="s">
        <v>394</v>
      </c>
      <c r="F65" s="76" t="s">
        <v>477</v>
      </c>
      <c r="G65" s="83">
        <v>255683</v>
      </c>
      <c r="H65" s="72">
        <v>45496</v>
      </c>
      <c r="I65" s="166">
        <v>2603805453.75</v>
      </c>
      <c r="J65" s="166">
        <v>260380545.38</v>
      </c>
      <c r="K65" s="166">
        <v>222899583.49000001</v>
      </c>
      <c r="L65" s="166">
        <v>0</v>
      </c>
      <c r="M65" s="166">
        <v>0</v>
      </c>
      <c r="N65" s="166">
        <f t="shared" si="4"/>
        <v>2120525324.8799999</v>
      </c>
      <c r="O65" s="36"/>
    </row>
    <row r="66" spans="1:15" ht="75" x14ac:dyDescent="0.25">
      <c r="A66" s="73" t="s">
        <v>381</v>
      </c>
      <c r="B66" s="78">
        <v>59312287</v>
      </c>
      <c r="C66" s="74" t="s">
        <v>172</v>
      </c>
      <c r="D66" s="83" t="s">
        <v>171</v>
      </c>
      <c r="E66" s="75" t="s">
        <v>394</v>
      </c>
      <c r="F66" s="76" t="s">
        <v>478</v>
      </c>
      <c r="G66" s="83">
        <v>258043</v>
      </c>
      <c r="H66" s="72">
        <v>45499</v>
      </c>
      <c r="I66" s="166">
        <v>440285981.25</v>
      </c>
      <c r="J66" s="166">
        <v>44028598.130000003</v>
      </c>
      <c r="K66" s="166">
        <v>39169003.060000002</v>
      </c>
      <c r="L66" s="166">
        <v>0</v>
      </c>
      <c r="M66" s="166">
        <v>0</v>
      </c>
      <c r="N66" s="166">
        <f t="shared" si="4"/>
        <v>357088380.06</v>
      </c>
      <c r="O66" s="36"/>
    </row>
    <row r="67" spans="1:15" ht="90" x14ac:dyDescent="0.25">
      <c r="A67" s="73" t="s">
        <v>23</v>
      </c>
      <c r="B67" s="78">
        <v>901785672</v>
      </c>
      <c r="C67" s="74" t="s">
        <v>175</v>
      </c>
      <c r="D67" s="83" t="s">
        <v>174</v>
      </c>
      <c r="E67" s="75" t="s">
        <v>394</v>
      </c>
      <c r="F67" s="76" t="s">
        <v>479</v>
      </c>
      <c r="G67" s="83">
        <v>258001</v>
      </c>
      <c r="H67" s="72">
        <v>45498</v>
      </c>
      <c r="I67" s="166">
        <v>27650561.350000001</v>
      </c>
      <c r="J67" s="166">
        <v>2765056.13</v>
      </c>
      <c r="K67" s="166">
        <v>1696210.9</v>
      </c>
      <c r="L67" s="166">
        <v>0</v>
      </c>
      <c r="M67" s="166">
        <v>0</v>
      </c>
      <c r="N67" s="166">
        <f t="shared" si="4"/>
        <v>23189294.320000004</v>
      </c>
      <c r="O67" s="36"/>
    </row>
    <row r="68" spans="1:15" ht="105" x14ac:dyDescent="0.25">
      <c r="A68" s="73" t="s">
        <v>23</v>
      </c>
      <c r="B68" s="78">
        <v>901803620</v>
      </c>
      <c r="C68" s="74" t="s">
        <v>285</v>
      </c>
      <c r="D68" s="83" t="s">
        <v>284</v>
      </c>
      <c r="E68" s="75" t="s">
        <v>394</v>
      </c>
      <c r="F68" s="76" t="s">
        <v>480</v>
      </c>
      <c r="G68" s="83">
        <v>256862</v>
      </c>
      <c r="H68" s="72">
        <v>45496</v>
      </c>
      <c r="I68" s="166">
        <v>278494718.25</v>
      </c>
      <c r="J68" s="166">
        <v>27849471.829999998</v>
      </c>
      <c r="K68" s="166">
        <v>29253646.879999999</v>
      </c>
      <c r="L68" s="166">
        <v>0</v>
      </c>
      <c r="M68" s="166">
        <v>0</v>
      </c>
      <c r="N68" s="166">
        <f t="shared" si="4"/>
        <v>221391599.54000002</v>
      </c>
      <c r="O68" s="36"/>
    </row>
    <row r="69" spans="1:15" ht="105" x14ac:dyDescent="0.25">
      <c r="A69" s="73" t="s">
        <v>381</v>
      </c>
      <c r="B69" s="78">
        <v>9050725</v>
      </c>
      <c r="C69" s="74" t="s">
        <v>288</v>
      </c>
      <c r="D69" s="83" t="s">
        <v>287</v>
      </c>
      <c r="E69" s="75" t="s">
        <v>394</v>
      </c>
      <c r="F69" s="76" t="s">
        <v>481</v>
      </c>
      <c r="G69" s="83">
        <v>257498</v>
      </c>
      <c r="H69" s="72">
        <v>45499</v>
      </c>
      <c r="I69" s="166">
        <v>109445667</v>
      </c>
      <c r="J69" s="166">
        <v>10944566.699999999</v>
      </c>
      <c r="K69" s="166">
        <v>6842653.4700000007</v>
      </c>
      <c r="L69" s="166">
        <v>0</v>
      </c>
      <c r="M69" s="166">
        <v>0</v>
      </c>
      <c r="N69" s="166">
        <f t="shared" si="4"/>
        <v>91658446.829999998</v>
      </c>
      <c r="O69" s="36"/>
    </row>
    <row r="70" spans="1:15" ht="45" x14ac:dyDescent="0.25">
      <c r="A70" s="73" t="s">
        <v>23</v>
      </c>
      <c r="B70" s="83">
        <v>890702040</v>
      </c>
      <c r="C70" s="74" t="s">
        <v>544</v>
      </c>
      <c r="D70" s="83" t="s">
        <v>60</v>
      </c>
      <c r="E70" s="75" t="s">
        <v>378</v>
      </c>
      <c r="F70" s="76" t="s">
        <v>533</v>
      </c>
      <c r="G70" s="83" t="s">
        <v>60</v>
      </c>
      <c r="H70" s="72">
        <v>45478</v>
      </c>
      <c r="I70" s="166">
        <v>12217015.119999999</v>
      </c>
      <c r="J70" s="166">
        <v>0</v>
      </c>
      <c r="K70" s="166">
        <v>0</v>
      </c>
      <c r="L70" s="166">
        <v>0</v>
      </c>
      <c r="M70" s="166">
        <f>+ROUND(N70-I70,2)</f>
        <v>-15.12</v>
      </c>
      <c r="N70" s="166">
        <v>12217000</v>
      </c>
      <c r="O70" s="36"/>
    </row>
    <row r="71" spans="1:15" x14ac:dyDescent="0.25">
      <c r="A71" s="73" t="s">
        <v>23</v>
      </c>
      <c r="B71" s="83">
        <v>800096580</v>
      </c>
      <c r="C71" s="74" t="s">
        <v>545</v>
      </c>
      <c r="D71" s="83" t="s">
        <v>60</v>
      </c>
      <c r="E71" s="75" t="s">
        <v>378</v>
      </c>
      <c r="F71" s="76" t="s">
        <v>534</v>
      </c>
      <c r="G71" s="83" t="s">
        <v>60</v>
      </c>
      <c r="H71" s="72">
        <v>45478</v>
      </c>
      <c r="I71" s="166">
        <v>353317.12</v>
      </c>
      <c r="J71" s="166">
        <v>0</v>
      </c>
      <c r="K71" s="166">
        <v>0</v>
      </c>
      <c r="L71" s="166">
        <v>0</v>
      </c>
      <c r="M71" s="166">
        <f t="shared" ref="M71:M80" si="6">+ROUND(N71-I71,2)</f>
        <v>-317.12</v>
      </c>
      <c r="N71" s="166">
        <v>353000</v>
      </c>
      <c r="O71" s="36"/>
    </row>
    <row r="72" spans="1:15" ht="30" x14ac:dyDescent="0.25">
      <c r="A72" s="73" t="s">
        <v>23</v>
      </c>
      <c r="B72" s="83">
        <v>899999001</v>
      </c>
      <c r="C72" s="74" t="s">
        <v>546</v>
      </c>
      <c r="D72" s="83" t="s">
        <v>60</v>
      </c>
      <c r="E72" s="75" t="s">
        <v>378</v>
      </c>
      <c r="F72" s="76" t="s">
        <v>535</v>
      </c>
      <c r="G72" s="83" t="s">
        <v>60</v>
      </c>
      <c r="H72" s="72">
        <v>45483</v>
      </c>
      <c r="I72" s="166">
        <v>42124953.32</v>
      </c>
      <c r="J72" s="166">
        <v>0</v>
      </c>
      <c r="K72" s="166">
        <v>0</v>
      </c>
      <c r="L72" s="166">
        <v>0</v>
      </c>
      <c r="M72" s="166">
        <f t="shared" si="6"/>
        <v>46.68</v>
      </c>
      <c r="N72" s="166">
        <v>42125000</v>
      </c>
      <c r="O72" s="36"/>
    </row>
    <row r="73" spans="1:15" ht="30" x14ac:dyDescent="0.25">
      <c r="A73" s="73" t="s">
        <v>23</v>
      </c>
      <c r="B73" s="83">
        <v>899999090</v>
      </c>
      <c r="C73" s="74" t="s">
        <v>547</v>
      </c>
      <c r="D73" s="83" t="s">
        <v>60</v>
      </c>
      <c r="E73" s="75" t="s">
        <v>378</v>
      </c>
      <c r="F73" s="76" t="s">
        <v>536</v>
      </c>
      <c r="G73" s="83" t="s">
        <v>60</v>
      </c>
      <c r="H73" s="72">
        <v>45483</v>
      </c>
      <c r="I73" s="166">
        <v>135284770.49000001</v>
      </c>
      <c r="J73" s="166">
        <v>0</v>
      </c>
      <c r="K73" s="166">
        <v>0</v>
      </c>
      <c r="L73" s="166">
        <v>0</v>
      </c>
      <c r="M73" s="166">
        <f t="shared" si="6"/>
        <v>229.51</v>
      </c>
      <c r="N73" s="166">
        <v>135285000</v>
      </c>
      <c r="O73" s="36"/>
    </row>
    <row r="74" spans="1:15" ht="30" x14ac:dyDescent="0.25">
      <c r="A74" s="73" t="s">
        <v>23</v>
      </c>
      <c r="B74" s="83">
        <v>800096808</v>
      </c>
      <c r="C74" s="74" t="s">
        <v>548</v>
      </c>
      <c r="D74" s="83" t="s">
        <v>60</v>
      </c>
      <c r="E74" s="75" t="s">
        <v>378</v>
      </c>
      <c r="F74" s="76" t="s">
        <v>540</v>
      </c>
      <c r="G74" s="83" t="s">
        <v>60</v>
      </c>
      <c r="H74" s="72">
        <v>45483</v>
      </c>
      <c r="I74" s="166">
        <v>915461.64</v>
      </c>
      <c r="J74" s="166">
        <v>0</v>
      </c>
      <c r="K74" s="166">
        <v>0</v>
      </c>
      <c r="L74" s="166">
        <v>0</v>
      </c>
      <c r="M74" s="166">
        <f t="shared" si="6"/>
        <v>-461.64</v>
      </c>
      <c r="N74" s="166">
        <v>915000</v>
      </c>
      <c r="O74" s="36"/>
    </row>
    <row r="75" spans="1:15" ht="30" x14ac:dyDescent="0.25">
      <c r="A75" s="73" t="s">
        <v>23</v>
      </c>
      <c r="B75" s="83">
        <v>890983814</v>
      </c>
      <c r="C75" s="74" t="s">
        <v>549</v>
      </c>
      <c r="D75" s="83" t="s">
        <v>60</v>
      </c>
      <c r="E75" s="75" t="s">
        <v>378</v>
      </c>
      <c r="F75" s="76" t="s">
        <v>541</v>
      </c>
      <c r="G75" s="83" t="s">
        <v>60</v>
      </c>
      <c r="H75" s="72">
        <v>45483</v>
      </c>
      <c r="I75" s="166">
        <v>137319.24</v>
      </c>
      <c r="J75" s="166">
        <v>0</v>
      </c>
      <c r="K75" s="166">
        <v>0</v>
      </c>
      <c r="L75" s="166">
        <v>0</v>
      </c>
      <c r="M75" s="166">
        <f t="shared" si="6"/>
        <v>-319.24</v>
      </c>
      <c r="N75" s="166">
        <v>137000</v>
      </c>
      <c r="O75" s="36"/>
    </row>
    <row r="76" spans="1:15" ht="30" x14ac:dyDescent="0.25">
      <c r="A76" s="73" t="s">
        <v>23</v>
      </c>
      <c r="B76" s="83">
        <v>800096807</v>
      </c>
      <c r="C76" s="74" t="s">
        <v>550</v>
      </c>
      <c r="D76" s="83" t="s">
        <v>60</v>
      </c>
      <c r="E76" s="75" t="s">
        <v>378</v>
      </c>
      <c r="F76" s="76" t="s">
        <v>542</v>
      </c>
      <c r="G76" s="83" t="s">
        <v>60</v>
      </c>
      <c r="H76" s="72">
        <v>45485</v>
      </c>
      <c r="I76" s="166">
        <v>246597.97</v>
      </c>
      <c r="J76" s="166">
        <v>0</v>
      </c>
      <c r="K76" s="166">
        <v>0</v>
      </c>
      <c r="L76" s="166">
        <v>0</v>
      </c>
      <c r="M76" s="166">
        <f t="shared" si="6"/>
        <v>402.03</v>
      </c>
      <c r="N76" s="166">
        <v>247000</v>
      </c>
      <c r="O76" s="36"/>
    </row>
    <row r="77" spans="1:15" x14ac:dyDescent="0.25">
      <c r="A77" s="73" t="s">
        <v>23</v>
      </c>
      <c r="B77" s="83">
        <v>800102801</v>
      </c>
      <c r="C77" s="74" t="s">
        <v>551</v>
      </c>
      <c r="D77" s="83" t="s">
        <v>60</v>
      </c>
      <c r="E77" s="75" t="s">
        <v>378</v>
      </c>
      <c r="F77" s="76" t="s">
        <v>542</v>
      </c>
      <c r="G77" s="83" t="s">
        <v>60</v>
      </c>
      <c r="H77" s="72">
        <v>45485</v>
      </c>
      <c r="I77" s="166">
        <v>3862248.71</v>
      </c>
      <c r="J77" s="166">
        <v>0</v>
      </c>
      <c r="K77" s="166">
        <v>0</v>
      </c>
      <c r="L77" s="166">
        <v>0</v>
      </c>
      <c r="M77" s="166">
        <f t="shared" si="6"/>
        <v>-248.71</v>
      </c>
      <c r="N77" s="166">
        <v>3862000</v>
      </c>
      <c r="O77" s="36"/>
    </row>
    <row r="78" spans="1:15" ht="30" x14ac:dyDescent="0.25">
      <c r="A78" s="73" t="s">
        <v>23</v>
      </c>
      <c r="B78" s="83">
        <v>800096585</v>
      </c>
      <c r="C78" s="74" t="s">
        <v>552</v>
      </c>
      <c r="D78" s="83" t="s">
        <v>60</v>
      </c>
      <c r="E78" s="75" t="s">
        <v>378</v>
      </c>
      <c r="F78" s="76" t="s">
        <v>542</v>
      </c>
      <c r="G78" s="83" t="s">
        <v>60</v>
      </c>
      <c r="H78" s="72">
        <v>45488</v>
      </c>
      <c r="I78" s="166">
        <v>63514.1</v>
      </c>
      <c r="J78" s="166">
        <v>0</v>
      </c>
      <c r="K78" s="166">
        <v>0</v>
      </c>
      <c r="L78" s="166">
        <v>0</v>
      </c>
      <c r="M78" s="166">
        <f t="shared" si="6"/>
        <v>485.9</v>
      </c>
      <c r="N78" s="166">
        <v>64000</v>
      </c>
      <c r="O78" s="36"/>
    </row>
    <row r="79" spans="1:15" ht="30" x14ac:dyDescent="0.25">
      <c r="A79" s="73" t="s">
        <v>23</v>
      </c>
      <c r="B79" s="83">
        <v>891500982</v>
      </c>
      <c r="C79" s="74" t="s">
        <v>553</v>
      </c>
      <c r="D79" s="83" t="s">
        <v>60</v>
      </c>
      <c r="E79" s="75" t="s">
        <v>378</v>
      </c>
      <c r="F79" s="76" t="s">
        <v>542</v>
      </c>
      <c r="G79" s="83" t="s">
        <v>60</v>
      </c>
      <c r="H79" s="72">
        <v>45491</v>
      </c>
      <c r="I79" s="166">
        <v>4458284.72</v>
      </c>
      <c r="J79" s="166">
        <v>0</v>
      </c>
      <c r="K79" s="166">
        <v>0</v>
      </c>
      <c r="L79" s="166">
        <v>0</v>
      </c>
      <c r="M79" s="166">
        <f t="shared" si="6"/>
        <v>-284.72000000000003</v>
      </c>
      <c r="N79" s="166">
        <v>4458000</v>
      </c>
      <c r="O79" s="36"/>
    </row>
    <row r="80" spans="1:15" ht="30" x14ac:dyDescent="0.25">
      <c r="A80" s="73" t="s">
        <v>23</v>
      </c>
      <c r="B80" s="83">
        <v>891500856</v>
      </c>
      <c r="C80" s="74" t="s">
        <v>554</v>
      </c>
      <c r="D80" s="83" t="s">
        <v>60</v>
      </c>
      <c r="E80" s="75" t="s">
        <v>378</v>
      </c>
      <c r="F80" s="76" t="s">
        <v>539</v>
      </c>
      <c r="G80" s="83" t="s">
        <v>60</v>
      </c>
      <c r="H80" s="72">
        <v>45491</v>
      </c>
      <c r="I80" s="166">
        <v>4353307.7300000004</v>
      </c>
      <c r="J80" s="166">
        <v>0</v>
      </c>
      <c r="K80" s="166">
        <v>0</v>
      </c>
      <c r="L80" s="166">
        <v>0</v>
      </c>
      <c r="M80" s="166">
        <f t="shared" si="6"/>
        <v>-307.73</v>
      </c>
      <c r="N80" s="166">
        <v>4353000</v>
      </c>
      <c r="O80" s="36"/>
    </row>
    <row r="81" spans="1:15" ht="30" x14ac:dyDescent="0.25">
      <c r="A81" s="73" t="s">
        <v>23</v>
      </c>
      <c r="B81" s="83">
        <v>891500856</v>
      </c>
      <c r="C81" s="74" t="s">
        <v>554</v>
      </c>
      <c r="D81" s="83" t="s">
        <v>60</v>
      </c>
      <c r="E81" s="75" t="s">
        <v>378</v>
      </c>
      <c r="F81" s="76" t="s">
        <v>538</v>
      </c>
      <c r="G81" s="83" t="s">
        <v>60</v>
      </c>
      <c r="H81" s="72">
        <v>45491</v>
      </c>
      <c r="I81" s="166">
        <v>13200</v>
      </c>
      <c r="J81" s="166">
        <v>0</v>
      </c>
      <c r="K81" s="166">
        <v>0</v>
      </c>
      <c r="L81" s="166">
        <v>0</v>
      </c>
      <c r="M81" s="166">
        <f t="shared" ref="M81" si="7">+N81-I81</f>
        <v>0</v>
      </c>
      <c r="N81" s="166">
        <v>13200</v>
      </c>
      <c r="O81" s="36"/>
    </row>
    <row r="82" spans="1:15" x14ac:dyDescent="0.25">
      <c r="A82" s="73" t="s">
        <v>23</v>
      </c>
      <c r="B82" s="83">
        <v>800100053</v>
      </c>
      <c r="C82" s="74" t="s">
        <v>555</v>
      </c>
      <c r="D82" s="83" t="s">
        <v>60</v>
      </c>
      <c r="E82" s="75" t="s">
        <v>378</v>
      </c>
      <c r="F82" s="76" t="s">
        <v>537</v>
      </c>
      <c r="G82" s="83" t="s">
        <v>60</v>
      </c>
      <c r="H82" s="72">
        <v>45492</v>
      </c>
      <c r="I82" s="166">
        <v>5911248.5300000003</v>
      </c>
      <c r="J82" s="166">
        <v>0</v>
      </c>
      <c r="K82" s="166">
        <v>0</v>
      </c>
      <c r="L82" s="166">
        <v>0</v>
      </c>
      <c r="M82" s="166">
        <f t="shared" ref="M82:M85" si="8">+ROUND(N82-I82,2)</f>
        <v>-248.53</v>
      </c>
      <c r="N82" s="166">
        <v>5911000</v>
      </c>
      <c r="O82" s="36"/>
    </row>
    <row r="83" spans="1:15" ht="30" x14ac:dyDescent="0.25">
      <c r="A83" s="73" t="s">
        <v>23</v>
      </c>
      <c r="B83" s="83">
        <v>800108683</v>
      </c>
      <c r="C83" s="74" t="s">
        <v>556</v>
      </c>
      <c r="D83" s="83" t="s">
        <v>60</v>
      </c>
      <c r="E83" s="75" t="s">
        <v>378</v>
      </c>
      <c r="F83" s="76" t="s">
        <v>533</v>
      </c>
      <c r="G83" s="83" t="s">
        <v>60</v>
      </c>
      <c r="H83" s="72">
        <v>45492</v>
      </c>
      <c r="I83" s="166">
        <v>360048.82</v>
      </c>
      <c r="J83" s="166">
        <v>0</v>
      </c>
      <c r="K83" s="166">
        <v>0</v>
      </c>
      <c r="L83" s="166">
        <v>0</v>
      </c>
      <c r="M83" s="166">
        <f t="shared" si="8"/>
        <v>-48.82</v>
      </c>
      <c r="N83" s="166">
        <v>360000</v>
      </c>
      <c r="O83" s="36"/>
    </row>
    <row r="84" spans="1:15" ht="45" x14ac:dyDescent="0.25">
      <c r="A84" s="73" t="s">
        <v>23</v>
      </c>
      <c r="B84" s="83">
        <v>800197268</v>
      </c>
      <c r="C84" s="74" t="s">
        <v>557</v>
      </c>
      <c r="D84" s="83" t="s">
        <v>60</v>
      </c>
      <c r="E84" s="75" t="s">
        <v>378</v>
      </c>
      <c r="F84" s="76" t="s">
        <v>543</v>
      </c>
      <c r="G84" s="83" t="s">
        <v>60</v>
      </c>
      <c r="H84" s="72">
        <v>45495</v>
      </c>
      <c r="I84" s="166">
        <v>81389473.290000007</v>
      </c>
      <c r="J84" s="166">
        <v>0</v>
      </c>
      <c r="K84" s="166">
        <v>0</v>
      </c>
      <c r="L84" s="166">
        <v>0</v>
      </c>
      <c r="M84" s="166">
        <f t="shared" si="8"/>
        <v>526.71</v>
      </c>
      <c r="N84" s="166">
        <v>81390000</v>
      </c>
      <c r="O84" s="36"/>
    </row>
    <row r="85" spans="1:15" x14ac:dyDescent="0.25">
      <c r="A85" s="73" t="s">
        <v>23</v>
      </c>
      <c r="B85" s="83">
        <v>825000134</v>
      </c>
      <c r="C85" s="74" t="s">
        <v>558</v>
      </c>
      <c r="D85" s="83" t="s">
        <v>60</v>
      </c>
      <c r="E85" s="75" t="s">
        <v>378</v>
      </c>
      <c r="F85" s="76" t="s">
        <v>534</v>
      </c>
      <c r="G85" s="83" t="s">
        <v>60</v>
      </c>
      <c r="H85" s="72">
        <v>45495</v>
      </c>
      <c r="I85" s="166">
        <v>2761334.8</v>
      </c>
      <c r="J85" s="166">
        <v>0</v>
      </c>
      <c r="K85" s="166">
        <v>0</v>
      </c>
      <c r="L85" s="166">
        <v>0</v>
      </c>
      <c r="M85" s="166">
        <f t="shared" si="8"/>
        <v>-334.8</v>
      </c>
      <c r="N85" s="166">
        <v>2761000</v>
      </c>
      <c r="O85" s="36"/>
    </row>
    <row r="86" spans="1:15" ht="36.75" customHeight="1" x14ac:dyDescent="0.25">
      <c r="F86" s="107" t="s">
        <v>569</v>
      </c>
      <c r="I86" s="184">
        <f t="shared" ref="I86:N86" si="9">+SUM(I53:I85)</f>
        <v>9001727604.5900002</v>
      </c>
      <c r="J86" s="184">
        <f t="shared" si="9"/>
        <v>870727550.95000017</v>
      </c>
      <c r="K86" s="184">
        <f t="shared" si="9"/>
        <v>759854585.31999993</v>
      </c>
      <c r="L86" s="184">
        <f t="shared" si="9"/>
        <v>0</v>
      </c>
      <c r="M86" s="184">
        <f>+SUM(M53:M85)</f>
        <v>-895.60000000000014</v>
      </c>
      <c r="N86" s="184">
        <f t="shared" si="9"/>
        <v>7371144572.7199993</v>
      </c>
      <c r="O86" s="100" t="e">
        <f>+N86+'7.Rendimientos Financieros'!#REF!</f>
        <v>#REF!</v>
      </c>
    </row>
    <row r="87" spans="1:15" ht="75" x14ac:dyDescent="0.25">
      <c r="A87" s="73" t="s">
        <v>23</v>
      </c>
      <c r="B87" s="83">
        <v>901785672</v>
      </c>
      <c r="C87" s="74" t="s">
        <v>175</v>
      </c>
      <c r="D87" s="83" t="s">
        <v>174</v>
      </c>
      <c r="E87" s="75" t="s">
        <v>394</v>
      </c>
      <c r="F87" s="76" t="s">
        <v>572</v>
      </c>
      <c r="G87" s="83">
        <v>261337</v>
      </c>
      <c r="H87" s="72">
        <v>45525</v>
      </c>
      <c r="I87" s="166">
        <v>11196080.57</v>
      </c>
      <c r="J87" s="166">
        <v>1119608.06</v>
      </c>
      <c r="K87" s="166">
        <v>686818.39</v>
      </c>
      <c r="L87" s="166"/>
      <c r="M87" s="166">
        <v>0</v>
      </c>
      <c r="N87" s="166">
        <v>9389654.1199999992</v>
      </c>
      <c r="O87" s="36"/>
    </row>
    <row r="88" spans="1:15" ht="75" x14ac:dyDescent="0.25">
      <c r="A88" s="73" t="s">
        <v>23</v>
      </c>
      <c r="B88" s="83">
        <v>901785680</v>
      </c>
      <c r="C88" s="74" t="s">
        <v>505</v>
      </c>
      <c r="D88" s="83" t="s">
        <v>155</v>
      </c>
      <c r="E88" s="75" t="s">
        <v>394</v>
      </c>
      <c r="F88" s="76" t="s">
        <v>573</v>
      </c>
      <c r="G88" s="83">
        <v>262059</v>
      </c>
      <c r="H88" s="72">
        <v>45531</v>
      </c>
      <c r="I88" s="166">
        <v>21230214.850000001</v>
      </c>
      <c r="J88" s="166">
        <v>2123021.4900000002</v>
      </c>
      <c r="K88" s="166">
        <v>1338038.75</v>
      </c>
      <c r="L88" s="166"/>
      <c r="M88" s="166">
        <v>0</v>
      </c>
      <c r="N88" s="166">
        <v>17769154.609999999</v>
      </c>
      <c r="O88" s="36"/>
    </row>
    <row r="89" spans="1:15" ht="75" x14ac:dyDescent="0.25">
      <c r="A89" s="73" t="s">
        <v>23</v>
      </c>
      <c r="B89" s="83">
        <v>901794652</v>
      </c>
      <c r="C89" s="74" t="s">
        <v>191</v>
      </c>
      <c r="D89" s="83" t="s">
        <v>190</v>
      </c>
      <c r="E89" s="75" t="s">
        <v>394</v>
      </c>
      <c r="F89" s="76" t="s">
        <v>574</v>
      </c>
      <c r="G89" s="83">
        <v>261339</v>
      </c>
      <c r="H89" s="72">
        <v>45525</v>
      </c>
      <c r="I89" s="166">
        <v>476251197.69</v>
      </c>
      <c r="J89" s="166">
        <v>47625119.770000003</v>
      </c>
      <c r="K89" s="166">
        <v>42392340.629999995</v>
      </c>
      <c r="L89" s="166"/>
      <c r="M89" s="166">
        <v>0</v>
      </c>
      <c r="N89" s="166">
        <v>386233737.29000002</v>
      </c>
      <c r="O89" s="36"/>
    </row>
    <row r="90" spans="1:15" ht="75" x14ac:dyDescent="0.25">
      <c r="A90" s="73" t="s">
        <v>23</v>
      </c>
      <c r="B90" s="83">
        <v>900503646</v>
      </c>
      <c r="C90" s="74" t="s">
        <v>194</v>
      </c>
      <c r="D90" s="83" t="s">
        <v>193</v>
      </c>
      <c r="E90" s="75" t="s">
        <v>394</v>
      </c>
      <c r="F90" s="76" t="s">
        <v>575</v>
      </c>
      <c r="G90" s="83">
        <v>261340</v>
      </c>
      <c r="H90" s="72">
        <v>45525</v>
      </c>
      <c r="I90" s="166">
        <v>26815790.190000001</v>
      </c>
      <c r="J90" s="166">
        <v>2681579.02</v>
      </c>
      <c r="K90" s="166">
        <v>1646244.8199999998</v>
      </c>
      <c r="L90" s="166"/>
      <c r="M90" s="166">
        <v>0</v>
      </c>
      <c r="N90" s="166">
        <v>22487966.350000001</v>
      </c>
      <c r="O90" s="36"/>
    </row>
    <row r="91" spans="1:15" ht="120" x14ac:dyDescent="0.25">
      <c r="A91" s="73" t="s">
        <v>23</v>
      </c>
      <c r="B91" s="83">
        <v>900506471</v>
      </c>
      <c r="C91" s="74" t="s">
        <v>570</v>
      </c>
      <c r="D91" s="83" t="s">
        <v>147</v>
      </c>
      <c r="E91" s="75" t="s">
        <v>394</v>
      </c>
      <c r="F91" s="76" t="s">
        <v>576</v>
      </c>
      <c r="G91" s="83">
        <v>262597</v>
      </c>
      <c r="H91" s="72">
        <v>45531</v>
      </c>
      <c r="I91" s="166">
        <v>54256493.090000004</v>
      </c>
      <c r="J91" s="166">
        <v>5425649.3099999996</v>
      </c>
      <c r="K91" s="166">
        <v>3419526.88</v>
      </c>
      <c r="L91" s="166"/>
      <c r="M91" s="166">
        <v>0</v>
      </c>
      <c r="N91" s="166">
        <v>45411316.899999999</v>
      </c>
      <c r="O91" s="36"/>
    </row>
    <row r="92" spans="1:15" ht="75" x14ac:dyDescent="0.25">
      <c r="A92" s="73" t="s">
        <v>23</v>
      </c>
      <c r="B92" s="83">
        <v>900584208</v>
      </c>
      <c r="C92" s="74" t="s">
        <v>145</v>
      </c>
      <c r="D92" s="83" t="s">
        <v>144</v>
      </c>
      <c r="E92" s="75" t="s">
        <v>394</v>
      </c>
      <c r="F92" s="76" t="s">
        <v>577</v>
      </c>
      <c r="G92" s="83">
        <v>262060</v>
      </c>
      <c r="H92" s="72">
        <v>45531</v>
      </c>
      <c r="I92" s="166">
        <v>1410373611.27</v>
      </c>
      <c r="J92" s="166">
        <v>141037361.13</v>
      </c>
      <c r="K92" s="166">
        <v>124142359.72</v>
      </c>
      <c r="L92" s="166"/>
      <c r="M92" s="166">
        <v>0</v>
      </c>
      <c r="N92" s="166">
        <v>1145193890.4199998</v>
      </c>
      <c r="O92" s="36"/>
    </row>
    <row r="93" spans="1:15" ht="75" x14ac:dyDescent="0.25">
      <c r="A93" s="73" t="s">
        <v>23</v>
      </c>
      <c r="B93" s="83">
        <v>900278442</v>
      </c>
      <c r="C93" s="74" t="s">
        <v>199</v>
      </c>
      <c r="D93" s="83" t="s">
        <v>198</v>
      </c>
      <c r="E93" s="75" t="s">
        <v>394</v>
      </c>
      <c r="F93" s="76" t="s">
        <v>578</v>
      </c>
      <c r="G93" s="83">
        <v>261341</v>
      </c>
      <c r="H93" s="72">
        <v>45526</v>
      </c>
      <c r="I93" s="166">
        <v>1617839641.4799998</v>
      </c>
      <c r="J93" s="166">
        <v>161783964.15000001</v>
      </c>
      <c r="K93" s="166">
        <v>143512441.54000002</v>
      </c>
      <c r="L93" s="166"/>
      <c r="M93" s="166">
        <v>0</v>
      </c>
      <c r="N93" s="166">
        <v>1312543235.7899997</v>
      </c>
      <c r="O93" s="36"/>
    </row>
    <row r="94" spans="1:15" ht="75" x14ac:dyDescent="0.25">
      <c r="A94" s="73" t="s">
        <v>23</v>
      </c>
      <c r="B94" s="83">
        <v>900506471</v>
      </c>
      <c r="C94" s="74" t="s">
        <v>202</v>
      </c>
      <c r="D94" s="83" t="s">
        <v>201</v>
      </c>
      <c r="E94" s="75" t="s">
        <v>394</v>
      </c>
      <c r="F94" s="76" t="s">
        <v>579</v>
      </c>
      <c r="G94" s="83">
        <v>261344</v>
      </c>
      <c r="H94" s="72">
        <v>45525</v>
      </c>
      <c r="I94" s="166">
        <v>51102189.100000001</v>
      </c>
      <c r="J94" s="166">
        <v>5110218.91</v>
      </c>
      <c r="K94" s="166">
        <v>3220726.2</v>
      </c>
      <c r="L94" s="166"/>
      <c r="M94" s="166">
        <v>0</v>
      </c>
      <c r="N94" s="166">
        <v>42771243.989999995</v>
      </c>
      <c r="O94" s="36"/>
    </row>
    <row r="95" spans="1:15" ht="75" x14ac:dyDescent="0.25">
      <c r="A95" s="73" t="s">
        <v>23</v>
      </c>
      <c r="B95" s="83">
        <v>901792473</v>
      </c>
      <c r="C95" s="74" t="s">
        <v>254</v>
      </c>
      <c r="D95" s="83" t="s">
        <v>253</v>
      </c>
      <c r="E95" s="75" t="s">
        <v>394</v>
      </c>
      <c r="F95" s="76" t="s">
        <v>580</v>
      </c>
      <c r="G95" s="83">
        <v>261348</v>
      </c>
      <c r="H95" s="72">
        <v>45525</v>
      </c>
      <c r="I95" s="166">
        <v>500965348.56000006</v>
      </c>
      <c r="J95" s="166">
        <v>50096534.859999999</v>
      </c>
      <c r="K95" s="166">
        <v>43761871.890000001</v>
      </c>
      <c r="L95" s="166"/>
      <c r="M95" s="166">
        <v>0</v>
      </c>
      <c r="N95" s="166">
        <v>407106941.81000006</v>
      </c>
      <c r="O95" s="36"/>
    </row>
    <row r="96" spans="1:15" ht="75" x14ac:dyDescent="0.25">
      <c r="A96" s="73" t="s">
        <v>23</v>
      </c>
      <c r="B96" s="83">
        <v>901786317</v>
      </c>
      <c r="C96" s="74" t="s">
        <v>207</v>
      </c>
      <c r="D96" s="83" t="s">
        <v>206</v>
      </c>
      <c r="E96" s="75" t="s">
        <v>394</v>
      </c>
      <c r="F96" s="76" t="s">
        <v>581</v>
      </c>
      <c r="G96" s="83">
        <v>262601</v>
      </c>
      <c r="H96" s="72">
        <v>45531</v>
      </c>
      <c r="I96" s="166">
        <v>2653804702.4000001</v>
      </c>
      <c r="J96" s="166">
        <v>265380470.24000001</v>
      </c>
      <c r="K96" s="166">
        <v>253596038.91999999</v>
      </c>
      <c r="L96" s="166"/>
      <c r="M96" s="166">
        <v>0</v>
      </c>
      <c r="N96" s="166">
        <v>2134828193.2399998</v>
      </c>
      <c r="O96" s="36"/>
    </row>
    <row r="97" spans="1:15" ht="90" x14ac:dyDescent="0.25">
      <c r="A97" s="73" t="s">
        <v>381</v>
      </c>
      <c r="B97" s="83">
        <v>74184643</v>
      </c>
      <c r="C97" s="74" t="s">
        <v>257</v>
      </c>
      <c r="D97" s="83" t="s">
        <v>256</v>
      </c>
      <c r="E97" s="75" t="s">
        <v>394</v>
      </c>
      <c r="F97" s="76" t="s">
        <v>582</v>
      </c>
      <c r="G97" s="83">
        <v>261353</v>
      </c>
      <c r="H97" s="72">
        <v>45525</v>
      </c>
      <c r="I97" s="166">
        <v>31687134.649999999</v>
      </c>
      <c r="J97" s="166">
        <v>3168713.47</v>
      </c>
      <c r="K97" s="166">
        <v>1943832.6199999999</v>
      </c>
      <c r="L97" s="166"/>
      <c r="M97" s="166">
        <v>0</v>
      </c>
      <c r="N97" s="166">
        <v>26574588.559999999</v>
      </c>
      <c r="O97" s="36"/>
    </row>
    <row r="98" spans="1:15" ht="105" x14ac:dyDescent="0.25">
      <c r="A98" s="73" t="s">
        <v>23</v>
      </c>
      <c r="B98" s="83">
        <v>900206662</v>
      </c>
      <c r="C98" s="74" t="s">
        <v>571</v>
      </c>
      <c r="D98" s="83" t="s">
        <v>247</v>
      </c>
      <c r="E98" s="75" t="s">
        <v>394</v>
      </c>
      <c r="F98" s="76" t="s">
        <v>583</v>
      </c>
      <c r="G98" s="83">
        <v>262062</v>
      </c>
      <c r="H98" s="72">
        <v>45531</v>
      </c>
      <c r="I98" s="166">
        <v>110194000</v>
      </c>
      <c r="J98" s="166">
        <v>11019400</v>
      </c>
      <c r="K98" s="166">
        <v>12964000</v>
      </c>
      <c r="L98" s="166"/>
      <c r="M98" s="166">
        <v>0</v>
      </c>
      <c r="N98" s="166">
        <v>86210600</v>
      </c>
      <c r="O98" s="36"/>
    </row>
    <row r="99" spans="1:15" ht="90" x14ac:dyDescent="0.25">
      <c r="A99" s="73" t="s">
        <v>23</v>
      </c>
      <c r="B99" s="83">
        <v>901804711</v>
      </c>
      <c r="C99" s="74" t="s">
        <v>250</v>
      </c>
      <c r="D99" s="83" t="s">
        <v>249</v>
      </c>
      <c r="E99" s="75" t="s">
        <v>394</v>
      </c>
      <c r="F99" s="76" t="s">
        <v>584</v>
      </c>
      <c r="G99" s="83">
        <v>262063</v>
      </c>
      <c r="H99" s="72">
        <v>45531</v>
      </c>
      <c r="I99" s="166">
        <v>72295608</v>
      </c>
      <c r="J99" s="166">
        <v>7229560.8000000026</v>
      </c>
      <c r="K99" s="166">
        <v>4556445.8899999997</v>
      </c>
      <c r="L99" s="166"/>
      <c r="M99" s="166">
        <v>0</v>
      </c>
      <c r="N99" s="166">
        <v>60509601.309999995</v>
      </c>
      <c r="O99" s="36"/>
    </row>
    <row r="100" spans="1:15" ht="105" x14ac:dyDescent="0.25">
      <c r="A100" s="73" t="s">
        <v>23</v>
      </c>
      <c r="B100" s="83">
        <v>900206662</v>
      </c>
      <c r="C100" s="74" t="s">
        <v>571</v>
      </c>
      <c r="D100" s="83" t="s">
        <v>160</v>
      </c>
      <c r="E100" s="75" t="s">
        <v>394</v>
      </c>
      <c r="F100" s="76" t="s">
        <v>585</v>
      </c>
      <c r="G100" s="83">
        <v>262606</v>
      </c>
      <c r="H100" s="72">
        <v>45531</v>
      </c>
      <c r="I100" s="166">
        <v>51039993.000000015</v>
      </c>
      <c r="J100" s="166">
        <v>5103999.3000000007</v>
      </c>
      <c r="K100" s="166">
        <v>5511227.4900000002</v>
      </c>
      <c r="L100" s="166"/>
      <c r="M100" s="166">
        <v>0</v>
      </c>
      <c r="N100" s="166">
        <v>40424766.210000001</v>
      </c>
      <c r="O100" s="36"/>
    </row>
    <row r="101" spans="1:15" ht="105" x14ac:dyDescent="0.25">
      <c r="A101" s="73" t="s">
        <v>23</v>
      </c>
      <c r="B101" s="83">
        <v>901786162</v>
      </c>
      <c r="C101" s="74" t="s">
        <v>163</v>
      </c>
      <c r="D101" s="83" t="s">
        <v>162</v>
      </c>
      <c r="E101" s="75" t="s">
        <v>394</v>
      </c>
      <c r="F101" s="76" t="s">
        <v>586</v>
      </c>
      <c r="G101" s="83">
        <v>262608</v>
      </c>
      <c r="H101" s="72">
        <v>45531</v>
      </c>
      <c r="I101" s="166">
        <v>33713404.000000007</v>
      </c>
      <c r="J101" s="166">
        <v>3371340.4</v>
      </c>
      <c r="K101" s="166">
        <v>2082143.95</v>
      </c>
      <c r="L101" s="166"/>
      <c r="M101" s="166">
        <v>0</v>
      </c>
      <c r="N101" s="166">
        <v>28259919.65000001</v>
      </c>
      <c r="O101" s="36"/>
    </row>
    <row r="102" spans="1:15" ht="120" x14ac:dyDescent="0.25">
      <c r="A102" s="73" t="s">
        <v>23</v>
      </c>
      <c r="B102" s="83">
        <v>900206662</v>
      </c>
      <c r="C102" s="74" t="s">
        <v>571</v>
      </c>
      <c r="D102" s="83" t="s">
        <v>160</v>
      </c>
      <c r="E102" s="75" t="s">
        <v>394</v>
      </c>
      <c r="F102" s="76" t="s">
        <v>587</v>
      </c>
      <c r="G102" s="83">
        <v>262777</v>
      </c>
      <c r="H102" s="72">
        <v>45531</v>
      </c>
      <c r="I102" s="166">
        <v>844519313.88999999</v>
      </c>
      <c r="J102" s="166">
        <v>84451931.390000001</v>
      </c>
      <c r="K102" s="166">
        <v>73294761.659999996</v>
      </c>
      <c r="L102" s="166"/>
      <c r="M102" s="166">
        <v>0</v>
      </c>
      <c r="N102" s="166">
        <v>686772620.84000003</v>
      </c>
      <c r="O102" s="36"/>
    </row>
    <row r="103" spans="1:15" ht="120" x14ac:dyDescent="0.25">
      <c r="A103" s="73" t="s">
        <v>23</v>
      </c>
      <c r="B103" s="83">
        <v>901786162</v>
      </c>
      <c r="C103" s="74" t="s">
        <v>163</v>
      </c>
      <c r="D103" s="83" t="s">
        <v>162</v>
      </c>
      <c r="E103" s="75" t="s">
        <v>394</v>
      </c>
      <c r="F103" s="76" t="s">
        <v>588</v>
      </c>
      <c r="G103" s="83">
        <v>262064</v>
      </c>
      <c r="H103" s="72">
        <v>45531</v>
      </c>
      <c r="I103" s="166">
        <v>72252726.730000004</v>
      </c>
      <c r="J103" s="166">
        <v>7225272.6699999999</v>
      </c>
      <c r="K103" s="166">
        <v>4426942.53</v>
      </c>
      <c r="L103" s="166"/>
      <c r="M103" s="166">
        <v>0</v>
      </c>
      <c r="N103" s="166">
        <v>60600511.530000001</v>
      </c>
      <c r="O103" s="36"/>
    </row>
    <row r="104" spans="1:15" ht="120" x14ac:dyDescent="0.25">
      <c r="A104" s="73" t="s">
        <v>381</v>
      </c>
      <c r="B104" s="83">
        <v>12754374</v>
      </c>
      <c r="C104" s="74" t="s">
        <v>269</v>
      </c>
      <c r="D104" s="83" t="s">
        <v>268</v>
      </c>
      <c r="E104" s="75" t="s">
        <v>394</v>
      </c>
      <c r="F104" s="76" t="s">
        <v>589</v>
      </c>
      <c r="G104" s="83">
        <v>262066</v>
      </c>
      <c r="H104" s="72">
        <v>45532</v>
      </c>
      <c r="I104" s="166">
        <v>325173472.19999999</v>
      </c>
      <c r="J104" s="166">
        <v>32517347.22000001</v>
      </c>
      <c r="K104" s="166">
        <v>33883622.300000004</v>
      </c>
      <c r="L104" s="166"/>
      <c r="M104" s="166">
        <v>0</v>
      </c>
      <c r="N104" s="166">
        <v>258772502.67999995</v>
      </c>
      <c r="O104" s="36"/>
    </row>
    <row r="105" spans="1:15" ht="105" x14ac:dyDescent="0.25">
      <c r="A105" s="73" t="s">
        <v>23</v>
      </c>
      <c r="B105" s="83">
        <v>901803620</v>
      </c>
      <c r="C105" s="74" t="s">
        <v>285</v>
      </c>
      <c r="D105" s="83" t="s">
        <v>284</v>
      </c>
      <c r="E105" s="75" t="s">
        <v>394</v>
      </c>
      <c r="F105" s="76" t="s">
        <v>590</v>
      </c>
      <c r="G105" s="83">
        <v>261721</v>
      </c>
      <c r="H105" s="72">
        <v>45527</v>
      </c>
      <c r="I105" s="166">
        <v>285710372.81</v>
      </c>
      <c r="J105" s="166">
        <v>28571037.280000001</v>
      </c>
      <c r="K105" s="166">
        <v>23928419.329999998</v>
      </c>
      <c r="L105" s="166"/>
      <c r="M105" s="166">
        <v>0</v>
      </c>
      <c r="N105" s="166">
        <v>233210916.19999999</v>
      </c>
      <c r="O105" s="36"/>
    </row>
    <row r="106" spans="1:15" ht="105" x14ac:dyDescent="0.25">
      <c r="A106" s="73" t="s">
        <v>23</v>
      </c>
      <c r="B106" s="83">
        <v>901803620</v>
      </c>
      <c r="C106" s="74" t="s">
        <v>285</v>
      </c>
      <c r="D106" s="83" t="s">
        <v>284</v>
      </c>
      <c r="E106" s="75" t="s">
        <v>394</v>
      </c>
      <c r="F106" s="76" t="s">
        <v>591</v>
      </c>
      <c r="G106" s="83">
        <v>261723</v>
      </c>
      <c r="H106" s="72">
        <v>45527</v>
      </c>
      <c r="I106" s="166">
        <v>55698943.649999999</v>
      </c>
      <c r="J106" s="166">
        <v>5569894.3600000003</v>
      </c>
      <c r="K106" s="166">
        <v>5710311.879999999</v>
      </c>
      <c r="L106" s="166"/>
      <c r="M106" s="166">
        <v>0</v>
      </c>
      <c r="N106" s="166">
        <v>44418737.409999996</v>
      </c>
      <c r="O106" s="36"/>
    </row>
    <row r="107" spans="1:15" ht="135" x14ac:dyDescent="0.25">
      <c r="A107" s="73" t="s">
        <v>23</v>
      </c>
      <c r="B107" s="83">
        <v>901808735</v>
      </c>
      <c r="C107" s="74" t="s">
        <v>272</v>
      </c>
      <c r="D107" s="83" t="s">
        <v>271</v>
      </c>
      <c r="E107" s="75" t="s">
        <v>394</v>
      </c>
      <c r="F107" s="76" t="s">
        <v>592</v>
      </c>
      <c r="G107" s="83">
        <v>262067</v>
      </c>
      <c r="H107" s="72">
        <v>45531</v>
      </c>
      <c r="I107" s="166">
        <v>137248989.29999998</v>
      </c>
      <c r="J107" s="166">
        <v>13724898.93</v>
      </c>
      <c r="K107" s="166">
        <v>8534811.0899999999</v>
      </c>
      <c r="L107" s="166"/>
      <c r="M107" s="166">
        <v>0</v>
      </c>
      <c r="N107" s="166">
        <v>114989279.27999997</v>
      </c>
      <c r="O107" s="36"/>
    </row>
    <row r="108" spans="1:15" ht="105" x14ac:dyDescent="0.25">
      <c r="A108" s="73" t="s">
        <v>381</v>
      </c>
      <c r="B108" s="83">
        <v>9050725</v>
      </c>
      <c r="C108" s="74" t="s">
        <v>288</v>
      </c>
      <c r="D108" s="83" t="s">
        <v>287</v>
      </c>
      <c r="E108" s="75" t="s">
        <v>394</v>
      </c>
      <c r="F108" s="76" t="s">
        <v>593</v>
      </c>
      <c r="G108" s="83">
        <v>263327</v>
      </c>
      <c r="H108" s="72">
        <v>45531</v>
      </c>
      <c r="I108" s="166">
        <v>21889133.399999999</v>
      </c>
      <c r="J108" s="166">
        <v>2188913.34</v>
      </c>
      <c r="K108" s="166">
        <v>1324384.55</v>
      </c>
      <c r="L108" s="166"/>
      <c r="M108" s="166">
        <v>0</v>
      </c>
      <c r="N108" s="166">
        <v>18375835.509999998</v>
      </c>
      <c r="O108" s="36"/>
    </row>
    <row r="109" spans="1:15" ht="105" x14ac:dyDescent="0.25">
      <c r="A109" s="73" t="s">
        <v>381</v>
      </c>
      <c r="B109" s="83">
        <v>9050725</v>
      </c>
      <c r="C109" s="74" t="s">
        <v>288</v>
      </c>
      <c r="D109" s="83" t="s">
        <v>287</v>
      </c>
      <c r="E109" s="75" t="s">
        <v>394</v>
      </c>
      <c r="F109" s="76" t="s">
        <v>594</v>
      </c>
      <c r="G109" s="83">
        <v>262068</v>
      </c>
      <c r="H109" s="72">
        <v>45531</v>
      </c>
      <c r="I109" s="166">
        <v>43074745.740000002</v>
      </c>
      <c r="J109" s="166">
        <v>4307474.57</v>
      </c>
      <c r="K109" s="166">
        <v>2705009.33</v>
      </c>
      <c r="L109" s="166"/>
      <c r="M109" s="166">
        <v>0</v>
      </c>
      <c r="N109" s="166">
        <v>36062261.840000004</v>
      </c>
      <c r="O109" s="36"/>
    </row>
    <row r="110" spans="1:15" ht="30" x14ac:dyDescent="0.25">
      <c r="A110" s="73" t="s">
        <v>23</v>
      </c>
      <c r="B110" s="83">
        <v>800096808</v>
      </c>
      <c r="C110" s="74" t="s">
        <v>548</v>
      </c>
      <c r="D110" s="83" t="s">
        <v>60</v>
      </c>
      <c r="E110" s="75" t="s">
        <v>378</v>
      </c>
      <c r="F110" s="76" t="s">
        <v>597</v>
      </c>
      <c r="G110" s="83" t="s">
        <v>60</v>
      </c>
      <c r="H110" s="72">
        <v>45510</v>
      </c>
      <c r="I110" s="166">
        <v>25611352.140000001</v>
      </c>
      <c r="J110" s="166"/>
      <c r="K110" s="166">
        <v>0</v>
      </c>
      <c r="L110" s="166"/>
      <c r="M110" s="166">
        <f t="shared" ref="M110:M116" si="10">+ROUND(N110-I110,2)</f>
        <v>-352.14</v>
      </c>
      <c r="N110" s="166">
        <v>25611000</v>
      </c>
      <c r="O110" s="36"/>
    </row>
    <row r="111" spans="1:15" ht="30" x14ac:dyDescent="0.25">
      <c r="A111" s="73" t="s">
        <v>23</v>
      </c>
      <c r="B111" s="83">
        <v>899999090</v>
      </c>
      <c r="C111" s="74" t="s">
        <v>547</v>
      </c>
      <c r="D111" s="83" t="s">
        <v>60</v>
      </c>
      <c r="E111" s="75" t="s">
        <v>378</v>
      </c>
      <c r="F111" s="76" t="s">
        <v>598</v>
      </c>
      <c r="G111" s="83" t="s">
        <v>60</v>
      </c>
      <c r="H111" s="72">
        <v>45516</v>
      </c>
      <c r="I111" s="166">
        <v>393924093.23999995</v>
      </c>
      <c r="J111" s="166"/>
      <c r="K111" s="166">
        <v>0</v>
      </c>
      <c r="L111" s="166"/>
      <c r="M111" s="166">
        <f t="shared" si="10"/>
        <v>-93.24</v>
      </c>
      <c r="N111" s="166">
        <v>393924000</v>
      </c>
      <c r="O111" s="36"/>
    </row>
    <row r="112" spans="1:15" ht="30" x14ac:dyDescent="0.25">
      <c r="A112" s="73" t="s">
        <v>23</v>
      </c>
      <c r="B112" s="83">
        <v>800102801</v>
      </c>
      <c r="C112" s="74" t="s">
        <v>551</v>
      </c>
      <c r="D112" s="83" t="s">
        <v>60</v>
      </c>
      <c r="E112" s="75" t="s">
        <v>378</v>
      </c>
      <c r="F112" s="76" t="s">
        <v>599</v>
      </c>
      <c r="G112" s="83" t="s">
        <v>60</v>
      </c>
      <c r="H112" s="72">
        <v>45518</v>
      </c>
      <c r="I112" s="166">
        <v>12985072.640000001</v>
      </c>
      <c r="J112" s="166"/>
      <c r="K112" s="166">
        <v>0</v>
      </c>
      <c r="L112" s="166"/>
      <c r="M112" s="166">
        <f t="shared" si="10"/>
        <v>-72.64</v>
      </c>
      <c r="N112" s="166">
        <v>12985000</v>
      </c>
      <c r="O112" s="36"/>
    </row>
    <row r="113" spans="1:15" ht="30" x14ac:dyDescent="0.25">
      <c r="A113" s="73" t="s">
        <v>23</v>
      </c>
      <c r="B113" s="83">
        <v>800096585</v>
      </c>
      <c r="C113" s="74" t="s">
        <v>451</v>
      </c>
      <c r="D113" s="83" t="s">
        <v>60</v>
      </c>
      <c r="E113" s="75" t="s">
        <v>378</v>
      </c>
      <c r="F113" s="76" t="s">
        <v>600</v>
      </c>
      <c r="G113" s="83" t="s">
        <v>60</v>
      </c>
      <c r="H113" s="72">
        <v>45518</v>
      </c>
      <c r="I113" s="166">
        <v>364258</v>
      </c>
      <c r="J113" s="166"/>
      <c r="K113" s="166">
        <v>0</v>
      </c>
      <c r="L113" s="166"/>
      <c r="M113" s="166">
        <f t="shared" si="10"/>
        <v>-258</v>
      </c>
      <c r="N113" s="166">
        <v>364000</v>
      </c>
      <c r="O113" s="36"/>
    </row>
    <row r="114" spans="1:15" ht="30" x14ac:dyDescent="0.25">
      <c r="A114" s="73" t="s">
        <v>23</v>
      </c>
      <c r="B114" s="83">
        <v>891500856</v>
      </c>
      <c r="C114" s="74" t="s">
        <v>595</v>
      </c>
      <c r="D114" s="83" t="s">
        <v>60</v>
      </c>
      <c r="E114" s="75" t="s">
        <v>378</v>
      </c>
      <c r="F114" s="76" t="s">
        <v>601</v>
      </c>
      <c r="G114" s="83" t="s">
        <v>60</v>
      </c>
      <c r="H114" s="72">
        <v>45524</v>
      </c>
      <c r="I114" s="166">
        <v>3079529.36</v>
      </c>
      <c r="J114" s="166"/>
      <c r="K114" s="166">
        <v>0</v>
      </c>
      <c r="L114" s="166"/>
      <c r="M114" s="166">
        <f t="shared" si="10"/>
        <v>470.64</v>
      </c>
      <c r="N114" s="166">
        <v>3080000</v>
      </c>
      <c r="O114" s="36"/>
    </row>
    <row r="115" spans="1:15" ht="30" x14ac:dyDescent="0.25">
      <c r="A115" s="73" t="s">
        <v>23</v>
      </c>
      <c r="B115" s="83">
        <v>891500982</v>
      </c>
      <c r="C115" s="74" t="s">
        <v>596</v>
      </c>
      <c r="D115" s="83" t="s">
        <v>60</v>
      </c>
      <c r="E115" s="75" t="s">
        <v>378</v>
      </c>
      <c r="F115" s="76" t="s">
        <v>602</v>
      </c>
      <c r="G115" s="83" t="s">
        <v>60</v>
      </c>
      <c r="H115" s="72">
        <v>45524</v>
      </c>
      <c r="I115" s="166">
        <v>1204315.55</v>
      </c>
      <c r="J115" s="166"/>
      <c r="K115" s="166">
        <v>0</v>
      </c>
      <c r="L115" s="166"/>
      <c r="M115" s="166">
        <f t="shared" si="10"/>
        <v>-315.55</v>
      </c>
      <c r="N115" s="166">
        <v>1204000</v>
      </c>
      <c r="O115" s="36"/>
    </row>
    <row r="116" spans="1:15" ht="45" x14ac:dyDescent="0.25">
      <c r="A116" s="73" t="s">
        <v>23</v>
      </c>
      <c r="B116" s="83">
        <v>800197268</v>
      </c>
      <c r="C116" s="74" t="s">
        <v>557</v>
      </c>
      <c r="D116" s="83" t="s">
        <v>60</v>
      </c>
      <c r="E116" s="75" t="s">
        <v>378</v>
      </c>
      <c r="F116" s="76" t="s">
        <v>603</v>
      </c>
      <c r="G116" s="83" t="s">
        <v>60</v>
      </c>
      <c r="H116" s="72">
        <v>45530</v>
      </c>
      <c r="I116" s="166">
        <v>212544864.56999996</v>
      </c>
      <c r="J116" s="166"/>
      <c r="K116" s="166">
        <v>0</v>
      </c>
      <c r="L116" s="166"/>
      <c r="M116" s="166">
        <f t="shared" si="10"/>
        <v>135.43</v>
      </c>
      <c r="N116" s="166">
        <v>212545000</v>
      </c>
      <c r="O116" s="36"/>
    </row>
    <row r="117" spans="1:15" ht="36.75" customHeight="1" x14ac:dyDescent="0.25">
      <c r="F117" s="107" t="s">
        <v>617</v>
      </c>
      <c r="I117" s="184">
        <f>+SUM(I87:I116)</f>
        <v>9558046592.069994</v>
      </c>
      <c r="J117" s="184">
        <f t="shared" ref="J117:N117" si="11">+SUM(J87:J116)</f>
        <v>890833310.66999996</v>
      </c>
      <c r="K117" s="184">
        <f t="shared" si="11"/>
        <v>798582320.36000001</v>
      </c>
      <c r="L117" s="184">
        <f t="shared" si="11"/>
        <v>0</v>
      </c>
      <c r="M117" s="184">
        <f t="shared" si="11"/>
        <v>-485.50000000000006</v>
      </c>
      <c r="N117" s="184">
        <f t="shared" si="11"/>
        <v>7868630475.539999</v>
      </c>
      <c r="O117" s="100" t="e">
        <f>+N117+'7.Rendimientos Financieros'!#REF!</f>
        <v>#REF!</v>
      </c>
    </row>
    <row r="118" spans="1:15" ht="75" x14ac:dyDescent="0.25">
      <c r="A118" s="73" t="s">
        <v>23</v>
      </c>
      <c r="B118" s="83">
        <v>900278442</v>
      </c>
      <c r="C118" s="74" t="s">
        <v>199</v>
      </c>
      <c r="D118" s="83" t="s">
        <v>198</v>
      </c>
      <c r="E118" s="75" t="s">
        <v>394</v>
      </c>
      <c r="F118" s="76" t="s">
        <v>618</v>
      </c>
      <c r="G118" s="83">
        <v>265560</v>
      </c>
      <c r="H118" s="72">
        <v>45554</v>
      </c>
      <c r="I118" s="166">
        <v>984451474.37</v>
      </c>
      <c r="J118" s="166">
        <v>98445147.439999998</v>
      </c>
      <c r="K118" s="166">
        <v>87574084.859999999</v>
      </c>
      <c r="L118" s="166"/>
      <c r="M118" s="166"/>
      <c r="N118" s="166">
        <f>+I118-J118-K118</f>
        <v>798432242.07000005</v>
      </c>
      <c r="O118" s="36"/>
    </row>
    <row r="119" spans="1:15" ht="75" x14ac:dyDescent="0.25">
      <c r="A119" s="73" t="s">
        <v>23</v>
      </c>
      <c r="B119" s="83">
        <v>900506471</v>
      </c>
      <c r="C119" s="74" t="s">
        <v>202</v>
      </c>
      <c r="D119" s="83" t="s">
        <v>201</v>
      </c>
      <c r="E119" s="75" t="s">
        <v>394</v>
      </c>
      <c r="F119" s="76" t="s">
        <v>619</v>
      </c>
      <c r="G119" s="83">
        <v>265563</v>
      </c>
      <c r="H119" s="72">
        <v>45551</v>
      </c>
      <c r="I119" s="166">
        <v>28515439.18</v>
      </c>
      <c r="J119" s="166">
        <v>2851543.92</v>
      </c>
      <c r="K119" s="166">
        <v>1797191.55</v>
      </c>
      <c r="L119" s="166"/>
      <c r="M119" s="166"/>
      <c r="N119" s="166">
        <f t="shared" ref="N119:N148" si="12">+I119-J119-K119</f>
        <v>23866703.709999997</v>
      </c>
      <c r="O119" s="36"/>
    </row>
    <row r="120" spans="1:15" ht="105" x14ac:dyDescent="0.25">
      <c r="A120" s="73" t="s">
        <v>23</v>
      </c>
      <c r="B120" s="83">
        <v>901830037</v>
      </c>
      <c r="C120" s="74" t="s">
        <v>437</v>
      </c>
      <c r="D120" s="83" t="s">
        <v>436</v>
      </c>
      <c r="E120" s="75" t="s">
        <v>394</v>
      </c>
      <c r="F120" s="76" t="s">
        <v>620</v>
      </c>
      <c r="G120" s="83">
        <v>265801</v>
      </c>
      <c r="H120" s="72">
        <v>45552</v>
      </c>
      <c r="I120" s="166">
        <v>48912801</v>
      </c>
      <c r="J120" s="166">
        <v>4891280.1000000006</v>
      </c>
      <c r="K120" s="166">
        <v>3164945.94</v>
      </c>
      <c r="L120" s="166"/>
      <c r="M120" s="166"/>
      <c r="N120" s="166">
        <f t="shared" si="12"/>
        <v>40856574.960000001</v>
      </c>
      <c r="O120" s="36"/>
    </row>
    <row r="121" spans="1:15" ht="90" x14ac:dyDescent="0.25">
      <c r="A121" s="73" t="s">
        <v>23</v>
      </c>
      <c r="B121" s="83">
        <v>901804711</v>
      </c>
      <c r="C121" s="74" t="s">
        <v>250</v>
      </c>
      <c r="D121" s="83" t="s">
        <v>249</v>
      </c>
      <c r="E121" s="75" t="s">
        <v>394</v>
      </c>
      <c r="F121" s="76" t="s">
        <v>621</v>
      </c>
      <c r="G121" s="83">
        <v>267223</v>
      </c>
      <c r="H121" s="72">
        <v>45559</v>
      </c>
      <c r="I121" s="166">
        <v>61974013.439999998</v>
      </c>
      <c r="J121" s="166">
        <v>6197401.3399999999</v>
      </c>
      <c r="K121" s="166">
        <v>3905925.21</v>
      </c>
      <c r="L121" s="166"/>
      <c r="M121" s="166"/>
      <c r="N121" s="166">
        <f t="shared" si="12"/>
        <v>51870686.889999993</v>
      </c>
      <c r="O121" s="36"/>
    </row>
    <row r="122" spans="1:15" ht="75" x14ac:dyDescent="0.25">
      <c r="A122" s="73" t="s">
        <v>381</v>
      </c>
      <c r="B122" s="83">
        <v>59312287</v>
      </c>
      <c r="C122" s="74" t="s">
        <v>172</v>
      </c>
      <c r="D122" s="83" t="s">
        <v>171</v>
      </c>
      <c r="E122" s="75" t="s">
        <v>394</v>
      </c>
      <c r="F122" s="76" t="s">
        <v>622</v>
      </c>
      <c r="G122" s="83">
        <v>266880</v>
      </c>
      <c r="H122" s="72">
        <v>45558</v>
      </c>
      <c r="I122" s="166">
        <v>330065316.52999997</v>
      </c>
      <c r="J122" s="166">
        <v>33006531.649999999</v>
      </c>
      <c r="K122" s="166">
        <v>29099200.550000001</v>
      </c>
      <c r="L122" s="166"/>
      <c r="M122" s="166"/>
      <c r="N122" s="166">
        <f t="shared" si="12"/>
        <v>267959584.32999998</v>
      </c>
      <c r="O122" s="36"/>
    </row>
    <row r="123" spans="1:15" ht="75" x14ac:dyDescent="0.25">
      <c r="A123" s="73" t="s">
        <v>23</v>
      </c>
      <c r="B123" s="83">
        <v>901785672</v>
      </c>
      <c r="C123" s="74" t="s">
        <v>175</v>
      </c>
      <c r="D123" s="83" t="s">
        <v>174</v>
      </c>
      <c r="E123" s="75" t="s">
        <v>394</v>
      </c>
      <c r="F123" s="76" t="s">
        <v>623</v>
      </c>
      <c r="G123" s="83">
        <v>265566</v>
      </c>
      <c r="H123" s="72">
        <v>45551</v>
      </c>
      <c r="I123" s="166">
        <v>20336995.530000001</v>
      </c>
      <c r="J123" s="166">
        <v>2033699.55</v>
      </c>
      <c r="K123" s="166">
        <v>1247563.5900000001</v>
      </c>
      <c r="L123" s="166"/>
      <c r="M123" s="166"/>
      <c r="N123" s="166">
        <f t="shared" si="12"/>
        <v>17055732.390000001</v>
      </c>
      <c r="O123" s="36"/>
    </row>
    <row r="124" spans="1:15" ht="75" x14ac:dyDescent="0.25">
      <c r="A124" s="73" t="s">
        <v>23</v>
      </c>
      <c r="B124" s="83">
        <v>900584208</v>
      </c>
      <c r="C124" s="74" t="s">
        <v>145</v>
      </c>
      <c r="D124" s="83" t="s">
        <v>144</v>
      </c>
      <c r="E124" s="75" t="s">
        <v>394</v>
      </c>
      <c r="F124" s="76" t="s">
        <v>624</v>
      </c>
      <c r="G124" s="83">
        <v>265802</v>
      </c>
      <c r="H124" s="72">
        <v>45552</v>
      </c>
      <c r="I124" s="166">
        <v>1493181308.1800001</v>
      </c>
      <c r="J124" s="166">
        <v>149318130.81999999</v>
      </c>
      <c r="K124" s="166">
        <v>131515012.36</v>
      </c>
      <c r="L124" s="166"/>
      <c r="M124" s="166"/>
      <c r="N124" s="166">
        <f t="shared" si="12"/>
        <v>1212348165.0000002</v>
      </c>
      <c r="O124" s="36"/>
    </row>
    <row r="125" spans="1:15" ht="120" x14ac:dyDescent="0.25">
      <c r="A125" s="73" t="s">
        <v>23</v>
      </c>
      <c r="B125" s="83">
        <v>900506471</v>
      </c>
      <c r="C125" s="74" t="s">
        <v>570</v>
      </c>
      <c r="D125" s="83" t="s">
        <v>147</v>
      </c>
      <c r="E125" s="75" t="s">
        <v>394</v>
      </c>
      <c r="F125" s="76" t="s">
        <v>625</v>
      </c>
      <c r="G125" s="83">
        <v>265964</v>
      </c>
      <c r="H125" s="72">
        <v>45553</v>
      </c>
      <c r="I125" s="166">
        <v>59462231.780000001</v>
      </c>
      <c r="J125" s="166">
        <v>5946223.1799999997</v>
      </c>
      <c r="K125" s="166">
        <v>3747619.6500000004</v>
      </c>
      <c r="L125" s="166"/>
      <c r="M125" s="166"/>
      <c r="N125" s="166">
        <f t="shared" si="12"/>
        <v>49768388.950000003</v>
      </c>
      <c r="O125" s="36"/>
    </row>
    <row r="126" spans="1:15" ht="75" x14ac:dyDescent="0.25">
      <c r="A126" s="73" t="s">
        <v>23</v>
      </c>
      <c r="B126" s="83">
        <v>901794652</v>
      </c>
      <c r="C126" s="74" t="s">
        <v>191</v>
      </c>
      <c r="D126" s="83" t="s">
        <v>190</v>
      </c>
      <c r="E126" s="75" t="s">
        <v>394</v>
      </c>
      <c r="F126" s="76" t="s">
        <v>626</v>
      </c>
      <c r="G126" s="83">
        <v>265967</v>
      </c>
      <c r="H126" s="72">
        <v>45554</v>
      </c>
      <c r="I126" s="166">
        <v>6264160</v>
      </c>
      <c r="J126" s="166">
        <v>626416</v>
      </c>
      <c r="K126" s="166">
        <v>676424</v>
      </c>
      <c r="L126" s="166"/>
      <c r="M126" s="166"/>
      <c r="N126" s="166">
        <f t="shared" si="12"/>
        <v>4961320</v>
      </c>
      <c r="O126" s="36"/>
    </row>
    <row r="127" spans="1:15" ht="60" x14ac:dyDescent="0.25">
      <c r="A127" s="73" t="s">
        <v>23</v>
      </c>
      <c r="B127" s="83">
        <v>900503646</v>
      </c>
      <c r="C127" s="74" t="s">
        <v>194</v>
      </c>
      <c r="D127" s="83" t="s">
        <v>193</v>
      </c>
      <c r="E127" s="75" t="s">
        <v>394</v>
      </c>
      <c r="F127" s="76" t="s">
        <v>627</v>
      </c>
      <c r="G127" s="83">
        <v>267232</v>
      </c>
      <c r="H127" s="72">
        <v>45559</v>
      </c>
      <c r="I127" s="166">
        <v>39846871.439999998</v>
      </c>
      <c r="J127" s="166">
        <v>3984687.14</v>
      </c>
      <c r="K127" s="166">
        <v>2451690.92</v>
      </c>
      <c r="L127" s="166"/>
      <c r="M127" s="166"/>
      <c r="N127" s="166">
        <f t="shared" si="12"/>
        <v>33410493.379999995</v>
      </c>
      <c r="O127" s="36"/>
    </row>
    <row r="128" spans="1:15" ht="75" x14ac:dyDescent="0.25">
      <c r="A128" s="73" t="s">
        <v>23</v>
      </c>
      <c r="B128" s="83">
        <v>900503646</v>
      </c>
      <c r="C128" s="74" t="s">
        <v>194</v>
      </c>
      <c r="D128" s="83" t="s">
        <v>193</v>
      </c>
      <c r="E128" s="75" t="s">
        <v>394</v>
      </c>
      <c r="F128" s="76" t="s">
        <v>628</v>
      </c>
      <c r="G128" s="83">
        <v>266613</v>
      </c>
      <c r="H128" s="72">
        <v>45554</v>
      </c>
      <c r="I128" s="166">
        <v>4384800</v>
      </c>
      <c r="J128" s="166">
        <v>438480</v>
      </c>
      <c r="K128" s="166">
        <v>270825.88</v>
      </c>
      <c r="L128" s="166"/>
      <c r="M128" s="166"/>
      <c r="N128" s="166">
        <f t="shared" si="12"/>
        <v>3675494.12</v>
      </c>
      <c r="O128" s="36"/>
    </row>
    <row r="129" spans="1:15" ht="75" x14ac:dyDescent="0.25">
      <c r="A129" s="73" t="s">
        <v>23</v>
      </c>
      <c r="B129" s="83">
        <v>901792473</v>
      </c>
      <c r="C129" s="74" t="s">
        <v>254</v>
      </c>
      <c r="D129" s="83" t="s">
        <v>253</v>
      </c>
      <c r="E129" s="75" t="s">
        <v>394</v>
      </c>
      <c r="F129" s="76" t="s">
        <v>629</v>
      </c>
      <c r="G129" s="83">
        <v>266883</v>
      </c>
      <c r="H129" s="72">
        <v>45559</v>
      </c>
      <c r="I129" s="166">
        <v>5783333.2000000002</v>
      </c>
      <c r="J129" s="166">
        <v>578333.31999999995</v>
      </c>
      <c r="K129" s="166">
        <v>622072.82000000007</v>
      </c>
      <c r="L129" s="166"/>
      <c r="M129" s="166"/>
      <c r="N129" s="166">
        <f t="shared" si="12"/>
        <v>4582927.0599999996</v>
      </c>
      <c r="O129" s="36"/>
    </row>
    <row r="130" spans="1:15" ht="75" x14ac:dyDescent="0.25">
      <c r="A130" s="73" t="s">
        <v>23</v>
      </c>
      <c r="B130" s="83">
        <v>901794652</v>
      </c>
      <c r="C130" s="74" t="s">
        <v>191</v>
      </c>
      <c r="D130" s="83" t="s">
        <v>190</v>
      </c>
      <c r="E130" s="75" t="s">
        <v>394</v>
      </c>
      <c r="F130" s="76" t="s">
        <v>630</v>
      </c>
      <c r="G130" s="83">
        <v>265968</v>
      </c>
      <c r="H130" s="72">
        <v>45554</v>
      </c>
      <c r="I130" s="166">
        <v>984666118.42999995</v>
      </c>
      <c r="J130" s="166">
        <v>98466611.840000004</v>
      </c>
      <c r="K130" s="166">
        <v>87948854.99000001</v>
      </c>
      <c r="L130" s="166"/>
      <c r="M130" s="166"/>
      <c r="N130" s="166">
        <f t="shared" si="12"/>
        <v>798250651.5999999</v>
      </c>
      <c r="O130" s="36"/>
    </row>
    <row r="131" spans="1:15" ht="75" x14ac:dyDescent="0.25">
      <c r="A131" s="73" t="s">
        <v>23</v>
      </c>
      <c r="B131" s="83">
        <v>901786131</v>
      </c>
      <c r="C131" s="74" t="s">
        <v>210</v>
      </c>
      <c r="D131" s="83" t="s">
        <v>209</v>
      </c>
      <c r="E131" s="75" t="s">
        <v>394</v>
      </c>
      <c r="F131" s="76" t="s">
        <v>631</v>
      </c>
      <c r="G131" s="83">
        <v>267451</v>
      </c>
      <c r="H131" s="72">
        <v>45561</v>
      </c>
      <c r="I131" s="166">
        <v>140423897.25</v>
      </c>
      <c r="J131" s="166">
        <v>14042389.720000001</v>
      </c>
      <c r="K131" s="166">
        <v>8024222.71</v>
      </c>
      <c r="L131" s="166"/>
      <c r="M131" s="166"/>
      <c r="N131" s="166">
        <f t="shared" si="12"/>
        <v>118357284.82000001</v>
      </c>
      <c r="O131" s="36"/>
    </row>
    <row r="132" spans="1:15" ht="90" x14ac:dyDescent="0.25">
      <c r="A132" s="73" t="s">
        <v>23</v>
      </c>
      <c r="B132" s="83">
        <v>901785680</v>
      </c>
      <c r="C132" s="74" t="s">
        <v>505</v>
      </c>
      <c r="D132" s="83" t="s">
        <v>155</v>
      </c>
      <c r="E132" s="75" t="s">
        <v>394</v>
      </c>
      <c r="F132" s="76" t="s">
        <v>632</v>
      </c>
      <c r="G132" s="83">
        <v>266272</v>
      </c>
      <c r="H132" s="72">
        <v>45554</v>
      </c>
      <c r="I132" s="166">
        <v>32721705.52</v>
      </c>
      <c r="J132" s="166">
        <v>3272170.55</v>
      </c>
      <c r="K132" s="166">
        <v>2062292.3699999999</v>
      </c>
      <c r="L132" s="166"/>
      <c r="M132" s="166"/>
      <c r="N132" s="166">
        <f t="shared" si="12"/>
        <v>27387242.599999998</v>
      </c>
      <c r="O132" s="36"/>
    </row>
    <row r="133" spans="1:15" ht="105" x14ac:dyDescent="0.25">
      <c r="A133" s="73" t="s">
        <v>23</v>
      </c>
      <c r="B133" s="83">
        <v>901829333</v>
      </c>
      <c r="C133" s="74" t="s">
        <v>435</v>
      </c>
      <c r="D133" s="83" t="s">
        <v>434</v>
      </c>
      <c r="E133" s="75" t="s">
        <v>394</v>
      </c>
      <c r="F133" s="76" t="s">
        <v>633</v>
      </c>
      <c r="G133" s="83">
        <v>266621</v>
      </c>
      <c r="H133" s="72">
        <v>45559</v>
      </c>
      <c r="I133" s="166">
        <v>83200000</v>
      </c>
      <c r="J133" s="166">
        <v>8320000</v>
      </c>
      <c r="K133" s="166">
        <v>9228907.5599999987</v>
      </c>
      <c r="L133" s="166"/>
      <c r="M133" s="166"/>
      <c r="N133" s="166">
        <f t="shared" si="12"/>
        <v>65651092.439999998</v>
      </c>
      <c r="O133" s="36"/>
    </row>
    <row r="134" spans="1:15" ht="120" x14ac:dyDescent="0.25">
      <c r="A134" s="73" t="s">
        <v>23</v>
      </c>
      <c r="B134" s="83">
        <v>901829333</v>
      </c>
      <c r="C134" s="74" t="s">
        <v>435</v>
      </c>
      <c r="D134" s="83" t="s">
        <v>434</v>
      </c>
      <c r="E134" s="75" t="s">
        <v>394</v>
      </c>
      <c r="F134" s="76" t="s">
        <v>634</v>
      </c>
      <c r="G134" s="83">
        <v>266627</v>
      </c>
      <c r="H134" s="72">
        <v>45558</v>
      </c>
      <c r="I134" s="166">
        <v>1487778232.77</v>
      </c>
      <c r="J134" s="166">
        <v>148777823.28</v>
      </c>
      <c r="K134" s="166">
        <v>135872188.05000001</v>
      </c>
      <c r="L134" s="166"/>
      <c r="M134" s="166"/>
      <c r="N134" s="166">
        <f t="shared" si="12"/>
        <v>1203128221.4400001</v>
      </c>
      <c r="O134" s="36"/>
    </row>
    <row r="135" spans="1:15" ht="105" x14ac:dyDescent="0.25">
      <c r="A135" s="73" t="s">
        <v>23</v>
      </c>
      <c r="B135" s="83">
        <v>901786162</v>
      </c>
      <c r="C135" s="74" t="s">
        <v>163</v>
      </c>
      <c r="D135" s="83" t="s">
        <v>162</v>
      </c>
      <c r="E135" s="75" t="s">
        <v>394</v>
      </c>
      <c r="F135" s="76" t="s">
        <v>635</v>
      </c>
      <c r="G135" s="83">
        <v>267235</v>
      </c>
      <c r="H135" s="72">
        <v>45559</v>
      </c>
      <c r="I135" s="166">
        <v>11958066.6</v>
      </c>
      <c r="J135" s="166">
        <v>1195806.6599999999</v>
      </c>
      <c r="K135" s="166">
        <v>734296.05</v>
      </c>
      <c r="L135" s="166"/>
      <c r="M135" s="166"/>
      <c r="N135" s="166">
        <f t="shared" si="12"/>
        <v>10027963.889999999</v>
      </c>
      <c r="O135" s="36"/>
    </row>
    <row r="136" spans="1:15" ht="90" x14ac:dyDescent="0.25">
      <c r="A136" s="73" t="s">
        <v>23</v>
      </c>
      <c r="B136" s="83">
        <v>901787725</v>
      </c>
      <c r="C136" s="74" t="s">
        <v>153</v>
      </c>
      <c r="D136" s="83" t="s">
        <v>152</v>
      </c>
      <c r="E136" s="75" t="s">
        <v>394</v>
      </c>
      <c r="F136" s="76" t="s">
        <v>636</v>
      </c>
      <c r="G136" s="83">
        <v>266276</v>
      </c>
      <c r="H136" s="72">
        <v>45555</v>
      </c>
      <c r="I136" s="166">
        <v>1583454862.3800001</v>
      </c>
      <c r="J136" s="166">
        <v>158345486.24000001</v>
      </c>
      <c r="K136" s="166">
        <v>141447673.72</v>
      </c>
      <c r="L136" s="166"/>
      <c r="M136" s="166"/>
      <c r="N136" s="166">
        <f t="shared" si="12"/>
        <v>1283661702.4200001</v>
      </c>
      <c r="O136" s="36"/>
    </row>
    <row r="137" spans="1:15" ht="60" x14ac:dyDescent="0.25">
      <c r="A137" s="73" t="s">
        <v>381</v>
      </c>
      <c r="B137" s="83">
        <v>74184643</v>
      </c>
      <c r="C137" s="74" t="s">
        <v>257</v>
      </c>
      <c r="D137" s="83" t="s">
        <v>256</v>
      </c>
      <c r="E137" s="75" t="s">
        <v>394</v>
      </c>
      <c r="F137" s="76" t="s">
        <v>637</v>
      </c>
      <c r="G137" s="83">
        <v>267453</v>
      </c>
      <c r="H137" s="72">
        <v>45560</v>
      </c>
      <c r="I137" s="166">
        <v>3654000</v>
      </c>
      <c r="J137" s="166">
        <v>365400</v>
      </c>
      <c r="K137" s="166">
        <v>224152.94</v>
      </c>
      <c r="L137" s="166"/>
      <c r="M137" s="166"/>
      <c r="N137" s="166">
        <f t="shared" si="12"/>
        <v>3064447.06</v>
      </c>
      <c r="O137" s="36"/>
    </row>
    <row r="138" spans="1:15" ht="75" x14ac:dyDescent="0.25">
      <c r="A138" s="73" t="s">
        <v>23</v>
      </c>
      <c r="B138" s="83">
        <v>901792473</v>
      </c>
      <c r="C138" s="74" t="s">
        <v>254</v>
      </c>
      <c r="D138" s="83" t="s">
        <v>253</v>
      </c>
      <c r="E138" s="75" t="s">
        <v>394</v>
      </c>
      <c r="F138" s="76" t="s">
        <v>638</v>
      </c>
      <c r="G138" s="83">
        <v>266637</v>
      </c>
      <c r="H138" s="72">
        <v>45559</v>
      </c>
      <c r="I138" s="166">
        <v>477333898.06999999</v>
      </c>
      <c r="J138" s="166">
        <v>47733389.810000002</v>
      </c>
      <c r="K138" s="166">
        <v>41697544.450000003</v>
      </c>
      <c r="L138" s="166"/>
      <c r="M138" s="166"/>
      <c r="N138" s="166">
        <f t="shared" si="12"/>
        <v>387902963.81</v>
      </c>
      <c r="O138" s="36"/>
    </row>
    <row r="139" spans="1:15" ht="120" x14ac:dyDescent="0.25">
      <c r="A139" s="73" t="s">
        <v>23</v>
      </c>
      <c r="B139" s="83">
        <v>900185357</v>
      </c>
      <c r="C139" s="74" t="s">
        <v>305</v>
      </c>
      <c r="D139" s="83" t="s">
        <v>304</v>
      </c>
      <c r="E139" s="75" t="s">
        <v>394</v>
      </c>
      <c r="F139" s="76" t="s">
        <v>639</v>
      </c>
      <c r="G139" s="83">
        <v>267457</v>
      </c>
      <c r="H139" s="72">
        <v>45561</v>
      </c>
      <c r="I139" s="166">
        <v>322931362.5</v>
      </c>
      <c r="J139" s="166">
        <v>32293136.25</v>
      </c>
      <c r="K139" s="166">
        <v>33473599.609999999</v>
      </c>
      <c r="L139" s="166"/>
      <c r="M139" s="166"/>
      <c r="N139" s="166">
        <f t="shared" si="12"/>
        <v>257164626.63999999</v>
      </c>
      <c r="O139" s="36"/>
    </row>
    <row r="140" spans="1:15" ht="120" x14ac:dyDescent="0.25">
      <c r="A140" s="73" t="s">
        <v>381</v>
      </c>
      <c r="B140" s="83">
        <v>9050725</v>
      </c>
      <c r="C140" s="74" t="s">
        <v>288</v>
      </c>
      <c r="D140" s="83" t="s">
        <v>287</v>
      </c>
      <c r="E140" s="75" t="s">
        <v>394</v>
      </c>
      <c r="F140" s="76" t="s">
        <v>640</v>
      </c>
      <c r="G140" s="83">
        <v>266279</v>
      </c>
      <c r="H140" s="72">
        <v>45559</v>
      </c>
      <c r="I140" s="166">
        <v>69028775.260000005</v>
      </c>
      <c r="J140" s="166">
        <v>6902877.5300000003</v>
      </c>
      <c r="K140" s="166">
        <v>4337578.16</v>
      </c>
      <c r="L140" s="166"/>
      <c r="M140" s="166"/>
      <c r="N140" s="166">
        <f t="shared" si="12"/>
        <v>57788319.570000008</v>
      </c>
      <c r="O140" s="36"/>
    </row>
    <row r="141" spans="1:15" ht="135" x14ac:dyDescent="0.25">
      <c r="A141" s="73" t="s">
        <v>381</v>
      </c>
      <c r="B141" s="83">
        <v>9050725</v>
      </c>
      <c r="C141" s="74" t="s">
        <v>288</v>
      </c>
      <c r="D141" s="83" t="s">
        <v>307</v>
      </c>
      <c r="E141" s="75" t="s">
        <v>394</v>
      </c>
      <c r="F141" s="76" t="s">
        <v>641</v>
      </c>
      <c r="G141" s="83">
        <v>267461</v>
      </c>
      <c r="H141" s="72">
        <v>45561</v>
      </c>
      <c r="I141" s="166">
        <v>131334800.40000001</v>
      </c>
      <c r="J141" s="166">
        <v>13133480.039999999</v>
      </c>
      <c r="K141" s="166">
        <v>8272988.7899999991</v>
      </c>
      <c r="L141" s="166"/>
      <c r="M141" s="166"/>
      <c r="N141" s="166">
        <f t="shared" si="12"/>
        <v>109928331.57000002</v>
      </c>
      <c r="O141" s="36"/>
    </row>
    <row r="142" spans="1:15" ht="105" x14ac:dyDescent="0.25">
      <c r="A142" s="73" t="s">
        <v>23</v>
      </c>
      <c r="B142" s="83">
        <v>901803620</v>
      </c>
      <c r="C142" s="74" t="s">
        <v>285</v>
      </c>
      <c r="D142" s="83" t="s">
        <v>284</v>
      </c>
      <c r="E142" s="75" t="s">
        <v>394</v>
      </c>
      <c r="F142" s="76" t="s">
        <v>642</v>
      </c>
      <c r="G142" s="83">
        <v>265970</v>
      </c>
      <c r="H142" s="72">
        <v>45554</v>
      </c>
      <c r="I142" s="166">
        <v>660438658.65999997</v>
      </c>
      <c r="J142" s="166">
        <v>66043865.869999997</v>
      </c>
      <c r="K142" s="166">
        <v>55343140.299999997</v>
      </c>
      <c r="L142" s="166"/>
      <c r="M142" s="166"/>
      <c r="N142" s="166">
        <f t="shared" si="12"/>
        <v>539051652.49000001</v>
      </c>
      <c r="O142" s="36"/>
    </row>
    <row r="143" spans="1:15" ht="180" x14ac:dyDescent="0.25">
      <c r="A143" s="73" t="s">
        <v>23</v>
      </c>
      <c r="B143" s="83">
        <v>901820483</v>
      </c>
      <c r="C143" s="74" t="s">
        <v>406</v>
      </c>
      <c r="D143" s="83" t="s">
        <v>405</v>
      </c>
      <c r="E143" s="75" t="s">
        <v>394</v>
      </c>
      <c r="F143" s="76" t="s">
        <v>643</v>
      </c>
      <c r="G143" s="83">
        <v>267469</v>
      </c>
      <c r="H143" s="72">
        <v>45560</v>
      </c>
      <c r="I143" s="166">
        <v>102315080.7</v>
      </c>
      <c r="J143" s="166">
        <v>10231508.07</v>
      </c>
      <c r="K143" s="166">
        <v>6083018.4399999995</v>
      </c>
      <c r="L143" s="166"/>
      <c r="M143" s="166"/>
      <c r="N143" s="166">
        <f t="shared" si="12"/>
        <v>86000554.189999998</v>
      </c>
      <c r="O143" s="36"/>
    </row>
    <row r="144" spans="1:15" ht="135" x14ac:dyDescent="0.25">
      <c r="A144" s="73" t="s">
        <v>23</v>
      </c>
      <c r="B144" s="83">
        <v>901819116</v>
      </c>
      <c r="C144" s="74" t="s">
        <v>431</v>
      </c>
      <c r="D144" s="83" t="s">
        <v>430</v>
      </c>
      <c r="E144" s="75" t="s">
        <v>394</v>
      </c>
      <c r="F144" s="76" t="s">
        <v>644</v>
      </c>
      <c r="G144" s="83">
        <v>267466</v>
      </c>
      <c r="H144" s="72">
        <v>45561</v>
      </c>
      <c r="I144" s="166">
        <v>214200000</v>
      </c>
      <c r="J144" s="166">
        <v>21420000</v>
      </c>
      <c r="K144" s="166">
        <v>21735000</v>
      </c>
      <c r="L144" s="166"/>
      <c r="M144" s="166"/>
      <c r="N144" s="166">
        <f t="shared" si="12"/>
        <v>171045000</v>
      </c>
      <c r="O144" s="36"/>
    </row>
    <row r="145" spans="1:15" ht="135" x14ac:dyDescent="0.25">
      <c r="A145" s="73" t="s">
        <v>23</v>
      </c>
      <c r="B145" s="83">
        <v>901808735</v>
      </c>
      <c r="C145" s="74" t="s">
        <v>272</v>
      </c>
      <c r="D145" s="83" t="s">
        <v>271</v>
      </c>
      <c r="E145" s="75" t="s">
        <v>394</v>
      </c>
      <c r="F145" s="76" t="s">
        <v>645</v>
      </c>
      <c r="G145" s="83">
        <v>267531</v>
      </c>
      <c r="H145" s="72">
        <v>45561</v>
      </c>
      <c r="I145" s="166">
        <v>33685084.68</v>
      </c>
      <c r="J145" s="166">
        <v>3368508.46</v>
      </c>
      <c r="K145" s="166">
        <v>2099802.94</v>
      </c>
      <c r="L145" s="166"/>
      <c r="M145" s="166"/>
      <c r="N145" s="166">
        <f t="shared" si="12"/>
        <v>28216773.279999997</v>
      </c>
      <c r="O145" s="36"/>
    </row>
    <row r="146" spans="1:15" ht="90" x14ac:dyDescent="0.25">
      <c r="A146" s="73" t="s">
        <v>23</v>
      </c>
      <c r="B146" s="83">
        <v>901811721</v>
      </c>
      <c r="C146" s="74" t="s">
        <v>137</v>
      </c>
      <c r="D146" s="83" t="s">
        <v>136</v>
      </c>
      <c r="E146" s="75" t="s">
        <v>394</v>
      </c>
      <c r="F146" s="76" t="s">
        <v>646</v>
      </c>
      <c r="G146" s="83">
        <v>267990</v>
      </c>
      <c r="H146" s="72">
        <v>45560</v>
      </c>
      <c r="I146" s="166">
        <v>493865785</v>
      </c>
      <c r="J146" s="166">
        <v>49386578</v>
      </c>
      <c r="K146" s="166">
        <v>47899749.189999998</v>
      </c>
      <c r="L146" s="166"/>
      <c r="M146" s="166"/>
      <c r="N146" s="166">
        <f t="shared" si="12"/>
        <v>396579457.81</v>
      </c>
      <c r="O146" s="36"/>
    </row>
    <row r="147" spans="1:15" ht="90" x14ac:dyDescent="0.25">
      <c r="A147" s="73" t="s">
        <v>23</v>
      </c>
      <c r="B147" s="83">
        <v>901808808</v>
      </c>
      <c r="C147" s="74" t="s">
        <v>140</v>
      </c>
      <c r="D147" s="83" t="s">
        <v>139</v>
      </c>
      <c r="E147" s="75" t="s">
        <v>394</v>
      </c>
      <c r="F147" s="76" t="s">
        <v>647</v>
      </c>
      <c r="G147" s="83">
        <v>267934</v>
      </c>
      <c r="H147" s="72">
        <v>45561</v>
      </c>
      <c r="I147" s="166">
        <v>51286716</v>
      </c>
      <c r="J147" s="166">
        <v>5128672</v>
      </c>
      <c r="K147" s="166">
        <v>3006953.0799999996</v>
      </c>
      <c r="L147" s="166"/>
      <c r="M147" s="166"/>
      <c r="N147" s="166">
        <f t="shared" si="12"/>
        <v>43151090.920000002</v>
      </c>
      <c r="O147" s="36"/>
    </row>
    <row r="148" spans="1:15" ht="135" x14ac:dyDescent="0.25">
      <c r="A148" s="73" t="s">
        <v>381</v>
      </c>
      <c r="B148" s="83">
        <v>12754374</v>
      </c>
      <c r="C148" s="74" t="s">
        <v>269</v>
      </c>
      <c r="D148" s="83" t="s">
        <v>268</v>
      </c>
      <c r="E148" s="75" t="s">
        <v>394</v>
      </c>
      <c r="F148" s="76" t="s">
        <v>648</v>
      </c>
      <c r="G148" s="83">
        <v>267247</v>
      </c>
      <c r="H148" s="72">
        <v>45559</v>
      </c>
      <c r="I148" s="166">
        <v>89319986.209999993</v>
      </c>
      <c r="J148" s="166">
        <v>8931998.620000001</v>
      </c>
      <c r="K148" s="166">
        <v>7540005.5499999998</v>
      </c>
      <c r="L148" s="166"/>
      <c r="M148" s="166"/>
      <c r="N148" s="166">
        <f t="shared" si="12"/>
        <v>72847982.039999992</v>
      </c>
      <c r="O148" s="36"/>
    </row>
    <row r="149" spans="1:15" x14ac:dyDescent="0.25">
      <c r="A149" s="73" t="s">
        <v>23</v>
      </c>
      <c r="B149" s="83">
        <v>800102799</v>
      </c>
      <c r="C149" s="74" t="s">
        <v>652</v>
      </c>
      <c r="D149" s="83" t="s">
        <v>60</v>
      </c>
      <c r="E149" s="75" t="s">
        <v>378</v>
      </c>
      <c r="F149" s="76" t="s">
        <v>653</v>
      </c>
      <c r="G149" s="83" t="s">
        <v>60</v>
      </c>
      <c r="H149" s="72">
        <v>45539</v>
      </c>
      <c r="I149" s="166">
        <v>4535235.21</v>
      </c>
      <c r="J149" s="166"/>
      <c r="K149" s="166"/>
      <c r="L149" s="166"/>
      <c r="M149" s="166">
        <f t="shared" ref="M149:M180" si="13">+ROUND(N149-I149,2)</f>
        <v>-235.21</v>
      </c>
      <c r="N149" s="166">
        <v>4535000</v>
      </c>
      <c r="O149" s="36"/>
    </row>
    <row r="150" spans="1:15" x14ac:dyDescent="0.25">
      <c r="A150" s="73" t="s">
        <v>23</v>
      </c>
      <c r="B150" s="83">
        <v>891680196</v>
      </c>
      <c r="C150" s="74" t="s">
        <v>654</v>
      </c>
      <c r="D150" s="83" t="s">
        <v>60</v>
      </c>
      <c r="E150" s="75" t="s">
        <v>378</v>
      </c>
      <c r="F150" s="76" t="s">
        <v>653</v>
      </c>
      <c r="G150" s="83" t="s">
        <v>60</v>
      </c>
      <c r="H150" s="72">
        <v>45540</v>
      </c>
      <c r="I150" s="166">
        <v>1523338.07</v>
      </c>
      <c r="J150" s="166"/>
      <c r="K150" s="166"/>
      <c r="L150" s="166"/>
      <c r="M150" s="166">
        <f t="shared" si="13"/>
        <v>-338.07</v>
      </c>
      <c r="N150" s="166">
        <v>1523000</v>
      </c>
      <c r="O150" s="36"/>
    </row>
    <row r="151" spans="1:15" ht="30" x14ac:dyDescent="0.25">
      <c r="A151" s="73" t="s">
        <v>23</v>
      </c>
      <c r="B151" s="83">
        <v>800096808</v>
      </c>
      <c r="C151" s="74" t="s">
        <v>655</v>
      </c>
      <c r="D151" s="83" t="s">
        <v>60</v>
      </c>
      <c r="E151" s="75" t="s">
        <v>378</v>
      </c>
      <c r="F151" s="76" t="s">
        <v>653</v>
      </c>
      <c r="G151" s="83" t="s">
        <v>60</v>
      </c>
      <c r="H151" s="72">
        <v>45540</v>
      </c>
      <c r="I151" s="166">
        <v>13090388.289999999</v>
      </c>
      <c r="J151" s="166"/>
      <c r="K151" s="166"/>
      <c r="L151" s="166"/>
      <c r="M151" s="166">
        <f t="shared" si="13"/>
        <v>-388.29</v>
      </c>
      <c r="N151" s="166">
        <v>13090000</v>
      </c>
      <c r="O151" s="36"/>
    </row>
    <row r="152" spans="1:15" ht="30" x14ac:dyDescent="0.25">
      <c r="A152" s="73" t="s">
        <v>23</v>
      </c>
      <c r="B152" s="83">
        <v>890702040</v>
      </c>
      <c r="C152" s="74" t="s">
        <v>656</v>
      </c>
      <c r="D152" s="83" t="s">
        <v>60</v>
      </c>
      <c r="E152" s="75" t="s">
        <v>378</v>
      </c>
      <c r="F152" s="76" t="s">
        <v>653</v>
      </c>
      <c r="G152" s="83" t="s">
        <v>60</v>
      </c>
      <c r="H152" s="72">
        <v>45540</v>
      </c>
      <c r="I152" s="166">
        <v>8136894.5199999996</v>
      </c>
      <c r="J152" s="166"/>
      <c r="K152" s="166"/>
      <c r="L152" s="166"/>
      <c r="M152" s="166">
        <f t="shared" si="13"/>
        <v>105.48</v>
      </c>
      <c r="N152" s="166">
        <v>8137000</v>
      </c>
      <c r="O152" s="36"/>
    </row>
    <row r="153" spans="1:15" x14ac:dyDescent="0.25">
      <c r="A153" s="73" t="s">
        <v>23</v>
      </c>
      <c r="B153" s="83">
        <v>800096580</v>
      </c>
      <c r="C153" s="74" t="s">
        <v>545</v>
      </c>
      <c r="D153" s="83" t="s">
        <v>60</v>
      </c>
      <c r="E153" s="75" t="s">
        <v>378</v>
      </c>
      <c r="F153" s="76" t="s">
        <v>653</v>
      </c>
      <c r="G153" s="83" t="s">
        <v>60</v>
      </c>
      <c r="H153" s="72">
        <v>45540</v>
      </c>
      <c r="I153" s="166">
        <v>3434286.9</v>
      </c>
      <c r="J153" s="166"/>
      <c r="K153" s="166"/>
      <c r="L153" s="166"/>
      <c r="M153" s="166">
        <f t="shared" si="13"/>
        <v>-286.89999999999998</v>
      </c>
      <c r="N153" s="166">
        <v>3434000</v>
      </c>
      <c r="O153" s="36"/>
    </row>
    <row r="154" spans="1:15" ht="30" x14ac:dyDescent="0.25">
      <c r="A154" s="73" t="s">
        <v>23</v>
      </c>
      <c r="B154" s="83">
        <v>800096758</v>
      </c>
      <c r="C154" s="74" t="s">
        <v>657</v>
      </c>
      <c r="D154" s="83" t="s">
        <v>60</v>
      </c>
      <c r="E154" s="75" t="s">
        <v>378</v>
      </c>
      <c r="F154" s="76" t="s">
        <v>653</v>
      </c>
      <c r="G154" s="83" t="s">
        <v>60</v>
      </c>
      <c r="H154" s="72">
        <v>45540</v>
      </c>
      <c r="I154" s="166">
        <v>479233.49</v>
      </c>
      <c r="J154" s="166"/>
      <c r="K154" s="166"/>
      <c r="L154" s="166"/>
      <c r="M154" s="166">
        <f t="shared" si="13"/>
        <v>-233.49</v>
      </c>
      <c r="N154" s="166">
        <v>479000</v>
      </c>
      <c r="O154" s="36"/>
    </row>
    <row r="155" spans="1:15" ht="30" x14ac:dyDescent="0.25">
      <c r="A155" s="73" t="s">
        <v>23</v>
      </c>
      <c r="B155" s="83">
        <v>890983814</v>
      </c>
      <c r="C155" s="74" t="s">
        <v>658</v>
      </c>
      <c r="D155" s="83" t="s">
        <v>60</v>
      </c>
      <c r="E155" s="75" t="s">
        <v>378</v>
      </c>
      <c r="F155" s="76" t="s">
        <v>653</v>
      </c>
      <c r="G155" s="83" t="s">
        <v>60</v>
      </c>
      <c r="H155" s="72">
        <v>45540</v>
      </c>
      <c r="I155" s="166">
        <v>6678859.3200000003</v>
      </c>
      <c r="J155" s="166"/>
      <c r="K155" s="166"/>
      <c r="L155" s="166"/>
      <c r="M155" s="166">
        <f t="shared" si="13"/>
        <v>140.68</v>
      </c>
      <c r="N155" s="166">
        <v>6679000</v>
      </c>
      <c r="O155" s="36"/>
    </row>
    <row r="156" spans="1:15" x14ac:dyDescent="0.25">
      <c r="A156" s="73" t="s">
        <v>23</v>
      </c>
      <c r="B156" s="83">
        <v>800102801</v>
      </c>
      <c r="C156" s="74" t="s">
        <v>551</v>
      </c>
      <c r="D156" s="83" t="s">
        <v>60</v>
      </c>
      <c r="E156" s="75" t="s">
        <v>378</v>
      </c>
      <c r="F156" s="76" t="s">
        <v>653</v>
      </c>
      <c r="G156" s="83" t="s">
        <v>60</v>
      </c>
      <c r="H156" s="72">
        <v>45540</v>
      </c>
      <c r="I156" s="166">
        <v>178405.17</v>
      </c>
      <c r="J156" s="166"/>
      <c r="K156" s="166"/>
      <c r="L156" s="166"/>
      <c r="M156" s="166">
        <f t="shared" si="13"/>
        <v>-405.17</v>
      </c>
      <c r="N156" s="166">
        <v>178000</v>
      </c>
      <c r="O156" s="36"/>
    </row>
    <row r="157" spans="1:15" ht="30" x14ac:dyDescent="0.25">
      <c r="A157" s="73" t="s">
        <v>23</v>
      </c>
      <c r="B157" s="83">
        <v>800096807</v>
      </c>
      <c r="C157" s="74" t="s">
        <v>659</v>
      </c>
      <c r="D157" s="83" t="s">
        <v>60</v>
      </c>
      <c r="E157" s="75" t="s">
        <v>378</v>
      </c>
      <c r="F157" s="76" t="s">
        <v>653</v>
      </c>
      <c r="G157" s="83" t="s">
        <v>60</v>
      </c>
      <c r="H157" s="72">
        <v>45541</v>
      </c>
      <c r="I157" s="166">
        <v>32054907.32</v>
      </c>
      <c r="J157" s="166"/>
      <c r="K157" s="166"/>
      <c r="L157" s="166"/>
      <c r="M157" s="166">
        <f t="shared" si="13"/>
        <v>92.68</v>
      </c>
      <c r="N157" s="166">
        <f>32055000</f>
        <v>32055000</v>
      </c>
      <c r="O157" s="36"/>
    </row>
    <row r="158" spans="1:15" ht="30" x14ac:dyDescent="0.25">
      <c r="A158" s="73" t="s">
        <v>23</v>
      </c>
      <c r="B158" s="83">
        <v>800095589</v>
      </c>
      <c r="C158" s="74" t="s">
        <v>660</v>
      </c>
      <c r="D158" s="83" t="s">
        <v>60</v>
      </c>
      <c r="E158" s="75" t="s">
        <v>378</v>
      </c>
      <c r="F158" s="76" t="s">
        <v>653</v>
      </c>
      <c r="G158" s="83" t="s">
        <v>60</v>
      </c>
      <c r="H158" s="72">
        <v>45541</v>
      </c>
      <c r="I158" s="166">
        <v>555129</v>
      </c>
      <c r="J158" s="166"/>
      <c r="K158" s="166"/>
      <c r="L158" s="166"/>
      <c r="M158" s="166">
        <f t="shared" si="13"/>
        <v>-129</v>
      </c>
      <c r="N158" s="166">
        <v>555000</v>
      </c>
      <c r="O158" s="36"/>
    </row>
    <row r="159" spans="1:15" ht="30" x14ac:dyDescent="0.25">
      <c r="A159" s="73" t="s">
        <v>23</v>
      </c>
      <c r="B159" s="83">
        <v>800026685</v>
      </c>
      <c r="C159" s="74" t="s">
        <v>661</v>
      </c>
      <c r="D159" s="83" t="s">
        <v>60</v>
      </c>
      <c r="E159" s="75" t="s">
        <v>378</v>
      </c>
      <c r="F159" s="76" t="s">
        <v>653</v>
      </c>
      <c r="G159" s="83" t="s">
        <v>60</v>
      </c>
      <c r="H159" s="72">
        <v>45541</v>
      </c>
      <c r="I159" s="166">
        <v>696515.8</v>
      </c>
      <c r="J159" s="166"/>
      <c r="K159" s="166"/>
      <c r="L159" s="166"/>
      <c r="M159" s="166">
        <f t="shared" si="13"/>
        <v>484.2</v>
      </c>
      <c r="N159" s="166">
        <v>697000</v>
      </c>
      <c r="O159" s="36"/>
    </row>
    <row r="160" spans="1:15" ht="30" x14ac:dyDescent="0.25">
      <c r="A160" s="73" t="s">
        <v>23</v>
      </c>
      <c r="B160" s="83">
        <v>899999090</v>
      </c>
      <c r="C160" s="74" t="s">
        <v>547</v>
      </c>
      <c r="D160" s="83" t="s">
        <v>60</v>
      </c>
      <c r="E160" s="75" t="s">
        <v>378</v>
      </c>
      <c r="F160" s="76" t="s">
        <v>598</v>
      </c>
      <c r="G160" s="83" t="s">
        <v>60</v>
      </c>
      <c r="H160" s="72">
        <v>45541</v>
      </c>
      <c r="I160" s="166">
        <v>386946495.60000002</v>
      </c>
      <c r="J160" s="166"/>
      <c r="K160" s="166"/>
      <c r="L160" s="166"/>
      <c r="M160" s="166">
        <f t="shared" si="13"/>
        <v>-495.6</v>
      </c>
      <c r="N160" s="166">
        <v>386946000</v>
      </c>
      <c r="O160" s="36"/>
    </row>
    <row r="161" spans="1:15" ht="30" x14ac:dyDescent="0.25">
      <c r="A161" s="73" t="s">
        <v>23</v>
      </c>
      <c r="B161" s="83">
        <v>800012638</v>
      </c>
      <c r="C161" s="74" t="s">
        <v>662</v>
      </c>
      <c r="D161" s="83" t="s">
        <v>60</v>
      </c>
      <c r="E161" s="75" t="s">
        <v>378</v>
      </c>
      <c r="F161" s="76" t="s">
        <v>653</v>
      </c>
      <c r="G161" s="83" t="s">
        <v>60</v>
      </c>
      <c r="H161" s="72">
        <v>45544</v>
      </c>
      <c r="I161" s="166">
        <v>355750.02</v>
      </c>
      <c r="J161" s="166"/>
      <c r="K161" s="166"/>
      <c r="L161" s="166"/>
      <c r="M161" s="166">
        <f t="shared" si="13"/>
        <v>249.98</v>
      </c>
      <c r="N161" s="166">
        <f>356000</f>
        <v>356000</v>
      </c>
      <c r="O161" s="36"/>
    </row>
    <row r="162" spans="1:15" ht="30" x14ac:dyDescent="0.25">
      <c r="A162" s="73" t="s">
        <v>23</v>
      </c>
      <c r="B162" s="83">
        <v>891502307</v>
      </c>
      <c r="C162" s="74" t="s">
        <v>663</v>
      </c>
      <c r="D162" s="83" t="s">
        <v>60</v>
      </c>
      <c r="E162" s="75" t="s">
        <v>378</v>
      </c>
      <c r="F162" s="76" t="s">
        <v>653</v>
      </c>
      <c r="G162" s="83" t="s">
        <v>60</v>
      </c>
      <c r="H162" s="72">
        <v>45544</v>
      </c>
      <c r="I162" s="166">
        <v>444103.2</v>
      </c>
      <c r="J162" s="166"/>
      <c r="K162" s="166"/>
      <c r="L162" s="166"/>
      <c r="M162" s="166">
        <f t="shared" si="13"/>
        <v>-103.2</v>
      </c>
      <c r="N162" s="166">
        <v>444000</v>
      </c>
      <c r="O162" s="36"/>
    </row>
    <row r="163" spans="1:15" ht="30" x14ac:dyDescent="0.25">
      <c r="A163" s="73" t="s">
        <v>23</v>
      </c>
      <c r="B163" s="83">
        <v>890399045</v>
      </c>
      <c r="C163" s="74" t="s">
        <v>664</v>
      </c>
      <c r="D163" s="83" t="s">
        <v>60</v>
      </c>
      <c r="E163" s="75" t="s">
        <v>378</v>
      </c>
      <c r="F163" s="76" t="s">
        <v>653</v>
      </c>
      <c r="G163" s="83" t="s">
        <v>60</v>
      </c>
      <c r="H163" s="72">
        <v>45544</v>
      </c>
      <c r="I163" s="166">
        <v>555129</v>
      </c>
      <c r="J163" s="166"/>
      <c r="K163" s="166"/>
      <c r="L163" s="166"/>
      <c r="M163" s="166">
        <f t="shared" si="13"/>
        <v>-129</v>
      </c>
      <c r="N163" s="166">
        <v>555000</v>
      </c>
      <c r="O163" s="36"/>
    </row>
    <row r="164" spans="1:15" ht="30" x14ac:dyDescent="0.25">
      <c r="A164" s="73" t="s">
        <v>23</v>
      </c>
      <c r="B164" s="83">
        <v>800096585</v>
      </c>
      <c r="C164" s="74" t="s">
        <v>451</v>
      </c>
      <c r="D164" s="83" t="s">
        <v>60</v>
      </c>
      <c r="E164" s="75" t="s">
        <v>378</v>
      </c>
      <c r="F164" s="76" t="s">
        <v>653</v>
      </c>
      <c r="G164" s="83" t="s">
        <v>60</v>
      </c>
      <c r="H164" s="72">
        <v>45544</v>
      </c>
      <c r="I164" s="166">
        <v>396306.45</v>
      </c>
      <c r="J164" s="166"/>
      <c r="K164" s="166"/>
      <c r="L164" s="166"/>
      <c r="M164" s="166">
        <f t="shared" si="13"/>
        <v>-306.45</v>
      </c>
      <c r="N164" s="166">
        <v>396000</v>
      </c>
      <c r="O164" s="36"/>
    </row>
    <row r="165" spans="1:15" ht="30" x14ac:dyDescent="0.25">
      <c r="A165" s="73" t="s">
        <v>23</v>
      </c>
      <c r="B165" s="83">
        <v>892280054</v>
      </c>
      <c r="C165" s="74" t="s">
        <v>665</v>
      </c>
      <c r="D165" s="83" t="s">
        <v>60</v>
      </c>
      <c r="E165" s="75" t="s">
        <v>378</v>
      </c>
      <c r="F165" s="76" t="s">
        <v>653</v>
      </c>
      <c r="G165" s="83" t="s">
        <v>60</v>
      </c>
      <c r="H165" s="72">
        <v>45544</v>
      </c>
      <c r="I165" s="166">
        <v>1473462.37</v>
      </c>
      <c r="J165" s="166"/>
      <c r="K165" s="166"/>
      <c r="L165" s="166"/>
      <c r="M165" s="166">
        <f t="shared" si="13"/>
        <v>-462.37</v>
      </c>
      <c r="N165" s="166">
        <v>1473000</v>
      </c>
      <c r="O165" s="36"/>
    </row>
    <row r="166" spans="1:15" ht="30" x14ac:dyDescent="0.25">
      <c r="A166" s="73" t="s">
        <v>23</v>
      </c>
      <c r="B166" s="83">
        <v>800100519</v>
      </c>
      <c r="C166" s="74" t="s">
        <v>666</v>
      </c>
      <c r="D166" s="83" t="s">
        <v>60</v>
      </c>
      <c r="E166" s="75" t="s">
        <v>378</v>
      </c>
      <c r="F166" s="76" t="s">
        <v>653</v>
      </c>
      <c r="G166" s="83" t="s">
        <v>60</v>
      </c>
      <c r="H166" s="72">
        <v>45544</v>
      </c>
      <c r="I166" s="166">
        <v>555129</v>
      </c>
      <c r="J166" s="166"/>
      <c r="K166" s="166"/>
      <c r="L166" s="166"/>
      <c r="M166" s="166">
        <f t="shared" si="13"/>
        <v>-129</v>
      </c>
      <c r="N166" s="166">
        <v>555000</v>
      </c>
      <c r="O166" s="36"/>
    </row>
    <row r="167" spans="1:15" ht="30" x14ac:dyDescent="0.25">
      <c r="A167" s="73" t="s">
        <v>23</v>
      </c>
      <c r="B167" s="83">
        <v>892115155</v>
      </c>
      <c r="C167" s="74" t="s">
        <v>667</v>
      </c>
      <c r="D167" s="83" t="s">
        <v>60</v>
      </c>
      <c r="E167" s="75" t="s">
        <v>378</v>
      </c>
      <c r="F167" s="76" t="s">
        <v>653</v>
      </c>
      <c r="G167" s="83" t="s">
        <v>60</v>
      </c>
      <c r="H167" s="72">
        <v>45545</v>
      </c>
      <c r="I167" s="166">
        <v>1533526.12</v>
      </c>
      <c r="J167" s="166"/>
      <c r="K167" s="166"/>
      <c r="L167" s="166"/>
      <c r="M167" s="166">
        <f t="shared" si="13"/>
        <v>473.88</v>
      </c>
      <c r="N167" s="166">
        <v>1534000</v>
      </c>
      <c r="O167" s="36"/>
    </row>
    <row r="168" spans="1:15" ht="30" x14ac:dyDescent="0.25">
      <c r="A168" s="73" t="s">
        <v>23</v>
      </c>
      <c r="B168" s="83">
        <v>800108683</v>
      </c>
      <c r="C168" s="74" t="s">
        <v>668</v>
      </c>
      <c r="D168" s="83" t="s">
        <v>60</v>
      </c>
      <c r="E168" s="75" t="s">
        <v>378</v>
      </c>
      <c r="F168" s="76" t="s">
        <v>653</v>
      </c>
      <c r="G168" s="83" t="s">
        <v>60</v>
      </c>
      <c r="H168" s="72">
        <v>45545</v>
      </c>
      <c r="I168" s="166">
        <v>3327621.66</v>
      </c>
      <c r="J168" s="166"/>
      <c r="K168" s="166"/>
      <c r="L168" s="166"/>
      <c r="M168" s="166">
        <f t="shared" si="13"/>
        <v>378.34</v>
      </c>
      <c r="N168" s="166">
        <v>3328000</v>
      </c>
      <c r="O168" s="36"/>
    </row>
    <row r="169" spans="1:15" ht="30" x14ac:dyDescent="0.25">
      <c r="A169" s="73" t="s">
        <v>23</v>
      </c>
      <c r="B169" s="83">
        <v>891500982</v>
      </c>
      <c r="C169" s="74" t="s">
        <v>453</v>
      </c>
      <c r="D169" s="83" t="s">
        <v>60</v>
      </c>
      <c r="E169" s="75" t="s">
        <v>378</v>
      </c>
      <c r="F169" s="76" t="s">
        <v>653</v>
      </c>
      <c r="G169" s="83" t="s">
        <v>60</v>
      </c>
      <c r="H169" s="72">
        <v>45545</v>
      </c>
      <c r="I169" s="166">
        <v>43010.15</v>
      </c>
      <c r="J169" s="166"/>
      <c r="K169" s="166"/>
      <c r="L169" s="166"/>
      <c r="M169" s="166">
        <f t="shared" si="13"/>
        <v>-10.15</v>
      </c>
      <c r="N169" s="166">
        <v>43000</v>
      </c>
      <c r="O169" s="36"/>
    </row>
    <row r="170" spans="1:15" ht="30" x14ac:dyDescent="0.25">
      <c r="A170" s="73" t="s">
        <v>23</v>
      </c>
      <c r="B170" s="83">
        <v>891500856</v>
      </c>
      <c r="C170" s="74" t="s">
        <v>669</v>
      </c>
      <c r="D170" s="83" t="s">
        <v>60</v>
      </c>
      <c r="E170" s="75" t="s">
        <v>378</v>
      </c>
      <c r="F170" s="76" t="s">
        <v>653</v>
      </c>
      <c r="G170" s="83" t="s">
        <v>60</v>
      </c>
      <c r="H170" s="72">
        <v>45545</v>
      </c>
      <c r="I170" s="166">
        <v>26881.35</v>
      </c>
      <c r="J170" s="166"/>
      <c r="K170" s="166"/>
      <c r="L170" s="166"/>
      <c r="M170" s="166">
        <f t="shared" si="13"/>
        <v>118.65</v>
      </c>
      <c r="N170" s="166">
        <v>27000</v>
      </c>
      <c r="O170" s="36"/>
    </row>
    <row r="171" spans="1:15" x14ac:dyDescent="0.25">
      <c r="A171" s="73" t="s">
        <v>23</v>
      </c>
      <c r="B171" s="83">
        <v>817002675</v>
      </c>
      <c r="C171" s="74" t="s">
        <v>670</v>
      </c>
      <c r="D171" s="83" t="s">
        <v>60</v>
      </c>
      <c r="E171" s="75" t="s">
        <v>378</v>
      </c>
      <c r="F171" s="76" t="s">
        <v>653</v>
      </c>
      <c r="G171" s="83" t="s">
        <v>60</v>
      </c>
      <c r="H171" s="72">
        <v>45545</v>
      </c>
      <c r="I171" s="166">
        <v>5376.27</v>
      </c>
      <c r="J171" s="166"/>
      <c r="K171" s="166"/>
      <c r="L171" s="166"/>
      <c r="M171" s="166">
        <f t="shared" si="13"/>
        <v>-376.27</v>
      </c>
      <c r="N171" s="166">
        <v>5000</v>
      </c>
      <c r="O171" s="36"/>
    </row>
    <row r="172" spans="1:15" ht="30" x14ac:dyDescent="0.25">
      <c r="A172" s="73" t="s">
        <v>23</v>
      </c>
      <c r="B172" s="83">
        <v>800136069</v>
      </c>
      <c r="C172" s="74" t="s">
        <v>651</v>
      </c>
      <c r="D172" s="83" t="s">
        <v>60</v>
      </c>
      <c r="E172" s="75" t="s">
        <v>378</v>
      </c>
      <c r="F172" s="76" t="s">
        <v>650</v>
      </c>
      <c r="G172" s="83" t="s">
        <v>60</v>
      </c>
      <c r="H172" s="72">
        <v>45546</v>
      </c>
      <c r="I172" s="166">
        <v>137614.32999999999</v>
      </c>
      <c r="J172" s="166"/>
      <c r="K172" s="166"/>
      <c r="L172" s="166"/>
      <c r="M172" s="166">
        <f t="shared" si="13"/>
        <v>385.67</v>
      </c>
      <c r="N172" s="166">
        <f>138000</f>
        <v>138000</v>
      </c>
      <c r="O172" s="36"/>
    </row>
    <row r="173" spans="1:15" ht="30" x14ac:dyDescent="0.25">
      <c r="A173" s="73" t="s">
        <v>23</v>
      </c>
      <c r="B173" s="83">
        <v>800136069</v>
      </c>
      <c r="C173" s="74" t="s">
        <v>651</v>
      </c>
      <c r="D173" s="83" t="s">
        <v>60</v>
      </c>
      <c r="E173" s="75" t="s">
        <v>378</v>
      </c>
      <c r="F173" s="76" t="s">
        <v>653</v>
      </c>
      <c r="G173" s="83" t="s">
        <v>60</v>
      </c>
      <c r="H173" s="72">
        <v>45546</v>
      </c>
      <c r="I173" s="166">
        <v>2293572.1800000002</v>
      </c>
      <c r="J173" s="166"/>
      <c r="K173" s="166"/>
      <c r="L173" s="166"/>
      <c r="M173" s="166">
        <f t="shared" si="13"/>
        <v>427.82</v>
      </c>
      <c r="N173" s="166">
        <v>2294000</v>
      </c>
      <c r="O173" s="36"/>
    </row>
    <row r="174" spans="1:15" ht="30" x14ac:dyDescent="0.25">
      <c r="A174" s="73" t="s">
        <v>23</v>
      </c>
      <c r="B174" s="83">
        <v>891500269</v>
      </c>
      <c r="C174" s="74" t="s">
        <v>671</v>
      </c>
      <c r="D174" s="83" t="s">
        <v>60</v>
      </c>
      <c r="E174" s="75" t="s">
        <v>378</v>
      </c>
      <c r="F174" s="76" t="s">
        <v>653</v>
      </c>
      <c r="G174" s="83" t="s">
        <v>60</v>
      </c>
      <c r="H174" s="72">
        <v>45547</v>
      </c>
      <c r="I174" s="166">
        <v>277564.51</v>
      </c>
      <c r="J174" s="166"/>
      <c r="K174" s="166"/>
      <c r="L174" s="166"/>
      <c r="M174" s="166">
        <f t="shared" si="13"/>
        <v>-564.51</v>
      </c>
      <c r="N174" s="166">
        <f>277000</f>
        <v>277000</v>
      </c>
      <c r="O174" s="36"/>
    </row>
    <row r="175" spans="1:15" ht="30" x14ac:dyDescent="0.25">
      <c r="A175" s="73" t="s">
        <v>23</v>
      </c>
      <c r="B175" s="83">
        <v>891500580</v>
      </c>
      <c r="C175" s="74" t="s">
        <v>672</v>
      </c>
      <c r="D175" s="83" t="s">
        <v>60</v>
      </c>
      <c r="E175" s="75" t="s">
        <v>378</v>
      </c>
      <c r="F175" s="76" t="s">
        <v>653</v>
      </c>
      <c r="G175" s="83" t="s">
        <v>60</v>
      </c>
      <c r="H175" s="72">
        <v>45547</v>
      </c>
      <c r="I175" s="166">
        <v>555129</v>
      </c>
      <c r="J175" s="166"/>
      <c r="K175" s="166"/>
      <c r="L175" s="166"/>
      <c r="M175" s="166">
        <f t="shared" si="13"/>
        <v>-129</v>
      </c>
      <c r="N175" s="166">
        <v>555000</v>
      </c>
      <c r="O175" s="36"/>
    </row>
    <row r="176" spans="1:15" x14ac:dyDescent="0.25">
      <c r="A176" s="73" t="s">
        <v>23</v>
      </c>
      <c r="B176" s="83">
        <v>800028432</v>
      </c>
      <c r="C176" s="74" t="s">
        <v>673</v>
      </c>
      <c r="D176" s="83" t="s">
        <v>60</v>
      </c>
      <c r="E176" s="75" t="s">
        <v>378</v>
      </c>
      <c r="F176" s="76" t="s">
        <v>653</v>
      </c>
      <c r="G176" s="83" t="s">
        <v>60</v>
      </c>
      <c r="H176" s="72">
        <v>45548</v>
      </c>
      <c r="I176" s="166">
        <v>1329064.79</v>
      </c>
      <c r="J176" s="166"/>
      <c r="K176" s="166"/>
      <c r="L176" s="166"/>
      <c r="M176" s="166">
        <f t="shared" si="13"/>
        <v>-64.790000000000006</v>
      </c>
      <c r="N176" s="166">
        <f>1329000</f>
        <v>1329000</v>
      </c>
      <c r="O176" s="36"/>
    </row>
    <row r="177" spans="1:16" x14ac:dyDescent="0.25">
      <c r="A177" s="73" t="s">
        <v>23</v>
      </c>
      <c r="B177" s="83">
        <v>825000134</v>
      </c>
      <c r="C177" s="74" t="s">
        <v>558</v>
      </c>
      <c r="D177" s="83" t="s">
        <v>60</v>
      </c>
      <c r="E177" s="75" t="s">
        <v>378</v>
      </c>
      <c r="F177" s="76" t="s">
        <v>653</v>
      </c>
      <c r="G177" s="83" t="s">
        <v>60</v>
      </c>
      <c r="H177" s="72">
        <v>45548</v>
      </c>
      <c r="I177" s="166">
        <v>5787201.6699999999</v>
      </c>
      <c r="J177" s="166"/>
      <c r="K177" s="166"/>
      <c r="L177" s="166"/>
      <c r="M177" s="166">
        <f t="shared" si="13"/>
        <v>-201.67</v>
      </c>
      <c r="N177" s="166">
        <v>5787000</v>
      </c>
      <c r="O177" s="36"/>
    </row>
    <row r="178" spans="1:16" x14ac:dyDescent="0.25">
      <c r="A178" s="73" t="s">
        <v>23</v>
      </c>
      <c r="B178" s="83">
        <v>800096576</v>
      </c>
      <c r="C178" s="74" t="s">
        <v>452</v>
      </c>
      <c r="D178" s="83" t="s">
        <v>60</v>
      </c>
      <c r="E178" s="75" t="s">
        <v>378</v>
      </c>
      <c r="F178" s="76" t="s">
        <v>653</v>
      </c>
      <c r="G178" s="83" t="s">
        <v>60</v>
      </c>
      <c r="H178" s="72">
        <v>45548</v>
      </c>
      <c r="I178" s="166">
        <v>2158511.86</v>
      </c>
      <c r="J178" s="166"/>
      <c r="K178" s="166"/>
      <c r="L178" s="166"/>
      <c r="M178" s="166">
        <f t="shared" si="13"/>
        <v>488.14</v>
      </c>
      <c r="N178" s="166">
        <v>2159000</v>
      </c>
      <c r="O178" s="36"/>
    </row>
    <row r="179" spans="1:16" x14ac:dyDescent="0.25">
      <c r="A179" s="73" t="s">
        <v>23</v>
      </c>
      <c r="B179" s="83">
        <v>800117687</v>
      </c>
      <c r="C179" s="74" t="s">
        <v>674</v>
      </c>
      <c r="D179" s="83" t="s">
        <v>60</v>
      </c>
      <c r="E179" s="75" t="s">
        <v>378</v>
      </c>
      <c r="F179" s="76" t="s">
        <v>653</v>
      </c>
      <c r="G179" s="83" t="s">
        <v>60</v>
      </c>
      <c r="H179" s="72">
        <v>45551</v>
      </c>
      <c r="I179" s="166">
        <v>555129</v>
      </c>
      <c r="J179" s="166"/>
      <c r="K179" s="166"/>
      <c r="L179" s="166"/>
      <c r="M179" s="166">
        <f t="shared" si="13"/>
        <v>-129</v>
      </c>
      <c r="N179" s="166">
        <v>555000</v>
      </c>
      <c r="O179" s="36"/>
    </row>
    <row r="180" spans="1:16" ht="45" x14ac:dyDescent="0.25">
      <c r="A180" s="73" t="s">
        <v>23</v>
      </c>
      <c r="B180" s="83">
        <v>800197268</v>
      </c>
      <c r="C180" s="74" t="s">
        <v>449</v>
      </c>
      <c r="D180" s="83" t="s">
        <v>60</v>
      </c>
      <c r="E180" s="75" t="s">
        <v>378</v>
      </c>
      <c r="F180" s="76" t="s">
        <v>649</v>
      </c>
      <c r="G180" s="83" t="s">
        <v>60</v>
      </c>
      <c r="H180" s="72">
        <v>45555</v>
      </c>
      <c r="I180" s="166">
        <v>233969737.36000001</v>
      </c>
      <c r="J180" s="166"/>
      <c r="K180" s="166"/>
      <c r="L180" s="166"/>
      <c r="M180" s="166">
        <f t="shared" si="13"/>
        <v>262.64</v>
      </c>
      <c r="N180" s="166">
        <v>233970000</v>
      </c>
      <c r="O180" s="36"/>
    </row>
    <row r="181" spans="1:16" ht="36.75" customHeight="1" x14ac:dyDescent="0.25">
      <c r="F181" s="107" t="s">
        <v>696</v>
      </c>
      <c r="I181" s="184">
        <f t="shared" ref="I181:N181" si="14">+SUM(I118:I180)</f>
        <v>10770865284.060007</v>
      </c>
      <c r="J181" s="184">
        <f t="shared" si="14"/>
        <v>1005677577.4</v>
      </c>
      <c r="K181" s="184">
        <f t="shared" si="14"/>
        <v>883104526.23000014</v>
      </c>
      <c r="L181" s="184">
        <f t="shared" si="14"/>
        <v>0</v>
      </c>
      <c r="M181" s="184">
        <f>+SUM(M118:M180)</f>
        <v>-1508.9799999999996</v>
      </c>
      <c r="N181" s="184">
        <f t="shared" si="14"/>
        <v>8882081671.4500008</v>
      </c>
      <c r="O181" s="100"/>
    </row>
    <row r="182" spans="1:16" ht="90" x14ac:dyDescent="0.25">
      <c r="A182" s="73" t="s">
        <v>23</v>
      </c>
      <c r="B182" s="83">
        <v>900503646</v>
      </c>
      <c r="C182" s="74" t="s">
        <v>194</v>
      </c>
      <c r="D182" s="83" t="s">
        <v>193</v>
      </c>
      <c r="E182" s="75" t="s">
        <v>394</v>
      </c>
      <c r="F182" s="76" t="s">
        <v>706</v>
      </c>
      <c r="G182" s="83">
        <v>270349</v>
      </c>
      <c r="H182" s="72">
        <v>45587</v>
      </c>
      <c r="I182" s="166">
        <v>36469856.219999999</v>
      </c>
      <c r="J182" s="166">
        <v>3646985.62</v>
      </c>
      <c r="K182" s="166">
        <v>2245338.4</v>
      </c>
      <c r="L182" s="166"/>
      <c r="M182" s="166">
        <v>0</v>
      </c>
      <c r="N182" s="166">
        <f>+I182-J182-K182-L182-M182</f>
        <v>30577532.199999999</v>
      </c>
      <c r="O182" s="36"/>
      <c r="P182" s="36"/>
    </row>
    <row r="183" spans="1:16" ht="75" x14ac:dyDescent="0.25">
      <c r="A183" s="73" t="s">
        <v>23</v>
      </c>
      <c r="B183" s="83">
        <v>901786317</v>
      </c>
      <c r="C183" s="74" t="s">
        <v>207</v>
      </c>
      <c r="D183" s="83" t="s">
        <v>206</v>
      </c>
      <c r="E183" s="75" t="s">
        <v>394</v>
      </c>
      <c r="F183" s="76" t="s">
        <v>707</v>
      </c>
      <c r="G183" s="83">
        <v>270864</v>
      </c>
      <c r="H183" s="72">
        <v>45588</v>
      </c>
      <c r="I183" s="166">
        <v>1718505223.2</v>
      </c>
      <c r="J183" s="166">
        <v>171850522.31999999</v>
      </c>
      <c r="K183" s="166">
        <v>164219362.88999999</v>
      </c>
      <c r="L183" s="166">
        <v>50000000</v>
      </c>
      <c r="M183" s="166">
        <v>0</v>
      </c>
      <c r="N183" s="166">
        <f t="shared" ref="N183:N204" si="15">+I183-J183-K183-L183-M183</f>
        <v>1332435337.9900002</v>
      </c>
      <c r="O183" s="36"/>
      <c r="P183" s="36"/>
    </row>
    <row r="184" spans="1:16" ht="75" x14ac:dyDescent="0.25">
      <c r="A184" s="73" t="s">
        <v>23</v>
      </c>
      <c r="B184" s="83">
        <v>901786131</v>
      </c>
      <c r="C184" s="74" t="s">
        <v>210</v>
      </c>
      <c r="D184" s="83" t="s">
        <v>209</v>
      </c>
      <c r="E184" s="75" t="s">
        <v>394</v>
      </c>
      <c r="F184" s="76" t="s">
        <v>708</v>
      </c>
      <c r="G184" s="83">
        <v>272621</v>
      </c>
      <c r="H184" s="72">
        <v>45593</v>
      </c>
      <c r="I184" s="166">
        <v>50000000</v>
      </c>
      <c r="J184" s="166">
        <v>5000000</v>
      </c>
      <c r="K184" s="166">
        <v>2857142.8499999996</v>
      </c>
      <c r="L184" s="166"/>
      <c r="M184" s="166">
        <v>0</v>
      </c>
      <c r="N184" s="166">
        <f t="shared" si="15"/>
        <v>42142857.149999999</v>
      </c>
      <c r="O184" s="36"/>
      <c r="P184" s="36"/>
    </row>
    <row r="185" spans="1:16" ht="75" x14ac:dyDescent="0.25">
      <c r="A185" s="73" t="s">
        <v>23</v>
      </c>
      <c r="B185" s="83">
        <v>901785680</v>
      </c>
      <c r="C185" s="74" t="s">
        <v>505</v>
      </c>
      <c r="D185" s="83" t="s">
        <v>155</v>
      </c>
      <c r="E185" s="75" t="s">
        <v>394</v>
      </c>
      <c r="F185" s="76" t="s">
        <v>709</v>
      </c>
      <c r="G185" s="83">
        <v>271477</v>
      </c>
      <c r="H185" s="72">
        <v>45589</v>
      </c>
      <c r="I185" s="166">
        <v>21230214.850000001</v>
      </c>
      <c r="J185" s="166">
        <v>2123021.4900000002</v>
      </c>
      <c r="K185" s="166">
        <v>1338038.75</v>
      </c>
      <c r="L185" s="166"/>
      <c r="M185" s="166">
        <v>0</v>
      </c>
      <c r="N185" s="166">
        <f t="shared" si="15"/>
        <v>17769154.609999999</v>
      </c>
      <c r="O185" s="36"/>
      <c r="P185" s="36"/>
    </row>
    <row r="186" spans="1:16" ht="75" x14ac:dyDescent="0.25">
      <c r="A186" s="73" t="s">
        <v>23</v>
      </c>
      <c r="B186" s="83">
        <v>900278442</v>
      </c>
      <c r="C186" s="74" t="s">
        <v>199</v>
      </c>
      <c r="D186" s="83" t="s">
        <v>198</v>
      </c>
      <c r="E186" s="75" t="s">
        <v>394</v>
      </c>
      <c r="F186" s="76" t="s">
        <v>710</v>
      </c>
      <c r="G186" s="83">
        <v>270547</v>
      </c>
      <c r="H186" s="72">
        <v>45587</v>
      </c>
      <c r="I186" s="166">
        <v>119554472.09</v>
      </c>
      <c r="J186" s="166">
        <v>11955447.199999999</v>
      </c>
      <c r="K186" s="166">
        <v>10635804.58</v>
      </c>
      <c r="L186" s="166"/>
      <c r="M186" s="166">
        <v>0</v>
      </c>
      <c r="N186" s="166">
        <f t="shared" si="15"/>
        <v>96963220.310000002</v>
      </c>
      <c r="O186" s="36"/>
      <c r="P186" s="36"/>
    </row>
    <row r="187" spans="1:16" ht="75" x14ac:dyDescent="0.25">
      <c r="A187" s="73" t="s">
        <v>23</v>
      </c>
      <c r="B187" s="83">
        <v>900506471</v>
      </c>
      <c r="C187" s="74" t="s">
        <v>202</v>
      </c>
      <c r="D187" s="83" t="s">
        <v>201</v>
      </c>
      <c r="E187" s="75" t="s">
        <v>394</v>
      </c>
      <c r="F187" s="76" t="s">
        <v>711</v>
      </c>
      <c r="G187" s="83">
        <v>270205</v>
      </c>
      <c r="H187" s="72">
        <v>45587</v>
      </c>
      <c r="I187" s="166">
        <v>2019012.8199999998</v>
      </c>
      <c r="J187" s="166">
        <v>201901.28</v>
      </c>
      <c r="K187" s="166">
        <v>127248.72</v>
      </c>
      <c r="L187" s="166"/>
      <c r="M187" s="166">
        <v>0</v>
      </c>
      <c r="N187" s="166">
        <f t="shared" si="15"/>
        <v>1689862.8199999998</v>
      </c>
      <c r="O187" s="36"/>
      <c r="P187" s="36"/>
    </row>
    <row r="188" spans="1:16" ht="75" x14ac:dyDescent="0.25">
      <c r="A188" s="73" t="s">
        <v>23</v>
      </c>
      <c r="B188" s="83">
        <v>901787725</v>
      </c>
      <c r="C188" s="74" t="s">
        <v>153</v>
      </c>
      <c r="D188" s="83" t="s">
        <v>152</v>
      </c>
      <c r="E188" s="75" t="s">
        <v>394</v>
      </c>
      <c r="F188" s="76" t="s">
        <v>712</v>
      </c>
      <c r="G188" s="83">
        <v>271808</v>
      </c>
      <c r="H188" s="72">
        <v>45589</v>
      </c>
      <c r="I188" s="166">
        <v>69600000</v>
      </c>
      <c r="J188" s="166">
        <v>6960000</v>
      </c>
      <c r="K188" s="166">
        <v>7603361.3500000006</v>
      </c>
      <c r="L188" s="166"/>
      <c r="M188" s="166">
        <v>0</v>
      </c>
      <c r="N188" s="166">
        <f t="shared" si="15"/>
        <v>55036638.649999999</v>
      </c>
      <c r="O188" s="36"/>
      <c r="P188" s="36"/>
    </row>
    <row r="189" spans="1:16" ht="90" x14ac:dyDescent="0.25">
      <c r="A189" s="73" t="s">
        <v>23</v>
      </c>
      <c r="B189" s="83">
        <v>811017902</v>
      </c>
      <c r="C189" s="74" t="s">
        <v>697</v>
      </c>
      <c r="D189" s="83" t="s">
        <v>404</v>
      </c>
      <c r="E189" s="75" t="s">
        <v>394</v>
      </c>
      <c r="F189" s="76" t="s">
        <v>713</v>
      </c>
      <c r="G189" s="83">
        <v>272337</v>
      </c>
      <c r="H189" s="72">
        <v>45593</v>
      </c>
      <c r="I189" s="166">
        <v>54201464.140000001</v>
      </c>
      <c r="J189" s="166">
        <v>5420146.4100000001</v>
      </c>
      <c r="K189" s="166">
        <v>3416058.66</v>
      </c>
      <c r="L189" s="166"/>
      <c r="M189" s="166">
        <v>0</v>
      </c>
      <c r="N189" s="166">
        <f t="shared" si="15"/>
        <v>45365259.070000008</v>
      </c>
      <c r="O189" s="36"/>
      <c r="P189" s="36"/>
    </row>
    <row r="190" spans="1:16" ht="75" x14ac:dyDescent="0.25">
      <c r="A190" s="73" t="s">
        <v>23</v>
      </c>
      <c r="B190" s="83">
        <v>901785680</v>
      </c>
      <c r="C190" s="74" t="s">
        <v>505</v>
      </c>
      <c r="D190" s="83" t="s">
        <v>155</v>
      </c>
      <c r="E190" s="75" t="s">
        <v>394</v>
      </c>
      <c r="F190" s="76" t="s">
        <v>714</v>
      </c>
      <c r="G190" s="83">
        <v>271814</v>
      </c>
      <c r="H190" s="72">
        <v>45590</v>
      </c>
      <c r="I190" s="166">
        <v>46113181</v>
      </c>
      <c r="J190" s="166">
        <v>4611318.0999999996</v>
      </c>
      <c r="K190" s="166">
        <v>2906292.9199999995</v>
      </c>
      <c r="L190" s="166"/>
      <c r="M190" s="166">
        <v>0</v>
      </c>
      <c r="N190" s="166">
        <f t="shared" si="15"/>
        <v>38595569.979999997</v>
      </c>
      <c r="O190" s="36"/>
      <c r="P190" s="36"/>
    </row>
    <row r="191" spans="1:16" ht="75" x14ac:dyDescent="0.25">
      <c r="A191" s="73" t="s">
        <v>23</v>
      </c>
      <c r="B191" s="83">
        <v>900584208</v>
      </c>
      <c r="C191" s="74" t="s">
        <v>145</v>
      </c>
      <c r="D191" s="83" t="s">
        <v>144</v>
      </c>
      <c r="E191" s="75" t="s">
        <v>394</v>
      </c>
      <c r="F191" s="76" t="s">
        <v>715</v>
      </c>
      <c r="G191" s="83">
        <v>270356</v>
      </c>
      <c r="H191" s="72">
        <v>45590</v>
      </c>
      <c r="I191" s="166">
        <v>1201835675.9199998</v>
      </c>
      <c r="J191" s="166">
        <v>120183567.59</v>
      </c>
      <c r="K191" s="166">
        <v>104964205.59999999</v>
      </c>
      <c r="L191" s="166"/>
      <c r="M191" s="166">
        <v>0</v>
      </c>
      <c r="N191" s="166">
        <f t="shared" si="15"/>
        <v>976687902.7299999</v>
      </c>
      <c r="O191" s="36"/>
      <c r="P191" s="36"/>
    </row>
    <row r="192" spans="1:16" ht="120" x14ac:dyDescent="0.25">
      <c r="A192" s="73" t="s">
        <v>23</v>
      </c>
      <c r="B192" s="83">
        <v>900506471</v>
      </c>
      <c r="C192" s="74" t="s">
        <v>570</v>
      </c>
      <c r="D192" s="83" t="s">
        <v>147</v>
      </c>
      <c r="E192" s="75" t="s">
        <v>394</v>
      </c>
      <c r="F192" s="76" t="s">
        <v>716</v>
      </c>
      <c r="G192" s="83">
        <v>270379</v>
      </c>
      <c r="H192" s="72">
        <v>45587</v>
      </c>
      <c r="I192" s="166">
        <v>53924040.57</v>
      </c>
      <c r="J192" s="166">
        <v>5392404.0599999996</v>
      </c>
      <c r="K192" s="166">
        <v>3398573.98</v>
      </c>
      <c r="L192" s="166"/>
      <c r="M192" s="166">
        <v>0</v>
      </c>
      <c r="N192" s="166">
        <f t="shared" si="15"/>
        <v>45133062.530000001</v>
      </c>
      <c r="O192" s="36"/>
      <c r="P192" s="36"/>
    </row>
    <row r="193" spans="1:16" ht="75" x14ac:dyDescent="0.25">
      <c r="A193" s="73" t="s">
        <v>381</v>
      </c>
      <c r="B193" s="83">
        <v>59312287</v>
      </c>
      <c r="C193" s="74" t="s">
        <v>172</v>
      </c>
      <c r="D193" s="83" t="s">
        <v>171</v>
      </c>
      <c r="E193" s="75" t="s">
        <v>394</v>
      </c>
      <c r="F193" s="76" t="s">
        <v>717</v>
      </c>
      <c r="G193" s="83">
        <v>270560</v>
      </c>
      <c r="H193" s="72">
        <v>45587</v>
      </c>
      <c r="I193" s="166">
        <v>150214763.44</v>
      </c>
      <c r="J193" s="166">
        <v>15021476.34</v>
      </c>
      <c r="K193" s="166">
        <v>13161916.859999999</v>
      </c>
      <c r="L193" s="166"/>
      <c r="M193" s="166">
        <v>0</v>
      </c>
      <c r="N193" s="166">
        <f t="shared" si="15"/>
        <v>122031370.23999999</v>
      </c>
      <c r="O193" s="36"/>
      <c r="P193" s="36"/>
    </row>
    <row r="194" spans="1:16" ht="75" x14ac:dyDescent="0.25">
      <c r="A194" s="73" t="s">
        <v>23</v>
      </c>
      <c r="B194" s="83">
        <v>901785672</v>
      </c>
      <c r="C194" s="74" t="s">
        <v>175</v>
      </c>
      <c r="D194" s="83" t="s">
        <v>174</v>
      </c>
      <c r="E194" s="75" t="s">
        <v>394</v>
      </c>
      <c r="F194" s="76" t="s">
        <v>718</v>
      </c>
      <c r="G194" s="83">
        <v>270385</v>
      </c>
      <c r="H194" s="72">
        <v>45587</v>
      </c>
      <c r="I194" s="166">
        <v>15352898.879999999</v>
      </c>
      <c r="J194" s="166">
        <v>1535289.89</v>
      </c>
      <c r="K194" s="166">
        <v>941816.49</v>
      </c>
      <c r="L194" s="166"/>
      <c r="M194" s="166">
        <v>0</v>
      </c>
      <c r="N194" s="166">
        <f t="shared" si="15"/>
        <v>12875792.499999998</v>
      </c>
      <c r="O194" s="36"/>
      <c r="P194" s="36"/>
    </row>
    <row r="195" spans="1:16" ht="75" x14ac:dyDescent="0.25">
      <c r="A195" s="73" t="s">
        <v>23</v>
      </c>
      <c r="B195" s="83">
        <v>901794652</v>
      </c>
      <c r="C195" s="74" t="s">
        <v>191</v>
      </c>
      <c r="D195" s="83" t="s">
        <v>190</v>
      </c>
      <c r="E195" s="75" t="s">
        <v>394</v>
      </c>
      <c r="F195" s="76" t="s">
        <v>719</v>
      </c>
      <c r="G195" s="83">
        <v>270210</v>
      </c>
      <c r="H195" s="72">
        <v>45590</v>
      </c>
      <c r="I195" s="166">
        <v>775039952.00999999</v>
      </c>
      <c r="J195" s="166">
        <v>77503995.200000003</v>
      </c>
      <c r="K195" s="166">
        <v>69024557.310000002</v>
      </c>
      <c r="L195" s="166">
        <v>35607160.170000076</v>
      </c>
      <c r="M195" s="166">
        <v>0</v>
      </c>
      <c r="N195" s="166">
        <f t="shared" si="15"/>
        <v>592904239.32999992</v>
      </c>
      <c r="O195" s="36"/>
      <c r="P195" s="36"/>
    </row>
    <row r="196" spans="1:16" ht="105" x14ac:dyDescent="0.25">
      <c r="A196" s="73" t="s">
        <v>23</v>
      </c>
      <c r="B196" s="83">
        <v>901830037</v>
      </c>
      <c r="C196" s="74" t="s">
        <v>437</v>
      </c>
      <c r="D196" s="83" t="s">
        <v>436</v>
      </c>
      <c r="E196" s="75" t="s">
        <v>394</v>
      </c>
      <c r="F196" s="76" t="s">
        <v>720</v>
      </c>
      <c r="G196" s="83">
        <v>271486</v>
      </c>
      <c r="H196" s="72">
        <v>45590</v>
      </c>
      <c r="I196" s="166">
        <v>47649603.189999998</v>
      </c>
      <c r="J196" s="166">
        <v>4764960.32</v>
      </c>
      <c r="K196" s="166">
        <v>3083209.63</v>
      </c>
      <c r="L196" s="166"/>
      <c r="M196" s="166">
        <v>0</v>
      </c>
      <c r="N196" s="166">
        <f t="shared" si="15"/>
        <v>39801433.239999995</v>
      </c>
      <c r="O196" s="36"/>
      <c r="P196" s="36"/>
    </row>
    <row r="197" spans="1:16" ht="75" x14ac:dyDescent="0.25">
      <c r="A197" s="73" t="s">
        <v>23</v>
      </c>
      <c r="B197" s="83">
        <v>901787725</v>
      </c>
      <c r="C197" s="74" t="s">
        <v>153</v>
      </c>
      <c r="D197" s="83" t="s">
        <v>152</v>
      </c>
      <c r="E197" s="75" t="s">
        <v>394</v>
      </c>
      <c r="F197" s="76" t="s">
        <v>721</v>
      </c>
      <c r="G197" s="83">
        <v>270389</v>
      </c>
      <c r="H197" s="72">
        <v>45587</v>
      </c>
      <c r="I197" s="166">
        <v>1706324718.4399998</v>
      </c>
      <c r="J197" s="166">
        <v>170632471.84</v>
      </c>
      <c r="K197" s="166">
        <v>152423455.68000001</v>
      </c>
      <c r="L197" s="166"/>
      <c r="M197" s="166">
        <v>0</v>
      </c>
      <c r="N197" s="166">
        <f t="shared" si="15"/>
        <v>1383268790.9199998</v>
      </c>
      <c r="O197" s="36"/>
      <c r="P197" s="36"/>
    </row>
    <row r="198" spans="1:16" ht="90" x14ac:dyDescent="0.25">
      <c r="A198" s="73" t="s">
        <v>23</v>
      </c>
      <c r="B198" s="83">
        <v>900084333</v>
      </c>
      <c r="C198" s="74" t="s">
        <v>698</v>
      </c>
      <c r="D198" s="83" t="s">
        <v>241</v>
      </c>
      <c r="E198" s="75" t="s">
        <v>394</v>
      </c>
      <c r="F198" s="76" t="s">
        <v>722</v>
      </c>
      <c r="G198" s="83">
        <v>270185</v>
      </c>
      <c r="H198" s="72">
        <v>45587</v>
      </c>
      <c r="I198" s="166">
        <v>898182339</v>
      </c>
      <c r="J198" s="166">
        <v>89818233.900000006</v>
      </c>
      <c r="K198" s="166">
        <v>80230392.609999999</v>
      </c>
      <c r="L198" s="166"/>
      <c r="M198" s="166">
        <v>0</v>
      </c>
      <c r="N198" s="166">
        <f t="shared" si="15"/>
        <v>728133712.49000001</v>
      </c>
      <c r="O198" s="36"/>
      <c r="P198" s="36"/>
    </row>
    <row r="199" spans="1:16" ht="75" x14ac:dyDescent="0.25">
      <c r="A199" s="73" t="s">
        <v>23</v>
      </c>
      <c r="B199" s="83">
        <v>901792473</v>
      </c>
      <c r="C199" s="74" t="s">
        <v>254</v>
      </c>
      <c r="D199" s="83" t="s">
        <v>253</v>
      </c>
      <c r="E199" s="75" t="s">
        <v>394</v>
      </c>
      <c r="F199" s="76" t="s">
        <v>723</v>
      </c>
      <c r="G199" s="83">
        <v>271818</v>
      </c>
      <c r="H199" s="72">
        <v>45593</v>
      </c>
      <c r="I199" s="166">
        <v>827935909.84000003</v>
      </c>
      <c r="J199" s="166">
        <v>82793590.980000004</v>
      </c>
      <c r="K199" s="166">
        <v>72333765.129999995</v>
      </c>
      <c r="L199" s="166">
        <v>18000000</v>
      </c>
      <c r="M199" s="166">
        <v>0</v>
      </c>
      <c r="N199" s="166">
        <f t="shared" si="15"/>
        <v>654808553.73000002</v>
      </c>
      <c r="O199" s="36"/>
      <c r="P199" s="36"/>
    </row>
    <row r="200" spans="1:16" ht="90" x14ac:dyDescent="0.25">
      <c r="A200" s="73" t="s">
        <v>381</v>
      </c>
      <c r="B200" s="83">
        <v>74184643</v>
      </c>
      <c r="C200" s="74" t="s">
        <v>257</v>
      </c>
      <c r="D200" s="83" t="s">
        <v>256</v>
      </c>
      <c r="E200" s="75" t="s">
        <v>394</v>
      </c>
      <c r="F200" s="76" t="s">
        <v>724</v>
      </c>
      <c r="G200" s="83">
        <v>271489</v>
      </c>
      <c r="H200" s="72">
        <v>45589</v>
      </c>
      <c r="I200" s="166">
        <v>58192708.369999997</v>
      </c>
      <c r="J200" s="166">
        <v>5819270.8399999999</v>
      </c>
      <c r="K200" s="166">
        <v>3569804.8000000003</v>
      </c>
      <c r="L200" s="166"/>
      <c r="M200" s="166">
        <v>0</v>
      </c>
      <c r="N200" s="166">
        <f t="shared" si="15"/>
        <v>48803632.730000004</v>
      </c>
      <c r="O200" s="36"/>
      <c r="P200" s="36"/>
    </row>
    <row r="201" spans="1:16" ht="90" x14ac:dyDescent="0.25">
      <c r="A201" s="73" t="s">
        <v>23</v>
      </c>
      <c r="B201" s="83">
        <v>901804711</v>
      </c>
      <c r="C201" s="74" t="s">
        <v>250</v>
      </c>
      <c r="D201" s="83" t="s">
        <v>249</v>
      </c>
      <c r="E201" s="75" t="s">
        <v>394</v>
      </c>
      <c r="F201" s="76" t="s">
        <v>725</v>
      </c>
      <c r="G201" s="83">
        <v>271498</v>
      </c>
      <c r="H201" s="72">
        <v>45589</v>
      </c>
      <c r="I201" s="166">
        <v>44294066.890000001</v>
      </c>
      <c r="J201" s="166">
        <v>4429406.6900000004</v>
      </c>
      <c r="K201" s="166">
        <v>2791642.8699999996</v>
      </c>
      <c r="L201" s="166"/>
      <c r="M201" s="166">
        <v>0</v>
      </c>
      <c r="N201" s="166">
        <f t="shared" si="15"/>
        <v>37073017.330000006</v>
      </c>
      <c r="O201" s="36"/>
      <c r="P201" s="36"/>
    </row>
    <row r="202" spans="1:16" ht="105" x14ac:dyDescent="0.25">
      <c r="A202" s="73" t="s">
        <v>23</v>
      </c>
      <c r="B202" s="83">
        <v>900206662</v>
      </c>
      <c r="C202" s="74" t="s">
        <v>699</v>
      </c>
      <c r="D202" s="83" t="s">
        <v>247</v>
      </c>
      <c r="E202" s="75" t="s">
        <v>394</v>
      </c>
      <c r="F202" s="76" t="s">
        <v>726</v>
      </c>
      <c r="G202" s="83">
        <v>271322</v>
      </c>
      <c r="H202" s="72">
        <v>45590</v>
      </c>
      <c r="I202" s="166">
        <v>176685873</v>
      </c>
      <c r="J202" s="166">
        <v>17668587.300000001</v>
      </c>
      <c r="K202" s="166">
        <v>17534787.710000001</v>
      </c>
      <c r="L202" s="166"/>
      <c r="M202" s="166">
        <v>0</v>
      </c>
      <c r="N202" s="166">
        <f t="shared" si="15"/>
        <v>141482497.98999998</v>
      </c>
      <c r="O202" s="36"/>
      <c r="P202" s="36"/>
    </row>
    <row r="203" spans="1:16" ht="135" x14ac:dyDescent="0.25">
      <c r="A203" s="73" t="s">
        <v>381</v>
      </c>
      <c r="B203" s="83">
        <v>12754374</v>
      </c>
      <c r="C203" s="74" t="s">
        <v>269</v>
      </c>
      <c r="D203" s="83" t="s">
        <v>268</v>
      </c>
      <c r="E203" s="75" t="s">
        <v>394</v>
      </c>
      <c r="F203" s="76" t="s">
        <v>727</v>
      </c>
      <c r="G203" s="83">
        <v>270869</v>
      </c>
      <c r="H203" s="72">
        <v>45593</v>
      </c>
      <c r="I203" s="166">
        <v>396504967.99000001</v>
      </c>
      <c r="J203" s="166">
        <v>39650496.799999997</v>
      </c>
      <c r="K203" s="166">
        <v>33146644.18</v>
      </c>
      <c r="L203" s="166"/>
      <c r="M203" s="166">
        <v>0</v>
      </c>
      <c r="N203" s="166">
        <f t="shared" si="15"/>
        <v>323707827.00999999</v>
      </c>
      <c r="O203" s="36"/>
      <c r="P203" s="36"/>
    </row>
    <row r="204" spans="1:16" ht="135" x14ac:dyDescent="0.25">
      <c r="A204" s="73" t="s">
        <v>23</v>
      </c>
      <c r="B204" s="83">
        <v>901808735</v>
      </c>
      <c r="C204" s="74" t="s">
        <v>272</v>
      </c>
      <c r="D204" s="83" t="s">
        <v>271</v>
      </c>
      <c r="E204" s="75" t="s">
        <v>394</v>
      </c>
      <c r="F204" s="76" t="s">
        <v>728</v>
      </c>
      <c r="G204" s="83">
        <v>270875</v>
      </c>
      <c r="H204" s="72">
        <v>45589</v>
      </c>
      <c r="I204" s="166">
        <v>54555665.689999998</v>
      </c>
      <c r="J204" s="166">
        <v>5455566.5700000003</v>
      </c>
      <c r="K204" s="166">
        <v>3396515.24</v>
      </c>
      <c r="L204" s="166"/>
      <c r="M204" s="166">
        <v>0</v>
      </c>
      <c r="N204" s="166">
        <f t="shared" si="15"/>
        <v>45703583.879999995</v>
      </c>
      <c r="O204" s="36"/>
      <c r="P204" s="36"/>
    </row>
    <row r="205" spans="1:16" ht="105" x14ac:dyDescent="0.25">
      <c r="A205" s="73" t="s">
        <v>23</v>
      </c>
      <c r="B205" s="83">
        <v>901803620</v>
      </c>
      <c r="C205" s="74" t="s">
        <v>285</v>
      </c>
      <c r="D205" s="83" t="s">
        <v>284</v>
      </c>
      <c r="E205" s="75" t="s">
        <v>394</v>
      </c>
      <c r="F205" s="76" t="s">
        <v>729</v>
      </c>
      <c r="G205" s="83">
        <v>270879</v>
      </c>
      <c r="H205" s="72">
        <v>45590</v>
      </c>
      <c r="I205" s="166">
        <v>400104959.99000001</v>
      </c>
      <c r="J205" s="166">
        <v>40010496</v>
      </c>
      <c r="K205" s="166">
        <v>33398230.580000002</v>
      </c>
      <c r="L205" s="166"/>
      <c r="M205" s="166">
        <v>0</v>
      </c>
      <c r="N205" s="166">
        <f t="shared" ref="N205:N231" si="16">+I205-J205-K205-L205+M205</f>
        <v>326696233.41000003</v>
      </c>
      <c r="O205" s="36"/>
      <c r="P205" s="36"/>
    </row>
    <row r="206" spans="1:16" ht="135" x14ac:dyDescent="0.25">
      <c r="A206" s="73" t="s">
        <v>23</v>
      </c>
      <c r="B206" s="83">
        <v>901819116</v>
      </c>
      <c r="C206" s="74" t="s">
        <v>431</v>
      </c>
      <c r="D206" s="83" t="s">
        <v>430</v>
      </c>
      <c r="E206" s="75" t="s">
        <v>394</v>
      </c>
      <c r="F206" s="76" t="s">
        <v>730</v>
      </c>
      <c r="G206" s="83">
        <v>271329</v>
      </c>
      <c r="H206" s="72">
        <v>45590</v>
      </c>
      <c r="I206" s="166">
        <v>441381507.20999998</v>
      </c>
      <c r="J206" s="166">
        <v>44138150.719999999</v>
      </c>
      <c r="K206" s="166">
        <v>34968307.560000002</v>
      </c>
      <c r="L206" s="166"/>
      <c r="M206" s="166">
        <v>0</v>
      </c>
      <c r="N206" s="166">
        <f t="shared" si="16"/>
        <v>362275048.93000001</v>
      </c>
      <c r="O206" s="36"/>
      <c r="P206" s="36"/>
    </row>
    <row r="207" spans="1:16" ht="135" x14ac:dyDescent="0.25">
      <c r="A207" s="73" t="s">
        <v>23</v>
      </c>
      <c r="B207" s="83">
        <v>901820483</v>
      </c>
      <c r="C207" s="74" t="s">
        <v>406</v>
      </c>
      <c r="D207" s="83" t="s">
        <v>405</v>
      </c>
      <c r="E207" s="75" t="s">
        <v>394</v>
      </c>
      <c r="F207" s="76" t="s">
        <v>731</v>
      </c>
      <c r="G207" s="83">
        <v>271332</v>
      </c>
      <c r="H207" s="72">
        <v>45590</v>
      </c>
      <c r="I207" s="166">
        <v>69382225.549999997</v>
      </c>
      <c r="J207" s="166">
        <v>6938222.5600000005</v>
      </c>
      <c r="K207" s="166">
        <v>4119671.67</v>
      </c>
      <c r="L207" s="166"/>
      <c r="M207" s="166">
        <v>0</v>
      </c>
      <c r="N207" s="166">
        <f t="shared" si="16"/>
        <v>58324331.319999993</v>
      </c>
      <c r="O207" s="36"/>
      <c r="P207" s="36"/>
    </row>
    <row r="208" spans="1:16" ht="120" x14ac:dyDescent="0.25">
      <c r="A208" s="73" t="s">
        <v>381</v>
      </c>
      <c r="B208" s="83">
        <v>9050725</v>
      </c>
      <c r="C208" s="74" t="s">
        <v>288</v>
      </c>
      <c r="D208" s="83" t="s">
        <v>287</v>
      </c>
      <c r="E208" s="75" t="s">
        <v>394</v>
      </c>
      <c r="F208" s="76" t="s">
        <v>732</v>
      </c>
      <c r="G208" s="83">
        <v>270883</v>
      </c>
      <c r="H208" s="72">
        <v>45588</v>
      </c>
      <c r="I208" s="166">
        <v>51004419.07</v>
      </c>
      <c r="J208" s="166">
        <v>5100441.91</v>
      </c>
      <c r="K208" s="166">
        <v>3188437.4999999995</v>
      </c>
      <c r="L208" s="166"/>
      <c r="M208" s="166">
        <v>0</v>
      </c>
      <c r="N208" s="166">
        <f t="shared" si="16"/>
        <v>42715539.659999996</v>
      </c>
      <c r="O208" s="36"/>
      <c r="P208" s="36"/>
    </row>
    <row r="209" spans="1:16" ht="135" x14ac:dyDescent="0.25">
      <c r="A209" s="73" t="s">
        <v>23</v>
      </c>
      <c r="B209" s="83">
        <v>901839812</v>
      </c>
      <c r="C209" s="74" t="s">
        <v>461</v>
      </c>
      <c r="D209" s="83" t="s">
        <v>460</v>
      </c>
      <c r="E209" s="75" t="s">
        <v>394</v>
      </c>
      <c r="F209" s="76" t="s">
        <v>733</v>
      </c>
      <c r="G209" s="83">
        <v>271335</v>
      </c>
      <c r="H209" s="72">
        <v>45593</v>
      </c>
      <c r="I209" s="166">
        <v>17551667.079999998</v>
      </c>
      <c r="J209" s="166">
        <v>1755166.71</v>
      </c>
      <c r="K209" s="166">
        <v>1046526.26</v>
      </c>
      <c r="L209" s="166"/>
      <c r="M209" s="166">
        <v>0</v>
      </c>
      <c r="N209" s="166">
        <f t="shared" si="16"/>
        <v>14749974.109999998</v>
      </c>
      <c r="O209" s="36"/>
      <c r="P209" s="36"/>
    </row>
    <row r="210" spans="1:16" ht="150" x14ac:dyDescent="0.25">
      <c r="A210" s="73" t="s">
        <v>23</v>
      </c>
      <c r="B210" s="83">
        <v>901839812</v>
      </c>
      <c r="C210" s="74" t="s">
        <v>461</v>
      </c>
      <c r="D210" s="83" t="s">
        <v>460</v>
      </c>
      <c r="E210" s="75" t="s">
        <v>394</v>
      </c>
      <c r="F210" s="76" t="s">
        <v>734</v>
      </c>
      <c r="G210" s="83">
        <v>271338</v>
      </c>
      <c r="H210" s="72">
        <v>45593</v>
      </c>
      <c r="I210" s="166">
        <v>21839890.379999999</v>
      </c>
      <c r="J210" s="166">
        <v>2183989.04</v>
      </c>
      <c r="K210" s="166">
        <v>1316792.44</v>
      </c>
      <c r="L210" s="166"/>
      <c r="M210" s="166">
        <v>0</v>
      </c>
      <c r="N210" s="166">
        <f t="shared" si="16"/>
        <v>18339108.899999999</v>
      </c>
      <c r="O210" s="36"/>
      <c r="P210" s="36"/>
    </row>
    <row r="211" spans="1:16" ht="135" x14ac:dyDescent="0.25">
      <c r="A211" s="73" t="s">
        <v>23</v>
      </c>
      <c r="B211" s="83">
        <v>813006542</v>
      </c>
      <c r="C211" s="74" t="s">
        <v>489</v>
      </c>
      <c r="D211" s="83" t="s">
        <v>488</v>
      </c>
      <c r="E211" s="75" t="s">
        <v>394</v>
      </c>
      <c r="F211" s="76" t="s">
        <v>735</v>
      </c>
      <c r="G211" s="83">
        <v>271340</v>
      </c>
      <c r="H211" s="72">
        <v>45589</v>
      </c>
      <c r="I211" s="166">
        <v>47986477.140000001</v>
      </c>
      <c r="J211" s="166">
        <v>4798647.71</v>
      </c>
      <c r="K211" s="166">
        <v>4061015.76</v>
      </c>
      <c r="L211" s="166"/>
      <c r="M211" s="166">
        <v>0</v>
      </c>
      <c r="N211" s="166">
        <f t="shared" si="16"/>
        <v>39126813.670000002</v>
      </c>
      <c r="O211" s="36"/>
      <c r="P211" s="36"/>
    </row>
    <row r="212" spans="1:16" ht="105" x14ac:dyDescent="0.25">
      <c r="A212" s="73" t="s">
        <v>23</v>
      </c>
      <c r="B212" s="83">
        <v>901808808</v>
      </c>
      <c r="C212" s="74" t="s">
        <v>140</v>
      </c>
      <c r="D212" s="83" t="s">
        <v>139</v>
      </c>
      <c r="E212" s="75" t="s">
        <v>394</v>
      </c>
      <c r="F212" s="76" t="s">
        <v>736</v>
      </c>
      <c r="G212" s="83">
        <v>272501</v>
      </c>
      <c r="H212" s="72">
        <v>45593</v>
      </c>
      <c r="I212" s="166">
        <v>51263260</v>
      </c>
      <c r="J212" s="166">
        <v>5126326</v>
      </c>
      <c r="K212" s="166">
        <v>3005577.8600000003</v>
      </c>
      <c r="L212" s="166"/>
      <c r="M212" s="166">
        <v>0</v>
      </c>
      <c r="N212" s="166">
        <f t="shared" si="16"/>
        <v>43131356.140000001</v>
      </c>
      <c r="O212" s="36"/>
      <c r="P212" s="36"/>
    </row>
    <row r="213" spans="1:16" ht="90" x14ac:dyDescent="0.25">
      <c r="A213" s="73" t="s">
        <v>23</v>
      </c>
      <c r="B213" s="83">
        <v>901811721</v>
      </c>
      <c r="C213" s="74" t="s">
        <v>137</v>
      </c>
      <c r="D213" s="83" t="s">
        <v>136</v>
      </c>
      <c r="E213" s="75" t="s">
        <v>394</v>
      </c>
      <c r="F213" s="76" t="s">
        <v>737</v>
      </c>
      <c r="G213" s="83">
        <v>272422</v>
      </c>
      <c r="H213" s="72">
        <v>45593</v>
      </c>
      <c r="I213" s="166">
        <v>492896157</v>
      </c>
      <c r="J213" s="166">
        <v>49289616</v>
      </c>
      <c r="K213" s="166">
        <v>47805705.479999997</v>
      </c>
      <c r="L213" s="166"/>
      <c r="M213" s="166">
        <v>0</v>
      </c>
      <c r="N213" s="166">
        <f t="shared" si="16"/>
        <v>395800835.51999998</v>
      </c>
      <c r="O213" s="36"/>
      <c r="P213" s="36"/>
    </row>
    <row r="214" spans="1:16" ht="30" x14ac:dyDescent="0.25">
      <c r="A214" s="73" t="s">
        <v>23</v>
      </c>
      <c r="B214" s="83">
        <v>800096808</v>
      </c>
      <c r="C214" s="74" t="s">
        <v>655</v>
      </c>
      <c r="D214" s="83" t="s">
        <v>60</v>
      </c>
      <c r="E214" s="75" t="s">
        <v>378</v>
      </c>
      <c r="F214" s="76" t="s">
        <v>653</v>
      </c>
      <c r="G214" s="83" t="s">
        <v>60</v>
      </c>
      <c r="H214" s="72">
        <v>45569</v>
      </c>
      <c r="I214" s="166">
        <v>8782726.0199999996</v>
      </c>
      <c r="J214" s="166"/>
      <c r="K214" s="166">
        <v>0</v>
      </c>
      <c r="L214" s="166"/>
      <c r="M214" s="166">
        <v>273.98</v>
      </c>
      <c r="N214" s="166">
        <f t="shared" si="16"/>
        <v>8783000</v>
      </c>
      <c r="O214" s="36"/>
      <c r="P214" s="36"/>
    </row>
    <row r="215" spans="1:16" x14ac:dyDescent="0.25">
      <c r="A215" s="73" t="s">
        <v>23</v>
      </c>
      <c r="B215" s="83">
        <v>800102799</v>
      </c>
      <c r="C215" s="74" t="s">
        <v>652</v>
      </c>
      <c r="D215" s="83" t="s">
        <v>60</v>
      </c>
      <c r="E215" s="75" t="s">
        <v>378</v>
      </c>
      <c r="F215" s="76" t="s">
        <v>653</v>
      </c>
      <c r="G215" s="83" t="s">
        <v>60</v>
      </c>
      <c r="H215" s="72">
        <v>45569</v>
      </c>
      <c r="I215" s="166">
        <v>34800.89</v>
      </c>
      <c r="J215" s="166"/>
      <c r="K215" s="166">
        <v>0</v>
      </c>
      <c r="L215" s="166"/>
      <c r="M215" s="166">
        <v>199.11</v>
      </c>
      <c r="N215" s="166">
        <f t="shared" si="16"/>
        <v>35000</v>
      </c>
      <c r="O215" s="36"/>
      <c r="P215" s="36"/>
    </row>
    <row r="216" spans="1:16" x14ac:dyDescent="0.25">
      <c r="A216" s="73" t="s">
        <v>23</v>
      </c>
      <c r="B216" s="83">
        <v>800138959</v>
      </c>
      <c r="C216" s="74" t="s">
        <v>700</v>
      </c>
      <c r="D216" s="83" t="s">
        <v>60</v>
      </c>
      <c r="E216" s="75" t="s">
        <v>378</v>
      </c>
      <c r="F216" s="76" t="s">
        <v>738</v>
      </c>
      <c r="G216" s="83" t="s">
        <v>60</v>
      </c>
      <c r="H216" s="72">
        <v>45569</v>
      </c>
      <c r="I216" s="166">
        <v>275007.65999999997</v>
      </c>
      <c r="J216" s="166"/>
      <c r="K216" s="166">
        <v>0</v>
      </c>
      <c r="L216" s="166"/>
      <c r="M216" s="166">
        <v>-7.66</v>
      </c>
      <c r="N216" s="166">
        <f t="shared" si="16"/>
        <v>275000</v>
      </c>
      <c r="O216" s="36"/>
      <c r="P216" s="36"/>
    </row>
    <row r="217" spans="1:16" x14ac:dyDescent="0.25">
      <c r="A217" s="73" t="s">
        <v>23</v>
      </c>
      <c r="B217" s="83">
        <v>800138959</v>
      </c>
      <c r="C217" s="74" t="s">
        <v>700</v>
      </c>
      <c r="D217" s="83" t="s">
        <v>60</v>
      </c>
      <c r="E217" s="75" t="s">
        <v>378</v>
      </c>
      <c r="F217" s="76" t="s">
        <v>739</v>
      </c>
      <c r="G217" s="83" t="s">
        <v>60</v>
      </c>
      <c r="H217" s="72">
        <v>45569</v>
      </c>
      <c r="I217" s="166">
        <v>825022.98</v>
      </c>
      <c r="J217" s="166"/>
      <c r="K217" s="166">
        <v>0</v>
      </c>
      <c r="L217" s="166"/>
      <c r="M217" s="166">
        <v>-22.98</v>
      </c>
      <c r="N217" s="166">
        <f t="shared" si="16"/>
        <v>825000</v>
      </c>
      <c r="O217" s="36"/>
      <c r="P217" s="36"/>
    </row>
    <row r="218" spans="1:16" x14ac:dyDescent="0.25">
      <c r="A218" s="73" t="s">
        <v>23</v>
      </c>
      <c r="B218" s="83">
        <v>800138959</v>
      </c>
      <c r="C218" s="74" t="s">
        <v>700</v>
      </c>
      <c r="D218" s="83" t="s">
        <v>60</v>
      </c>
      <c r="E218" s="75" t="s">
        <v>378</v>
      </c>
      <c r="F218" s="76" t="s">
        <v>653</v>
      </c>
      <c r="G218" s="83" t="s">
        <v>60</v>
      </c>
      <c r="H218" s="72">
        <v>45569</v>
      </c>
      <c r="I218" s="166">
        <v>5500153.2199999997</v>
      </c>
      <c r="J218" s="166"/>
      <c r="K218" s="166">
        <v>0</v>
      </c>
      <c r="L218" s="166"/>
      <c r="M218" s="166">
        <v>-153.22</v>
      </c>
      <c r="N218" s="166">
        <f t="shared" si="16"/>
        <v>5500000</v>
      </c>
      <c r="O218" s="36"/>
      <c r="P218" s="36"/>
    </row>
    <row r="219" spans="1:16" ht="30" x14ac:dyDescent="0.25">
      <c r="A219" s="73" t="s">
        <v>23</v>
      </c>
      <c r="B219" s="83">
        <v>800096558</v>
      </c>
      <c r="C219" s="74" t="s">
        <v>701</v>
      </c>
      <c r="D219" s="83" t="s">
        <v>60</v>
      </c>
      <c r="E219" s="75" t="s">
        <v>378</v>
      </c>
      <c r="F219" s="76" t="s">
        <v>653</v>
      </c>
      <c r="G219" s="83" t="s">
        <v>60</v>
      </c>
      <c r="H219" s="72">
        <v>45572</v>
      </c>
      <c r="I219" s="166">
        <v>636227.12</v>
      </c>
      <c r="J219" s="166"/>
      <c r="K219" s="166">
        <v>0</v>
      </c>
      <c r="L219" s="166"/>
      <c r="M219" s="166">
        <v>-227.12</v>
      </c>
      <c r="N219" s="166">
        <f t="shared" si="16"/>
        <v>636000</v>
      </c>
      <c r="O219" s="36"/>
      <c r="P219" s="36"/>
    </row>
    <row r="220" spans="1:16" x14ac:dyDescent="0.25">
      <c r="A220" s="73" t="s">
        <v>23</v>
      </c>
      <c r="B220" s="83">
        <v>800102801</v>
      </c>
      <c r="C220" s="74" t="s">
        <v>551</v>
      </c>
      <c r="D220" s="83" t="s">
        <v>60</v>
      </c>
      <c r="E220" s="75" t="s">
        <v>378</v>
      </c>
      <c r="F220" s="76" t="s">
        <v>653</v>
      </c>
      <c r="G220" s="83" t="s">
        <v>60</v>
      </c>
      <c r="H220" s="72">
        <v>45573</v>
      </c>
      <c r="I220" s="166">
        <v>15991380.51</v>
      </c>
      <c r="J220" s="166"/>
      <c r="K220" s="166">
        <v>0</v>
      </c>
      <c r="L220" s="166"/>
      <c r="M220" s="166">
        <v>-380.51</v>
      </c>
      <c r="N220" s="166">
        <f t="shared" si="16"/>
        <v>15991000</v>
      </c>
      <c r="O220" s="36"/>
      <c r="P220" s="36"/>
    </row>
    <row r="221" spans="1:16" ht="30" x14ac:dyDescent="0.25">
      <c r="A221" s="73" t="s">
        <v>23</v>
      </c>
      <c r="B221" s="83">
        <v>892301130</v>
      </c>
      <c r="C221" s="74" t="s">
        <v>702</v>
      </c>
      <c r="D221" s="83" t="s">
        <v>60</v>
      </c>
      <c r="E221" s="75" t="s">
        <v>378</v>
      </c>
      <c r="F221" s="76" t="s">
        <v>653</v>
      </c>
      <c r="G221" s="83" t="s">
        <v>60</v>
      </c>
      <c r="H221" s="72">
        <v>45573</v>
      </c>
      <c r="I221" s="166">
        <v>500541.67</v>
      </c>
      <c r="J221" s="166"/>
      <c r="K221" s="166">
        <v>0</v>
      </c>
      <c r="L221" s="166"/>
      <c r="M221" s="166">
        <v>458.33</v>
      </c>
      <c r="N221" s="166">
        <f t="shared" si="16"/>
        <v>501000</v>
      </c>
      <c r="O221" s="36"/>
      <c r="P221" s="36"/>
    </row>
    <row r="222" spans="1:16" ht="30" x14ac:dyDescent="0.25">
      <c r="A222" s="73" t="s">
        <v>23</v>
      </c>
      <c r="B222" s="83">
        <v>800096585</v>
      </c>
      <c r="C222" s="74" t="s">
        <v>451</v>
      </c>
      <c r="D222" s="83" t="s">
        <v>60</v>
      </c>
      <c r="E222" s="75" t="s">
        <v>378</v>
      </c>
      <c r="F222" s="76" t="s">
        <v>653</v>
      </c>
      <c r="G222" s="83" t="s">
        <v>60</v>
      </c>
      <c r="H222" s="72">
        <v>45573</v>
      </c>
      <c r="I222" s="166">
        <v>5146730.13</v>
      </c>
      <c r="J222" s="166"/>
      <c r="K222" s="166">
        <v>0</v>
      </c>
      <c r="L222" s="166"/>
      <c r="M222" s="166">
        <v>269.87</v>
      </c>
      <c r="N222" s="166">
        <f t="shared" si="16"/>
        <v>5147000</v>
      </c>
      <c r="O222" s="36"/>
      <c r="P222" s="36"/>
    </row>
    <row r="223" spans="1:16" x14ac:dyDescent="0.25">
      <c r="A223" s="73" t="s">
        <v>23</v>
      </c>
      <c r="B223" s="83">
        <v>800117687</v>
      </c>
      <c r="C223" s="74" t="s">
        <v>674</v>
      </c>
      <c r="D223" s="83" t="s">
        <v>60</v>
      </c>
      <c r="E223" s="75" t="s">
        <v>378</v>
      </c>
      <c r="F223" s="76" t="s">
        <v>653</v>
      </c>
      <c r="G223" s="83" t="s">
        <v>60</v>
      </c>
      <c r="H223" s="72">
        <v>45573</v>
      </c>
      <c r="I223" s="166">
        <v>679407.87</v>
      </c>
      <c r="J223" s="166"/>
      <c r="K223" s="166">
        <v>0</v>
      </c>
      <c r="L223" s="166"/>
      <c r="M223" s="166">
        <v>-407.87</v>
      </c>
      <c r="N223" s="166">
        <f t="shared" si="16"/>
        <v>679000</v>
      </c>
      <c r="O223" s="36"/>
      <c r="P223" s="36"/>
    </row>
    <row r="224" spans="1:16" ht="30" x14ac:dyDescent="0.25">
      <c r="A224" s="73" t="s">
        <v>23</v>
      </c>
      <c r="B224" s="83">
        <v>891500580</v>
      </c>
      <c r="C224" s="74" t="s">
        <v>672</v>
      </c>
      <c r="D224" s="83" t="s">
        <v>60</v>
      </c>
      <c r="E224" s="75" t="s">
        <v>378</v>
      </c>
      <c r="F224" s="76" t="s">
        <v>653</v>
      </c>
      <c r="G224" s="83" t="s">
        <v>60</v>
      </c>
      <c r="H224" s="72">
        <v>45573</v>
      </c>
      <c r="I224" s="166">
        <v>88791.37</v>
      </c>
      <c r="J224" s="166"/>
      <c r="K224" s="166">
        <v>0</v>
      </c>
      <c r="L224" s="166"/>
      <c r="M224" s="166">
        <v>208.63</v>
      </c>
      <c r="N224" s="166">
        <f t="shared" si="16"/>
        <v>89000</v>
      </c>
      <c r="O224" s="36"/>
      <c r="P224" s="36"/>
    </row>
    <row r="225" spans="1:16" ht="30" x14ac:dyDescent="0.25">
      <c r="A225" s="73" t="s">
        <v>23</v>
      </c>
      <c r="B225" s="83">
        <v>800100519</v>
      </c>
      <c r="C225" s="74" t="s">
        <v>666</v>
      </c>
      <c r="D225" s="83" t="s">
        <v>60</v>
      </c>
      <c r="E225" s="75" t="s">
        <v>378</v>
      </c>
      <c r="F225" s="76" t="s">
        <v>653</v>
      </c>
      <c r="G225" s="83" t="s">
        <v>60</v>
      </c>
      <c r="H225" s="72">
        <v>45573</v>
      </c>
      <c r="I225" s="166">
        <v>269319.05</v>
      </c>
      <c r="J225" s="166"/>
      <c r="K225" s="166">
        <v>0</v>
      </c>
      <c r="L225" s="166"/>
      <c r="M225" s="166">
        <v>-319.05</v>
      </c>
      <c r="N225" s="166">
        <f t="shared" si="16"/>
        <v>269000</v>
      </c>
      <c r="O225" s="36"/>
      <c r="P225" s="36"/>
    </row>
    <row r="226" spans="1:16" ht="30" x14ac:dyDescent="0.25">
      <c r="A226" s="73" t="s">
        <v>23</v>
      </c>
      <c r="B226" s="83">
        <v>899999090</v>
      </c>
      <c r="C226" s="74" t="s">
        <v>547</v>
      </c>
      <c r="D226" s="83" t="s">
        <v>60</v>
      </c>
      <c r="E226" s="75" t="s">
        <v>378</v>
      </c>
      <c r="F226" s="76" t="s">
        <v>740</v>
      </c>
      <c r="G226" s="83" t="s">
        <v>60</v>
      </c>
      <c r="H226" s="72">
        <v>45574</v>
      </c>
      <c r="I226" s="166">
        <v>426173617.31</v>
      </c>
      <c r="J226" s="166"/>
      <c r="K226" s="166">
        <v>0</v>
      </c>
      <c r="L226" s="166"/>
      <c r="M226" s="166">
        <v>382.69</v>
      </c>
      <c r="N226" s="166">
        <f t="shared" si="16"/>
        <v>426174000</v>
      </c>
      <c r="O226" s="36"/>
      <c r="P226" s="36"/>
    </row>
    <row r="227" spans="1:16" x14ac:dyDescent="0.25">
      <c r="A227" s="73" t="s">
        <v>23</v>
      </c>
      <c r="B227" s="83">
        <v>891780045</v>
      </c>
      <c r="C227" s="74" t="s">
        <v>703</v>
      </c>
      <c r="D227" s="83" t="s">
        <v>60</v>
      </c>
      <c r="E227" s="75" t="s">
        <v>378</v>
      </c>
      <c r="F227" s="76" t="s">
        <v>653</v>
      </c>
      <c r="G227" s="83" t="s">
        <v>60</v>
      </c>
      <c r="H227" s="72">
        <v>45575</v>
      </c>
      <c r="I227" s="166">
        <v>636227.12</v>
      </c>
      <c r="J227" s="166"/>
      <c r="K227" s="166">
        <v>0</v>
      </c>
      <c r="L227" s="166"/>
      <c r="M227" s="166">
        <v>-227.12</v>
      </c>
      <c r="N227" s="166">
        <f t="shared" si="16"/>
        <v>636000</v>
      </c>
      <c r="O227" s="36"/>
      <c r="P227" s="36"/>
    </row>
    <row r="228" spans="1:16" x14ac:dyDescent="0.25">
      <c r="A228" s="73" t="s">
        <v>23</v>
      </c>
      <c r="B228" s="83">
        <v>800098911</v>
      </c>
      <c r="C228" s="74" t="s">
        <v>704</v>
      </c>
      <c r="D228" s="83" t="s">
        <v>60</v>
      </c>
      <c r="E228" s="75" t="s">
        <v>378</v>
      </c>
      <c r="F228" s="76" t="s">
        <v>653</v>
      </c>
      <c r="G228" s="83" t="s">
        <v>60</v>
      </c>
      <c r="H228" s="72">
        <v>45575</v>
      </c>
      <c r="I228" s="166">
        <v>500541.67</v>
      </c>
      <c r="J228" s="166"/>
      <c r="K228" s="166">
        <v>0</v>
      </c>
      <c r="L228" s="166"/>
      <c r="M228" s="166">
        <v>458.33</v>
      </c>
      <c r="N228" s="166">
        <f t="shared" si="16"/>
        <v>501000</v>
      </c>
      <c r="O228" s="36"/>
      <c r="P228" s="36"/>
    </row>
    <row r="229" spans="1:16" ht="30" x14ac:dyDescent="0.25">
      <c r="A229" s="73" t="s">
        <v>23</v>
      </c>
      <c r="B229" s="83">
        <v>891500982</v>
      </c>
      <c r="C229" s="74" t="s">
        <v>453</v>
      </c>
      <c r="D229" s="83" t="s">
        <v>60</v>
      </c>
      <c r="E229" s="75" t="s">
        <v>378</v>
      </c>
      <c r="F229" s="76" t="s">
        <v>653</v>
      </c>
      <c r="G229" s="83" t="s">
        <v>60</v>
      </c>
      <c r="H229" s="72">
        <v>45575</v>
      </c>
      <c r="I229" s="166">
        <v>2002266.84</v>
      </c>
      <c r="J229" s="166"/>
      <c r="K229" s="166">
        <v>0</v>
      </c>
      <c r="L229" s="166"/>
      <c r="M229" s="166">
        <v>-266.83999999999997</v>
      </c>
      <c r="N229" s="166">
        <f t="shared" si="16"/>
        <v>2002000</v>
      </c>
      <c r="O229" s="36"/>
      <c r="P229" s="36"/>
    </row>
    <row r="230" spans="1:16" ht="30" x14ac:dyDescent="0.25">
      <c r="A230" s="73" t="s">
        <v>23</v>
      </c>
      <c r="B230" s="83">
        <v>891500856</v>
      </c>
      <c r="C230" s="74" t="s">
        <v>669</v>
      </c>
      <c r="D230" s="83" t="s">
        <v>60</v>
      </c>
      <c r="E230" s="75" t="s">
        <v>378</v>
      </c>
      <c r="F230" s="76" t="s">
        <v>653</v>
      </c>
      <c r="G230" s="83" t="s">
        <v>60</v>
      </c>
      <c r="H230" s="72">
        <v>45575</v>
      </c>
      <c r="I230" s="166">
        <v>936875.65</v>
      </c>
      <c r="J230" s="166"/>
      <c r="K230" s="166">
        <v>0</v>
      </c>
      <c r="L230" s="166"/>
      <c r="M230" s="166">
        <v>124.35</v>
      </c>
      <c r="N230" s="166">
        <f t="shared" si="16"/>
        <v>937000</v>
      </c>
      <c r="O230" s="36"/>
      <c r="P230" s="36"/>
    </row>
    <row r="231" spans="1:16" ht="45" x14ac:dyDescent="0.25">
      <c r="A231" s="73" t="s">
        <v>23</v>
      </c>
      <c r="B231" s="83">
        <v>892115007</v>
      </c>
      <c r="C231" s="74" t="s">
        <v>705</v>
      </c>
      <c r="D231" s="83" t="s">
        <v>60</v>
      </c>
      <c r="E231" s="75" t="s">
        <v>378</v>
      </c>
      <c r="F231" s="76" t="s">
        <v>653</v>
      </c>
      <c r="G231" s="83" t="s">
        <v>60</v>
      </c>
      <c r="H231" s="72">
        <v>45575</v>
      </c>
      <c r="I231" s="166">
        <v>199484.29</v>
      </c>
      <c r="J231" s="166"/>
      <c r="K231" s="166">
        <v>0</v>
      </c>
      <c r="L231" s="166"/>
      <c r="M231" s="166">
        <v>-484.29</v>
      </c>
      <c r="N231" s="166">
        <f t="shared" si="16"/>
        <v>199000</v>
      </c>
      <c r="O231" s="36"/>
      <c r="P231" s="36"/>
    </row>
    <row r="232" spans="1:16" ht="45" x14ac:dyDescent="0.25">
      <c r="A232" s="73" t="s">
        <v>23</v>
      </c>
      <c r="B232" s="83">
        <v>800197268</v>
      </c>
      <c r="C232" s="74" t="s">
        <v>449</v>
      </c>
      <c r="D232" s="83" t="s">
        <v>60</v>
      </c>
      <c r="E232" s="75" t="s">
        <v>378</v>
      </c>
      <c r="F232" s="76" t="s">
        <v>649</v>
      </c>
      <c r="G232" s="83" t="s">
        <v>60</v>
      </c>
      <c r="H232" s="72">
        <v>45587</v>
      </c>
      <c r="I232" s="166">
        <v>271269573.68000001</v>
      </c>
      <c r="J232" s="166"/>
      <c r="K232" s="166">
        <v>0</v>
      </c>
      <c r="L232" s="166"/>
      <c r="M232" s="166">
        <v>426.32</v>
      </c>
      <c r="N232" s="166">
        <f>+I232-J232-K232-L232+M232</f>
        <v>271270000</v>
      </c>
      <c r="O232" s="36"/>
      <c r="P232" s="36"/>
    </row>
    <row r="233" spans="1:16" ht="36.75" customHeight="1" x14ac:dyDescent="0.25">
      <c r="F233" s="107" t="s">
        <v>745</v>
      </c>
      <c r="I233" s="184">
        <f>+SUM(I182:I232)</f>
        <v>10858245866.019997</v>
      </c>
      <c r="J233" s="184">
        <f t="shared" ref="J233:N233" si="17">+SUM(J182:J232)</f>
        <v>1011779717.39</v>
      </c>
      <c r="K233" s="184">
        <f t="shared" si="17"/>
        <v>888260202.32000017</v>
      </c>
      <c r="L233" s="184">
        <f t="shared" si="17"/>
        <v>103607160.17000008</v>
      </c>
      <c r="M233" s="184">
        <f t="shared" si="17"/>
        <v>304.94999999999993</v>
      </c>
      <c r="N233" s="184">
        <f t="shared" si="17"/>
        <v>8854599091.0899982</v>
      </c>
      <c r="O233" s="100"/>
      <c r="P233" s="36"/>
    </row>
    <row r="234" spans="1:16" ht="105" x14ac:dyDescent="0.25">
      <c r="A234" s="73" t="s">
        <v>23</v>
      </c>
      <c r="B234" s="83">
        <v>901803620</v>
      </c>
      <c r="C234" s="74" t="s">
        <v>285</v>
      </c>
      <c r="D234" s="83" t="s">
        <v>284</v>
      </c>
      <c r="E234" s="75" t="s">
        <v>394</v>
      </c>
      <c r="F234" s="76" t="s">
        <v>759</v>
      </c>
      <c r="G234" s="83">
        <v>274751</v>
      </c>
      <c r="H234" s="72">
        <v>45615</v>
      </c>
      <c r="I234" s="166">
        <v>304498075.13</v>
      </c>
      <c r="J234" s="166">
        <v>30449807.510000002</v>
      </c>
      <c r="K234" s="166">
        <v>25416574.550000001</v>
      </c>
      <c r="L234" s="166"/>
      <c r="M234" s="166">
        <v>0</v>
      </c>
      <c r="N234" s="166">
        <f>+I234-J234-K234-L234-M234</f>
        <v>248631693.06999999</v>
      </c>
      <c r="O234" s="36"/>
      <c r="P234" s="36"/>
    </row>
    <row r="235" spans="1:16" ht="120" x14ac:dyDescent="0.25">
      <c r="A235" s="73" t="s">
        <v>23</v>
      </c>
      <c r="B235" s="83">
        <v>901820483</v>
      </c>
      <c r="C235" s="74" t="s">
        <v>406</v>
      </c>
      <c r="D235" s="83" t="s">
        <v>405</v>
      </c>
      <c r="E235" s="75" t="s">
        <v>394</v>
      </c>
      <c r="F235" s="76" t="s">
        <v>760</v>
      </c>
      <c r="G235" s="83">
        <v>274527</v>
      </c>
      <c r="H235" s="72">
        <v>45614</v>
      </c>
      <c r="I235" s="166">
        <v>43646925.609999999</v>
      </c>
      <c r="J235" s="166">
        <v>4364692.5599999996</v>
      </c>
      <c r="K235" s="166">
        <v>2591600.41</v>
      </c>
      <c r="L235" s="166"/>
      <c r="M235" s="166">
        <v>0</v>
      </c>
      <c r="N235" s="166">
        <f t="shared" ref="N235:N272" si="18">+I235-J235-K235-L235-M235</f>
        <v>36690632.640000001</v>
      </c>
      <c r="O235" s="36"/>
      <c r="P235" s="36"/>
    </row>
    <row r="236" spans="1:16" ht="135" x14ac:dyDescent="0.25">
      <c r="A236" s="73" t="s">
        <v>23</v>
      </c>
      <c r="B236" s="83">
        <v>901819116</v>
      </c>
      <c r="C236" s="74" t="s">
        <v>431</v>
      </c>
      <c r="D236" s="83" t="s">
        <v>430</v>
      </c>
      <c r="E236" s="75" t="s">
        <v>394</v>
      </c>
      <c r="F236" s="76" t="s">
        <v>761</v>
      </c>
      <c r="G236" s="83">
        <v>274531</v>
      </c>
      <c r="H236" s="72">
        <v>45615</v>
      </c>
      <c r="I236" s="166">
        <v>343661678.69</v>
      </c>
      <c r="J236" s="166">
        <v>34366167.869999997</v>
      </c>
      <c r="K236" s="166">
        <v>27918633.25</v>
      </c>
      <c r="L236" s="166"/>
      <c r="M236" s="166">
        <v>0</v>
      </c>
      <c r="N236" s="166">
        <f t="shared" ref="N236" si="19">+I236-J236-K236-L236-M236</f>
        <v>281376877.56999999</v>
      </c>
      <c r="O236" s="36"/>
      <c r="P236" s="36"/>
    </row>
    <row r="237" spans="1:16" ht="120" x14ac:dyDescent="0.25">
      <c r="A237" s="73" t="s">
        <v>381</v>
      </c>
      <c r="B237" s="83">
        <v>9050725</v>
      </c>
      <c r="C237" s="74" t="s">
        <v>288</v>
      </c>
      <c r="D237" s="83" t="s">
        <v>287</v>
      </c>
      <c r="E237" s="75" t="s">
        <v>394</v>
      </c>
      <c r="F237" s="76" t="s">
        <v>762</v>
      </c>
      <c r="G237" s="83">
        <v>274536</v>
      </c>
      <c r="H237" s="72">
        <v>45614</v>
      </c>
      <c r="I237" s="166">
        <v>44378968.329999998</v>
      </c>
      <c r="J237" s="166">
        <v>4437896.83</v>
      </c>
      <c r="K237" s="166">
        <v>2770275.0500000003</v>
      </c>
      <c r="L237" s="166"/>
      <c r="M237" s="166">
        <v>0</v>
      </c>
      <c r="N237" s="166">
        <f t="shared" si="18"/>
        <v>37170796.450000003</v>
      </c>
      <c r="O237" s="36"/>
      <c r="P237" s="36"/>
    </row>
    <row r="238" spans="1:16" ht="120" x14ac:dyDescent="0.25">
      <c r="A238" s="73" t="s">
        <v>23</v>
      </c>
      <c r="B238" s="83">
        <v>900185357</v>
      </c>
      <c r="C238" s="74" t="s">
        <v>305</v>
      </c>
      <c r="D238" s="83" t="s">
        <v>304</v>
      </c>
      <c r="E238" s="75" t="s">
        <v>394</v>
      </c>
      <c r="F238" s="76" t="s">
        <v>763</v>
      </c>
      <c r="G238" s="83">
        <v>274552</v>
      </c>
      <c r="H238" s="72">
        <v>45615</v>
      </c>
      <c r="I238" s="166">
        <v>35881262.5</v>
      </c>
      <c r="J238" s="166">
        <v>3588126.25</v>
      </c>
      <c r="K238" s="166">
        <v>3719288.86</v>
      </c>
      <c r="L238" s="166"/>
      <c r="M238" s="166">
        <v>0</v>
      </c>
      <c r="N238" s="166">
        <f t="shared" si="18"/>
        <v>28573847.390000001</v>
      </c>
      <c r="O238" s="36"/>
      <c r="P238" s="36"/>
    </row>
    <row r="239" spans="1:16" ht="135" x14ac:dyDescent="0.25">
      <c r="A239" s="73" t="s">
        <v>381</v>
      </c>
      <c r="B239" s="83">
        <v>9050725</v>
      </c>
      <c r="C239" s="74" t="s">
        <v>288</v>
      </c>
      <c r="D239" s="83" t="s">
        <v>307</v>
      </c>
      <c r="E239" s="75" t="s">
        <v>394</v>
      </c>
      <c r="F239" s="76" t="s">
        <v>764</v>
      </c>
      <c r="G239" s="83">
        <v>274752</v>
      </c>
      <c r="H239" s="72">
        <v>45615</v>
      </c>
      <c r="I239" s="166">
        <v>14592755.6</v>
      </c>
      <c r="J239" s="166">
        <v>1459275.5600000003</v>
      </c>
      <c r="K239" s="166">
        <v>919220.95999999985</v>
      </c>
      <c r="L239" s="166"/>
      <c r="M239" s="166">
        <v>0</v>
      </c>
      <c r="N239" s="166">
        <f t="shared" si="18"/>
        <v>12214259.08</v>
      </c>
      <c r="O239" s="36"/>
      <c r="P239" s="36"/>
    </row>
    <row r="240" spans="1:16" ht="135" x14ac:dyDescent="0.25">
      <c r="A240" s="73" t="s">
        <v>381</v>
      </c>
      <c r="B240" s="83">
        <v>9050725</v>
      </c>
      <c r="C240" s="74" t="s">
        <v>288</v>
      </c>
      <c r="D240" s="83" t="s">
        <v>307</v>
      </c>
      <c r="E240" s="75" t="s">
        <v>394</v>
      </c>
      <c r="F240" s="76" t="s">
        <v>765</v>
      </c>
      <c r="G240" s="83">
        <v>274918</v>
      </c>
      <c r="H240" s="72">
        <v>45621</v>
      </c>
      <c r="I240" s="166">
        <v>71887199.789999992</v>
      </c>
      <c r="J240" s="166">
        <v>7188719.9800000004</v>
      </c>
      <c r="K240" s="166">
        <v>4528289.47</v>
      </c>
      <c r="L240" s="166"/>
      <c r="M240" s="166">
        <v>0</v>
      </c>
      <c r="N240" s="166">
        <f t="shared" si="18"/>
        <v>60170190.339999989</v>
      </c>
      <c r="O240" s="36"/>
      <c r="P240" s="36"/>
    </row>
    <row r="241" spans="1:16" ht="135" x14ac:dyDescent="0.25">
      <c r="A241" s="73" t="s">
        <v>381</v>
      </c>
      <c r="B241" s="83">
        <v>12754374</v>
      </c>
      <c r="C241" s="74" t="s">
        <v>269</v>
      </c>
      <c r="D241" s="83" t="s">
        <v>268</v>
      </c>
      <c r="E241" s="75" t="s">
        <v>394</v>
      </c>
      <c r="F241" s="76" t="s">
        <v>766</v>
      </c>
      <c r="G241" s="83">
        <v>275249</v>
      </c>
      <c r="H241" s="72">
        <v>45621</v>
      </c>
      <c r="I241" s="166">
        <v>376288597.19</v>
      </c>
      <c r="J241" s="166">
        <v>37628859.719999999</v>
      </c>
      <c r="K241" s="166">
        <v>31432546.649999999</v>
      </c>
      <c r="L241" s="166"/>
      <c r="M241" s="166">
        <v>0</v>
      </c>
      <c r="N241" s="166">
        <f t="shared" si="18"/>
        <v>307227190.82000005</v>
      </c>
      <c r="O241" s="36"/>
      <c r="P241" s="36"/>
    </row>
    <row r="242" spans="1:16" ht="135" x14ac:dyDescent="0.25">
      <c r="A242" s="73" t="s">
        <v>23</v>
      </c>
      <c r="B242" s="83">
        <v>900185357</v>
      </c>
      <c r="C242" s="74" t="s">
        <v>305</v>
      </c>
      <c r="D242" s="83" t="s">
        <v>304</v>
      </c>
      <c r="E242" s="75" t="s">
        <v>394</v>
      </c>
      <c r="F242" s="76" t="s">
        <v>767</v>
      </c>
      <c r="G242" s="83">
        <v>274754</v>
      </c>
      <c r="H242" s="72">
        <v>45615</v>
      </c>
      <c r="I242" s="166">
        <v>707190003.14999998</v>
      </c>
      <c r="J242" s="166">
        <v>70719000.319999993</v>
      </c>
      <c r="K242" s="166">
        <v>58691568.130000003</v>
      </c>
      <c r="L242" s="166"/>
      <c r="M242" s="166">
        <v>0</v>
      </c>
      <c r="N242" s="166">
        <f t="shared" si="18"/>
        <v>577779434.69999993</v>
      </c>
      <c r="O242" s="36"/>
      <c r="P242" s="36"/>
    </row>
    <row r="243" spans="1:16" ht="135" x14ac:dyDescent="0.25">
      <c r="A243" s="73" t="s">
        <v>23</v>
      </c>
      <c r="B243" s="83">
        <v>901808735</v>
      </c>
      <c r="C243" s="74" t="s">
        <v>272</v>
      </c>
      <c r="D243" s="83" t="s">
        <v>271</v>
      </c>
      <c r="E243" s="75" t="s">
        <v>394</v>
      </c>
      <c r="F243" s="76" t="s">
        <v>768</v>
      </c>
      <c r="G243" s="83">
        <v>274539</v>
      </c>
      <c r="H243" s="72">
        <v>45615</v>
      </c>
      <c r="I243" s="166">
        <v>53184411.479999997</v>
      </c>
      <c r="J243" s="166">
        <v>5318441.1500000004</v>
      </c>
      <c r="K243" s="166">
        <v>3309657.6400000006</v>
      </c>
      <c r="L243" s="166"/>
      <c r="M243" s="166">
        <v>0</v>
      </c>
      <c r="N243" s="166">
        <f t="shared" si="18"/>
        <v>44556312.689999998</v>
      </c>
      <c r="O243" s="36"/>
      <c r="P243" s="36"/>
    </row>
    <row r="244" spans="1:16" ht="150" x14ac:dyDescent="0.25">
      <c r="A244" s="73" t="s">
        <v>23</v>
      </c>
      <c r="B244" s="83">
        <v>901839812</v>
      </c>
      <c r="C244" s="74" t="s">
        <v>461</v>
      </c>
      <c r="D244" s="83" t="s">
        <v>460</v>
      </c>
      <c r="E244" s="75" t="s">
        <v>394</v>
      </c>
      <c r="F244" s="76" t="s">
        <v>769</v>
      </c>
      <c r="G244" s="83">
        <v>274920</v>
      </c>
      <c r="H244" s="72">
        <v>45621</v>
      </c>
      <c r="I244" s="166">
        <v>30983921.399999999</v>
      </c>
      <c r="J244" s="166">
        <v>3098392.14</v>
      </c>
      <c r="K244" s="166">
        <v>1849042.32</v>
      </c>
      <c r="L244" s="166"/>
      <c r="M244" s="166">
        <v>0</v>
      </c>
      <c r="N244" s="166">
        <f t="shared" si="18"/>
        <v>26036486.939999998</v>
      </c>
      <c r="O244" s="36"/>
      <c r="P244" s="36"/>
    </row>
    <row r="245" spans="1:16" ht="135" x14ac:dyDescent="0.25">
      <c r="A245" s="73" t="s">
        <v>23</v>
      </c>
      <c r="B245" s="83">
        <v>813006542</v>
      </c>
      <c r="C245" s="74" t="s">
        <v>489</v>
      </c>
      <c r="D245" s="83" t="s">
        <v>488</v>
      </c>
      <c r="E245" s="75" t="s">
        <v>394</v>
      </c>
      <c r="F245" s="76" t="s">
        <v>770</v>
      </c>
      <c r="G245" s="83">
        <v>274755</v>
      </c>
      <c r="H245" s="72">
        <v>45615</v>
      </c>
      <c r="I245" s="166">
        <v>191013817.85000002</v>
      </c>
      <c r="J245" s="166">
        <v>19101381.789999999</v>
      </c>
      <c r="K245" s="166">
        <v>16165181.719999999</v>
      </c>
      <c r="L245" s="166"/>
      <c r="M245" s="166">
        <v>0</v>
      </c>
      <c r="N245" s="166">
        <f t="shared" si="18"/>
        <v>155747254.34000003</v>
      </c>
      <c r="O245" s="36"/>
      <c r="P245" s="36"/>
    </row>
    <row r="246" spans="1:16" ht="90" x14ac:dyDescent="0.25">
      <c r="A246" s="73" t="s">
        <v>23</v>
      </c>
      <c r="B246" s="83">
        <v>901835558</v>
      </c>
      <c r="C246" s="74" t="s">
        <v>483</v>
      </c>
      <c r="D246" s="83" t="s">
        <v>482</v>
      </c>
      <c r="E246" s="75" t="s">
        <v>394</v>
      </c>
      <c r="F246" s="76" t="s">
        <v>771</v>
      </c>
      <c r="G246" s="83">
        <v>275256</v>
      </c>
      <c r="H246" s="72">
        <v>45623</v>
      </c>
      <c r="I246" s="166">
        <v>211431143.69999999</v>
      </c>
      <c r="J246" s="166">
        <v>21143114.370000001</v>
      </c>
      <c r="K246" s="166">
        <v>22102549.810000002</v>
      </c>
      <c r="L246" s="166"/>
      <c r="M246" s="166">
        <v>0</v>
      </c>
      <c r="N246" s="166">
        <f t="shared" si="18"/>
        <v>168185479.51999998</v>
      </c>
      <c r="O246" s="36"/>
      <c r="P246" s="36"/>
    </row>
    <row r="247" spans="1:16" ht="90" x14ac:dyDescent="0.25">
      <c r="A247" s="73" t="s">
        <v>23</v>
      </c>
      <c r="B247" s="83">
        <v>900503646</v>
      </c>
      <c r="C247" s="74" t="s">
        <v>293</v>
      </c>
      <c r="D247" s="83" t="s">
        <v>292</v>
      </c>
      <c r="E247" s="75" t="s">
        <v>394</v>
      </c>
      <c r="F247" s="76" t="s">
        <v>772</v>
      </c>
      <c r="G247" s="83">
        <v>275262</v>
      </c>
      <c r="H247" s="72">
        <v>45623</v>
      </c>
      <c r="I247" s="166">
        <v>44104914.900000006</v>
      </c>
      <c r="J247" s="166">
        <v>4410491.49</v>
      </c>
      <c r="K247" s="166">
        <v>2572168.9900000002</v>
      </c>
      <c r="L247" s="166"/>
      <c r="M247" s="166">
        <v>0</v>
      </c>
      <c r="N247" s="166">
        <f t="shared" si="18"/>
        <v>37122254.420000002</v>
      </c>
      <c r="O247" s="36"/>
      <c r="P247" s="36"/>
    </row>
    <row r="248" spans="1:16" ht="90" x14ac:dyDescent="0.25">
      <c r="A248" s="73" t="s">
        <v>23</v>
      </c>
      <c r="B248" s="83">
        <v>901811721</v>
      </c>
      <c r="C248" s="74" t="s">
        <v>137</v>
      </c>
      <c r="D248" s="83" t="s">
        <v>136</v>
      </c>
      <c r="E248" s="75" t="s">
        <v>394</v>
      </c>
      <c r="F248" s="76" t="s">
        <v>773</v>
      </c>
      <c r="G248" s="83">
        <v>276518</v>
      </c>
      <c r="H248" s="72">
        <v>45622</v>
      </c>
      <c r="I248" s="166">
        <v>804682163</v>
      </c>
      <c r="J248" s="166">
        <v>80468216</v>
      </c>
      <c r="K248" s="166">
        <v>78045645.039999992</v>
      </c>
      <c r="L248" s="166"/>
      <c r="M248" s="166">
        <v>0</v>
      </c>
      <c r="N248" s="166">
        <f t="shared" si="18"/>
        <v>646168301.96000004</v>
      </c>
      <c r="O248" s="36"/>
      <c r="P248" s="36"/>
    </row>
    <row r="249" spans="1:16" ht="105" x14ac:dyDescent="0.25">
      <c r="A249" s="73" t="s">
        <v>23</v>
      </c>
      <c r="B249" s="83">
        <v>901808808</v>
      </c>
      <c r="C249" s="74" t="s">
        <v>140</v>
      </c>
      <c r="D249" s="83" t="s">
        <v>139</v>
      </c>
      <c r="E249" s="75" t="s">
        <v>394</v>
      </c>
      <c r="F249" s="76" t="s">
        <v>774</v>
      </c>
      <c r="G249" s="83">
        <v>276519</v>
      </c>
      <c r="H249" s="72">
        <v>45623</v>
      </c>
      <c r="I249" s="166">
        <v>58805603</v>
      </c>
      <c r="J249" s="166">
        <v>5880560</v>
      </c>
      <c r="K249" s="166">
        <v>3447787.3400000003</v>
      </c>
      <c r="L249" s="166"/>
      <c r="M249" s="166">
        <v>0</v>
      </c>
      <c r="N249" s="166">
        <f t="shared" si="18"/>
        <v>49477255.659999996</v>
      </c>
      <c r="O249" s="36"/>
      <c r="P249" s="36"/>
    </row>
    <row r="250" spans="1:16" ht="75" x14ac:dyDescent="0.25">
      <c r="A250" s="73" t="s">
        <v>23</v>
      </c>
      <c r="B250" s="83">
        <v>901794652</v>
      </c>
      <c r="C250" s="74" t="s">
        <v>191</v>
      </c>
      <c r="D250" s="83" t="s">
        <v>190</v>
      </c>
      <c r="E250" s="75" t="s">
        <v>394</v>
      </c>
      <c r="F250" s="76" t="s">
        <v>775</v>
      </c>
      <c r="G250" s="83">
        <v>274756</v>
      </c>
      <c r="H250" s="72">
        <v>45615</v>
      </c>
      <c r="I250" s="166">
        <v>15000000</v>
      </c>
      <c r="J250" s="166">
        <v>1500000</v>
      </c>
      <c r="K250" s="166">
        <v>1600840.33</v>
      </c>
      <c r="L250" s="166"/>
      <c r="M250" s="166">
        <v>0</v>
      </c>
      <c r="N250" s="166">
        <f t="shared" si="18"/>
        <v>11899159.67</v>
      </c>
      <c r="O250" s="36"/>
      <c r="P250" s="36"/>
    </row>
    <row r="251" spans="1:16" ht="75" x14ac:dyDescent="0.25">
      <c r="A251" s="73" t="s">
        <v>23</v>
      </c>
      <c r="B251" s="83">
        <v>900503646</v>
      </c>
      <c r="C251" s="74" t="s">
        <v>194</v>
      </c>
      <c r="D251" s="83" t="s">
        <v>193</v>
      </c>
      <c r="E251" s="75" t="s">
        <v>394</v>
      </c>
      <c r="F251" s="76" t="s">
        <v>776</v>
      </c>
      <c r="G251" s="83">
        <v>274927</v>
      </c>
      <c r="H251" s="72">
        <v>45621</v>
      </c>
      <c r="I251" s="166">
        <v>7500000</v>
      </c>
      <c r="J251" s="166">
        <v>750000</v>
      </c>
      <c r="K251" s="166">
        <v>453781.52</v>
      </c>
      <c r="L251" s="166"/>
      <c r="M251" s="166">
        <v>0</v>
      </c>
      <c r="N251" s="166">
        <f t="shared" si="18"/>
        <v>6296218.4800000004</v>
      </c>
      <c r="O251" s="36"/>
      <c r="P251" s="36"/>
    </row>
    <row r="252" spans="1:16" ht="105" x14ac:dyDescent="0.25">
      <c r="A252" s="73" t="s">
        <v>23</v>
      </c>
      <c r="B252" s="83">
        <v>901842060</v>
      </c>
      <c r="C252" s="74" t="s">
        <v>493</v>
      </c>
      <c r="D252" s="83" t="s">
        <v>492</v>
      </c>
      <c r="E252" s="75" t="s">
        <v>394</v>
      </c>
      <c r="F252" s="76" t="s">
        <v>777</v>
      </c>
      <c r="G252" s="83">
        <v>276639</v>
      </c>
      <c r="H252" s="72">
        <v>45622</v>
      </c>
      <c r="I252" s="166">
        <v>338878120.56999999</v>
      </c>
      <c r="J252" s="166">
        <v>33887812.060000002</v>
      </c>
      <c r="K252" s="166">
        <v>30277685.699999999</v>
      </c>
      <c r="L252" s="166"/>
      <c r="M252" s="166">
        <v>0</v>
      </c>
      <c r="N252" s="166">
        <f t="shared" si="18"/>
        <v>274712622.81</v>
      </c>
      <c r="O252" s="36"/>
      <c r="P252" s="36"/>
    </row>
    <row r="253" spans="1:16" ht="105" x14ac:dyDescent="0.25">
      <c r="A253" s="73" t="s">
        <v>23</v>
      </c>
      <c r="B253" s="83">
        <v>901841741</v>
      </c>
      <c r="C253" s="74" t="s">
        <v>495</v>
      </c>
      <c r="D253" s="83" t="s">
        <v>494</v>
      </c>
      <c r="E253" s="75" t="s">
        <v>394</v>
      </c>
      <c r="F253" s="76" t="s">
        <v>778</v>
      </c>
      <c r="G253" s="83">
        <v>275773</v>
      </c>
      <c r="H253" s="72">
        <v>45618</v>
      </c>
      <c r="I253" s="166">
        <v>54600000</v>
      </c>
      <c r="J253" s="166">
        <v>5460000</v>
      </c>
      <c r="K253" s="166">
        <v>3269117.6500000004</v>
      </c>
      <c r="L253" s="166"/>
      <c r="M253" s="166">
        <v>0</v>
      </c>
      <c r="N253" s="166">
        <f t="shared" si="18"/>
        <v>45870882.350000001</v>
      </c>
      <c r="O253" s="36"/>
      <c r="P253" s="36"/>
    </row>
    <row r="254" spans="1:16" ht="105" x14ac:dyDescent="0.25">
      <c r="A254" s="73" t="s">
        <v>23</v>
      </c>
      <c r="B254" s="83">
        <v>901841741</v>
      </c>
      <c r="C254" s="74" t="s">
        <v>495</v>
      </c>
      <c r="D254" s="83" t="s">
        <v>494</v>
      </c>
      <c r="E254" s="75" t="s">
        <v>394</v>
      </c>
      <c r="F254" s="76" t="s">
        <v>779</v>
      </c>
      <c r="G254" s="83">
        <v>276690</v>
      </c>
      <c r="H254" s="72">
        <v>45623</v>
      </c>
      <c r="I254" s="166">
        <v>29346654.149999999</v>
      </c>
      <c r="J254" s="166">
        <v>2934665.41</v>
      </c>
      <c r="K254" s="166">
        <v>1767695.76</v>
      </c>
      <c r="L254" s="166"/>
      <c r="M254" s="166">
        <v>0</v>
      </c>
      <c r="N254" s="166">
        <f t="shared" si="18"/>
        <v>24644292.979999997</v>
      </c>
      <c r="O254" s="36"/>
      <c r="P254" s="36"/>
    </row>
    <row r="255" spans="1:16" ht="90" x14ac:dyDescent="0.25">
      <c r="A255" s="73" t="s">
        <v>23</v>
      </c>
      <c r="B255" s="83">
        <v>901785680</v>
      </c>
      <c r="C255" s="74" t="s">
        <v>505</v>
      </c>
      <c r="D255" s="83" t="s">
        <v>155</v>
      </c>
      <c r="E255" s="75" t="s">
        <v>394</v>
      </c>
      <c r="F255" s="76" t="s">
        <v>780</v>
      </c>
      <c r="G255" s="83">
        <v>276646</v>
      </c>
      <c r="H255" s="72">
        <v>45623</v>
      </c>
      <c r="I255" s="166">
        <v>96071828.13000001</v>
      </c>
      <c r="J255" s="166">
        <v>9607182.8100000005</v>
      </c>
      <c r="K255" s="166">
        <v>6054947.1499999994</v>
      </c>
      <c r="L255" s="166"/>
      <c r="M255" s="166">
        <v>0</v>
      </c>
      <c r="N255" s="166">
        <f t="shared" si="18"/>
        <v>80409698.170000002</v>
      </c>
      <c r="O255" s="36"/>
      <c r="P255" s="36"/>
    </row>
    <row r="256" spans="1:16" ht="120" x14ac:dyDescent="0.25">
      <c r="A256" s="73" t="s">
        <v>23</v>
      </c>
      <c r="B256" s="83">
        <v>901786162</v>
      </c>
      <c r="C256" s="74" t="s">
        <v>163</v>
      </c>
      <c r="D256" s="83" t="s">
        <v>162</v>
      </c>
      <c r="E256" s="75" t="s">
        <v>394</v>
      </c>
      <c r="F256" s="76" t="s">
        <v>781</v>
      </c>
      <c r="G256" s="83">
        <v>276463</v>
      </c>
      <c r="H256" s="72">
        <v>45623</v>
      </c>
      <c r="I256" s="166">
        <v>36561881.149999999</v>
      </c>
      <c r="J256" s="166">
        <v>3656188.12</v>
      </c>
      <c r="K256" s="166">
        <v>2234328.0699999998</v>
      </c>
      <c r="L256" s="166"/>
      <c r="M256" s="166">
        <v>0</v>
      </c>
      <c r="N256" s="166">
        <f t="shared" si="18"/>
        <v>30671364.959999997</v>
      </c>
      <c r="O256" s="36"/>
      <c r="P256" s="36"/>
    </row>
    <row r="257" spans="1:16" ht="75" x14ac:dyDescent="0.25">
      <c r="A257" s="73" t="s">
        <v>23</v>
      </c>
      <c r="B257" s="83">
        <v>901794652</v>
      </c>
      <c r="C257" s="74" t="s">
        <v>191</v>
      </c>
      <c r="D257" s="83" t="s">
        <v>190</v>
      </c>
      <c r="E257" s="75" t="s">
        <v>394</v>
      </c>
      <c r="F257" s="76" t="s">
        <v>782</v>
      </c>
      <c r="G257" s="83">
        <v>274757</v>
      </c>
      <c r="H257" s="72">
        <v>45615</v>
      </c>
      <c r="I257" s="166">
        <v>1023279765.76</v>
      </c>
      <c r="J257" s="166">
        <v>102327976.58</v>
      </c>
      <c r="K257" s="166">
        <v>91023510.829999998</v>
      </c>
      <c r="L257" s="166"/>
      <c r="M257" s="166">
        <v>0</v>
      </c>
      <c r="N257" s="166">
        <f t="shared" ref="N257:N271" si="20">+I257-J257-K257-L257+M257</f>
        <v>829928278.3499999</v>
      </c>
      <c r="O257" s="36"/>
      <c r="P257" s="36"/>
    </row>
    <row r="258" spans="1:16" ht="105" x14ac:dyDescent="0.25">
      <c r="A258" s="73" t="s">
        <v>23</v>
      </c>
      <c r="B258" s="83">
        <v>901842060</v>
      </c>
      <c r="C258" s="74" t="s">
        <v>493</v>
      </c>
      <c r="D258" s="83" t="s">
        <v>492</v>
      </c>
      <c r="E258" s="75" t="s">
        <v>394</v>
      </c>
      <c r="F258" s="76" t="s">
        <v>783</v>
      </c>
      <c r="G258" s="83">
        <v>275782</v>
      </c>
      <c r="H258" s="72">
        <v>45618</v>
      </c>
      <c r="I258" s="166">
        <v>77999740</v>
      </c>
      <c r="J258" s="166">
        <v>7799974.0000000037</v>
      </c>
      <c r="K258" s="166">
        <v>8313417.6699999999</v>
      </c>
      <c r="L258" s="166"/>
      <c r="M258" s="166">
        <v>0</v>
      </c>
      <c r="N258" s="166">
        <f t="shared" si="20"/>
        <v>61886348.329999998</v>
      </c>
      <c r="O258" s="36"/>
      <c r="P258" s="36"/>
    </row>
    <row r="259" spans="1:16" ht="90" x14ac:dyDescent="0.25">
      <c r="A259" s="73" t="s">
        <v>23</v>
      </c>
      <c r="B259" s="83">
        <v>900503646</v>
      </c>
      <c r="C259" s="74" t="s">
        <v>194</v>
      </c>
      <c r="D259" s="83" t="s">
        <v>193</v>
      </c>
      <c r="E259" s="75" t="s">
        <v>394</v>
      </c>
      <c r="F259" s="76" t="s">
        <v>784</v>
      </c>
      <c r="G259" s="83">
        <v>275787</v>
      </c>
      <c r="H259" s="72">
        <v>45618</v>
      </c>
      <c r="I259" s="166">
        <v>52301444.350000001</v>
      </c>
      <c r="J259" s="166">
        <v>5230144.43</v>
      </c>
      <c r="K259" s="166">
        <v>3218199.69</v>
      </c>
      <c r="L259" s="166"/>
      <c r="M259" s="166">
        <v>0</v>
      </c>
      <c r="N259" s="166">
        <f t="shared" si="20"/>
        <v>43853100.230000004</v>
      </c>
      <c r="O259" s="36"/>
      <c r="P259" s="36"/>
    </row>
    <row r="260" spans="1:16" ht="75" x14ac:dyDescent="0.25">
      <c r="A260" s="73" t="s">
        <v>381</v>
      </c>
      <c r="B260" s="83">
        <v>59312287</v>
      </c>
      <c r="C260" s="74" t="s">
        <v>172</v>
      </c>
      <c r="D260" s="83" t="s">
        <v>171</v>
      </c>
      <c r="E260" s="75" t="s">
        <v>394</v>
      </c>
      <c r="F260" s="76" t="s">
        <v>785</v>
      </c>
      <c r="G260" s="83">
        <v>276650</v>
      </c>
      <c r="H260" s="72">
        <v>45622</v>
      </c>
      <c r="I260" s="166">
        <v>308970017.84999996</v>
      </c>
      <c r="J260" s="166">
        <v>30897001.789999999</v>
      </c>
      <c r="K260" s="166">
        <v>27072157.189999998</v>
      </c>
      <c r="L260" s="166"/>
      <c r="M260" s="166">
        <v>0</v>
      </c>
      <c r="N260" s="166">
        <f t="shared" si="20"/>
        <v>251000858.86999995</v>
      </c>
      <c r="O260" s="36"/>
      <c r="P260" s="36"/>
    </row>
    <row r="261" spans="1:16" ht="75" x14ac:dyDescent="0.25">
      <c r="A261" s="73" t="s">
        <v>23</v>
      </c>
      <c r="B261" s="83">
        <v>901785672</v>
      </c>
      <c r="C261" s="74" t="s">
        <v>175</v>
      </c>
      <c r="D261" s="83" t="s">
        <v>174</v>
      </c>
      <c r="E261" s="75" t="s">
        <v>394</v>
      </c>
      <c r="F261" s="76" t="s">
        <v>786</v>
      </c>
      <c r="G261" s="83">
        <v>275792</v>
      </c>
      <c r="H261" s="72">
        <v>45617</v>
      </c>
      <c r="I261" s="166">
        <v>19754836.699999999</v>
      </c>
      <c r="J261" s="166">
        <v>1975483.67</v>
      </c>
      <c r="K261" s="166">
        <v>1211851.3399999999</v>
      </c>
      <c r="L261" s="166"/>
      <c r="M261" s="166">
        <v>0</v>
      </c>
      <c r="N261" s="166">
        <f t="shared" si="20"/>
        <v>16567501.690000001</v>
      </c>
      <c r="O261" s="36"/>
      <c r="P261" s="36"/>
    </row>
    <row r="262" spans="1:16" ht="120" x14ac:dyDescent="0.25">
      <c r="A262" s="73" t="s">
        <v>23</v>
      </c>
      <c r="B262" s="83">
        <v>900506471</v>
      </c>
      <c r="C262" s="74" t="s">
        <v>570</v>
      </c>
      <c r="D262" s="83" t="s">
        <v>147</v>
      </c>
      <c r="E262" s="75" t="s">
        <v>394</v>
      </c>
      <c r="F262" s="76" t="s">
        <v>787</v>
      </c>
      <c r="G262" s="83">
        <v>275802</v>
      </c>
      <c r="H262" s="72">
        <v>45618</v>
      </c>
      <c r="I262" s="166">
        <v>37474635.93</v>
      </c>
      <c r="J262" s="166">
        <v>3747463.59</v>
      </c>
      <c r="K262" s="166">
        <v>2361846.79</v>
      </c>
      <c r="L262" s="166"/>
      <c r="M262" s="166">
        <v>0</v>
      </c>
      <c r="N262" s="166">
        <f t="shared" si="20"/>
        <v>31365325.550000004</v>
      </c>
      <c r="O262" s="36"/>
      <c r="P262" s="36"/>
    </row>
    <row r="263" spans="1:16" ht="105" x14ac:dyDescent="0.25">
      <c r="A263" s="73" t="s">
        <v>23</v>
      </c>
      <c r="B263" s="83">
        <v>900206662</v>
      </c>
      <c r="C263" s="74" t="s">
        <v>699</v>
      </c>
      <c r="D263" s="83" t="s">
        <v>160</v>
      </c>
      <c r="E263" s="75" t="s">
        <v>394</v>
      </c>
      <c r="F263" s="76" t="s">
        <v>788</v>
      </c>
      <c r="G263" s="83">
        <v>276807</v>
      </c>
      <c r="H263" s="72">
        <v>45622</v>
      </c>
      <c r="I263" s="166">
        <v>1048493061.5700001</v>
      </c>
      <c r="J263" s="166">
        <v>104849306.16</v>
      </c>
      <c r="K263" s="166">
        <v>91072145.170000002</v>
      </c>
      <c r="L263" s="166"/>
      <c r="M263" s="166">
        <v>0</v>
      </c>
      <c r="N263" s="166">
        <f t="shared" si="20"/>
        <v>852571610.24000013</v>
      </c>
      <c r="O263" s="36"/>
      <c r="P263" s="36"/>
    </row>
    <row r="264" spans="1:16" ht="75" x14ac:dyDescent="0.25">
      <c r="A264" s="73" t="s">
        <v>23</v>
      </c>
      <c r="B264" s="83">
        <v>901792473</v>
      </c>
      <c r="C264" s="74" t="s">
        <v>254</v>
      </c>
      <c r="D264" s="83" t="s">
        <v>253</v>
      </c>
      <c r="E264" s="75" t="s">
        <v>394</v>
      </c>
      <c r="F264" s="76" t="s">
        <v>789</v>
      </c>
      <c r="G264" s="83">
        <v>275821</v>
      </c>
      <c r="H264" s="72">
        <v>45618</v>
      </c>
      <c r="I264" s="166">
        <v>674833472.83000004</v>
      </c>
      <c r="J264" s="166">
        <v>67483347.280000001</v>
      </c>
      <c r="K264" s="166">
        <v>58957805.109999999</v>
      </c>
      <c r="L264" s="166"/>
      <c r="M264" s="166">
        <v>0</v>
      </c>
      <c r="N264" s="166">
        <f t="shared" si="20"/>
        <v>548392320.44000006</v>
      </c>
      <c r="O264" s="36"/>
      <c r="P264" s="36"/>
    </row>
    <row r="265" spans="1:16" ht="105" x14ac:dyDescent="0.25">
      <c r="A265" s="73" t="s">
        <v>23</v>
      </c>
      <c r="B265" s="83">
        <v>900206662</v>
      </c>
      <c r="C265" s="74" t="s">
        <v>699</v>
      </c>
      <c r="D265" s="83" t="s">
        <v>247</v>
      </c>
      <c r="E265" s="75" t="s">
        <v>394</v>
      </c>
      <c r="F265" s="76" t="s">
        <v>790</v>
      </c>
      <c r="G265" s="83">
        <v>275832</v>
      </c>
      <c r="H265" s="72">
        <v>45618</v>
      </c>
      <c r="I265" s="166">
        <v>357337457.31</v>
      </c>
      <c r="J265" s="166">
        <v>35733745.729999997</v>
      </c>
      <c r="K265" s="166">
        <v>35463143.439999998</v>
      </c>
      <c r="L265" s="166"/>
      <c r="M265" s="166">
        <v>0</v>
      </c>
      <c r="N265" s="166">
        <f t="shared" si="20"/>
        <v>286140568.13999999</v>
      </c>
      <c r="O265" s="36"/>
      <c r="P265" s="36"/>
    </row>
    <row r="266" spans="1:16" ht="120" x14ac:dyDescent="0.25">
      <c r="A266" s="73" t="s">
        <v>23</v>
      </c>
      <c r="B266" s="83">
        <v>901829333</v>
      </c>
      <c r="C266" s="74" t="s">
        <v>435</v>
      </c>
      <c r="D266" s="83" t="s">
        <v>434</v>
      </c>
      <c r="E266" s="75" t="s">
        <v>394</v>
      </c>
      <c r="F266" s="76" t="s">
        <v>791</v>
      </c>
      <c r="G266" s="83">
        <v>276652</v>
      </c>
      <c r="H266" s="72">
        <v>45622</v>
      </c>
      <c r="I266" s="166">
        <v>803986342.98999989</v>
      </c>
      <c r="J266" s="166">
        <v>80398634.299999997</v>
      </c>
      <c r="K266" s="166">
        <v>73424507.24000001</v>
      </c>
      <c r="L266" s="166"/>
      <c r="M266" s="166">
        <v>0</v>
      </c>
      <c r="N266" s="166">
        <f t="shared" si="20"/>
        <v>650163201.44999993</v>
      </c>
      <c r="O266" s="36"/>
      <c r="P266" s="36"/>
    </row>
    <row r="267" spans="1:16" ht="120" x14ac:dyDescent="0.25">
      <c r="A267" s="73" t="s">
        <v>23</v>
      </c>
      <c r="B267" s="83">
        <v>901835722</v>
      </c>
      <c r="C267" s="74" t="s">
        <v>459</v>
      </c>
      <c r="D267" s="83" t="s">
        <v>458</v>
      </c>
      <c r="E267" s="75" t="s">
        <v>394</v>
      </c>
      <c r="F267" s="76" t="s">
        <v>792</v>
      </c>
      <c r="G267" s="83">
        <v>276897</v>
      </c>
      <c r="H267" s="72">
        <v>45623</v>
      </c>
      <c r="I267" s="166">
        <v>113490000</v>
      </c>
      <c r="J267" s="166">
        <v>11349000.000000002</v>
      </c>
      <c r="K267" s="166">
        <v>9780167.6500000004</v>
      </c>
      <c r="L267" s="166"/>
      <c r="M267" s="166">
        <v>0</v>
      </c>
      <c r="N267" s="166">
        <f t="shared" si="20"/>
        <v>92360832.349999994</v>
      </c>
      <c r="O267" s="36"/>
      <c r="P267" s="36"/>
    </row>
    <row r="268" spans="1:16" ht="105" x14ac:dyDescent="0.25">
      <c r="A268" s="73" t="s">
        <v>23</v>
      </c>
      <c r="B268" s="83">
        <v>901830037</v>
      </c>
      <c r="C268" s="74" t="s">
        <v>437</v>
      </c>
      <c r="D268" s="83" t="s">
        <v>436</v>
      </c>
      <c r="E268" s="75" t="s">
        <v>394</v>
      </c>
      <c r="F268" s="76" t="s">
        <v>793</v>
      </c>
      <c r="G268" s="83">
        <v>276520</v>
      </c>
      <c r="H268" s="72">
        <v>45623</v>
      </c>
      <c r="I268" s="166">
        <v>33636305.530000001</v>
      </c>
      <c r="J268" s="166">
        <v>3363630.55</v>
      </c>
      <c r="K268" s="166">
        <v>2176466.8200000003</v>
      </c>
      <c r="L268" s="166"/>
      <c r="M268" s="166">
        <v>0</v>
      </c>
      <c r="N268" s="166">
        <f t="shared" si="20"/>
        <v>28096208.16</v>
      </c>
      <c r="O268" s="36"/>
      <c r="P268" s="36"/>
    </row>
    <row r="269" spans="1:16" ht="90" x14ac:dyDescent="0.25">
      <c r="A269" s="73" t="s">
        <v>23</v>
      </c>
      <c r="B269" s="83">
        <v>901804711</v>
      </c>
      <c r="C269" s="74" t="s">
        <v>250</v>
      </c>
      <c r="D269" s="83" t="s">
        <v>249</v>
      </c>
      <c r="E269" s="75" t="s">
        <v>394</v>
      </c>
      <c r="F269" s="76" t="s">
        <v>794</v>
      </c>
      <c r="G269" s="83">
        <v>277150</v>
      </c>
      <c r="H269" s="72">
        <v>45622</v>
      </c>
      <c r="I269" s="166">
        <v>26684357.550000001</v>
      </c>
      <c r="J269" s="166">
        <v>2668435.75</v>
      </c>
      <c r="K269" s="166">
        <v>1681787.24</v>
      </c>
      <c r="L269" s="166"/>
      <c r="M269" s="166">
        <v>0</v>
      </c>
      <c r="N269" s="166">
        <f t="shared" si="20"/>
        <v>22334134.560000002</v>
      </c>
      <c r="O269" s="36"/>
      <c r="P269" s="36"/>
    </row>
    <row r="270" spans="1:16" ht="90" x14ac:dyDescent="0.25">
      <c r="A270" s="73" t="s">
        <v>23</v>
      </c>
      <c r="B270" s="83">
        <v>901786317</v>
      </c>
      <c r="C270" s="74" t="s">
        <v>207</v>
      </c>
      <c r="D270" s="83" t="s">
        <v>206</v>
      </c>
      <c r="E270" s="75" t="s">
        <v>394</v>
      </c>
      <c r="F270" s="76" t="s">
        <v>795</v>
      </c>
      <c r="G270" s="83">
        <v>276667</v>
      </c>
      <c r="H270" s="72">
        <v>45622</v>
      </c>
      <c r="I270" s="166">
        <v>774412168.32999992</v>
      </c>
      <c r="J270" s="166">
        <v>77441216.829999998</v>
      </c>
      <c r="K270" s="166">
        <v>74084124.090000004</v>
      </c>
      <c r="L270" s="166"/>
      <c r="M270" s="166">
        <v>0</v>
      </c>
      <c r="N270" s="166">
        <f t="shared" si="20"/>
        <v>622886827.40999985</v>
      </c>
      <c r="O270" s="36"/>
      <c r="P270" s="36"/>
    </row>
    <row r="271" spans="1:16" ht="135" x14ac:dyDescent="0.25">
      <c r="A271" s="73" t="s">
        <v>23</v>
      </c>
      <c r="B271" s="83">
        <v>900749719</v>
      </c>
      <c r="C271" s="74" t="s">
        <v>463</v>
      </c>
      <c r="D271" s="83" t="s">
        <v>462</v>
      </c>
      <c r="E271" s="75" t="s">
        <v>394</v>
      </c>
      <c r="F271" s="76" t="s">
        <v>796</v>
      </c>
      <c r="G271" s="83">
        <v>276659</v>
      </c>
      <c r="H271" s="72">
        <v>45623</v>
      </c>
      <c r="I271" s="166">
        <v>119726201.24000001</v>
      </c>
      <c r="J271" s="166">
        <v>11972620.119999999</v>
      </c>
      <c r="K271" s="166">
        <v>10341134.99</v>
      </c>
      <c r="L271" s="166"/>
      <c r="M271" s="166">
        <v>0</v>
      </c>
      <c r="N271" s="166">
        <f t="shared" si="20"/>
        <v>97412446.13000001</v>
      </c>
      <c r="O271" s="36"/>
      <c r="P271" s="36"/>
    </row>
    <row r="272" spans="1:16" ht="135" x14ac:dyDescent="0.25">
      <c r="A272" s="73" t="s">
        <v>23</v>
      </c>
      <c r="B272" s="83">
        <v>901841724</v>
      </c>
      <c r="C272" s="74" t="s">
        <v>497</v>
      </c>
      <c r="D272" s="83" t="s">
        <v>496</v>
      </c>
      <c r="E272" s="75" t="s">
        <v>394</v>
      </c>
      <c r="F272" s="76" t="s">
        <v>797</v>
      </c>
      <c r="G272" s="83">
        <v>276668</v>
      </c>
      <c r="H272" s="72">
        <v>45623</v>
      </c>
      <c r="I272" s="166">
        <v>64028223</v>
      </c>
      <c r="J272" s="166">
        <v>6402822.3000000007</v>
      </c>
      <c r="K272" s="166">
        <v>3968135.6599999997</v>
      </c>
      <c r="L272" s="166"/>
      <c r="M272" s="166">
        <v>0</v>
      </c>
      <c r="N272" s="166">
        <f t="shared" si="18"/>
        <v>53657265.040000007</v>
      </c>
      <c r="O272" s="36"/>
      <c r="P272" s="36"/>
    </row>
    <row r="273" spans="1:16" ht="135" x14ac:dyDescent="0.25">
      <c r="A273" s="73" t="s">
        <v>23</v>
      </c>
      <c r="B273" s="83">
        <v>901841724</v>
      </c>
      <c r="C273" s="74" t="s">
        <v>497</v>
      </c>
      <c r="D273" s="83" t="s">
        <v>496</v>
      </c>
      <c r="E273" s="75" t="s">
        <v>394</v>
      </c>
      <c r="F273" s="76" t="s">
        <v>798</v>
      </c>
      <c r="G273" s="83">
        <v>276787</v>
      </c>
      <c r="H273" s="72">
        <v>45623</v>
      </c>
      <c r="I273" s="166">
        <v>38392674.520000003</v>
      </c>
      <c r="J273" s="166">
        <v>3839267.45</v>
      </c>
      <c r="K273" s="166">
        <v>2379858.2400000002</v>
      </c>
      <c r="L273" s="166"/>
      <c r="M273" s="166">
        <v>0</v>
      </c>
      <c r="N273" s="166">
        <f t="shared" ref="N273:N275" si="21">+I273-J273-K273-L273-M273</f>
        <v>32173548.829999998</v>
      </c>
      <c r="O273" s="36"/>
      <c r="P273" s="36"/>
    </row>
    <row r="274" spans="1:16" ht="135" x14ac:dyDescent="0.25">
      <c r="A274" s="73" t="s">
        <v>23</v>
      </c>
      <c r="B274" s="83">
        <v>901800251</v>
      </c>
      <c r="C274" s="74" t="s">
        <v>243</v>
      </c>
      <c r="D274" s="83" t="s">
        <v>242</v>
      </c>
      <c r="E274" s="75" t="s">
        <v>394</v>
      </c>
      <c r="F274" s="76" t="s">
        <v>799</v>
      </c>
      <c r="G274" s="83">
        <v>276803</v>
      </c>
      <c r="H274" s="72">
        <v>45623</v>
      </c>
      <c r="I274" s="166">
        <v>51861155.390000001</v>
      </c>
      <c r="J274" s="166">
        <v>5186115.54</v>
      </c>
      <c r="K274" s="166">
        <v>3088090.91</v>
      </c>
      <c r="L274" s="166"/>
      <c r="M274" s="166">
        <v>0</v>
      </c>
      <c r="N274" s="166">
        <f t="shared" si="21"/>
        <v>43586948.939999998</v>
      </c>
      <c r="O274" s="36"/>
      <c r="P274" s="36"/>
    </row>
    <row r="275" spans="1:16" ht="135" x14ac:dyDescent="0.25">
      <c r="A275" s="73" t="s">
        <v>23</v>
      </c>
      <c r="B275" s="83">
        <v>900749719</v>
      </c>
      <c r="C275" s="74" t="s">
        <v>463</v>
      </c>
      <c r="D275" s="83" t="s">
        <v>462</v>
      </c>
      <c r="E275" s="75" t="s">
        <v>394</v>
      </c>
      <c r="F275" s="76" t="s">
        <v>800</v>
      </c>
      <c r="G275" s="83">
        <v>276661</v>
      </c>
      <c r="H275" s="72">
        <v>45623</v>
      </c>
      <c r="I275" s="166">
        <v>90801360</v>
      </c>
      <c r="J275" s="166">
        <v>9080136</v>
      </c>
      <c r="K275" s="166">
        <v>9684206.6799999997</v>
      </c>
      <c r="L275" s="166"/>
      <c r="M275" s="166">
        <v>0</v>
      </c>
      <c r="N275" s="166">
        <f t="shared" si="21"/>
        <v>72037017.319999993</v>
      </c>
      <c r="O275" s="36"/>
      <c r="P275" s="36"/>
    </row>
    <row r="276" spans="1:16" x14ac:dyDescent="0.25">
      <c r="A276" s="73" t="s">
        <v>23</v>
      </c>
      <c r="B276" s="83">
        <v>891680196</v>
      </c>
      <c r="C276" s="74" t="s">
        <v>654</v>
      </c>
      <c r="D276" s="83" t="s">
        <v>60</v>
      </c>
      <c r="E276" s="75" t="s">
        <v>378</v>
      </c>
      <c r="F276" s="76" t="s">
        <v>653</v>
      </c>
      <c r="G276" s="83" t="s">
        <v>60</v>
      </c>
      <c r="H276" s="72">
        <v>45597</v>
      </c>
      <c r="I276" s="166">
        <v>2490749.4500000002</v>
      </c>
      <c r="J276" s="166"/>
      <c r="K276" s="166">
        <v>0</v>
      </c>
      <c r="L276" s="166"/>
      <c r="M276" s="166">
        <v>250.55</v>
      </c>
      <c r="N276" s="166">
        <f>+I276-J276-K276-L276+M276</f>
        <v>2491000</v>
      </c>
      <c r="O276" s="36"/>
      <c r="P276" s="36"/>
    </row>
    <row r="277" spans="1:16" ht="30" x14ac:dyDescent="0.25">
      <c r="A277" s="73" t="s">
        <v>23</v>
      </c>
      <c r="B277" s="83">
        <v>800096758</v>
      </c>
      <c r="C277" s="74" t="s">
        <v>657</v>
      </c>
      <c r="D277" s="83" t="s">
        <v>60</v>
      </c>
      <c r="E277" s="75" t="s">
        <v>378</v>
      </c>
      <c r="F277" s="76" t="s">
        <v>653</v>
      </c>
      <c r="G277" s="83" t="s">
        <v>60</v>
      </c>
      <c r="H277" s="72">
        <v>45601</v>
      </c>
      <c r="I277" s="166">
        <v>868969.94</v>
      </c>
      <c r="J277" s="166"/>
      <c r="K277" s="166">
        <v>0</v>
      </c>
      <c r="L277" s="166"/>
      <c r="M277" s="166">
        <v>30.06</v>
      </c>
      <c r="N277" s="166">
        <f t="shared" ref="N277:N282" si="22">+I277-J277-K277-L277+M277</f>
        <v>869000</v>
      </c>
      <c r="O277" s="36"/>
      <c r="P277" s="36"/>
    </row>
    <row r="278" spans="1:16" ht="30" x14ac:dyDescent="0.25">
      <c r="A278" s="73" t="s">
        <v>23</v>
      </c>
      <c r="B278" s="83">
        <v>800096808</v>
      </c>
      <c r="C278" s="74" t="s">
        <v>655</v>
      </c>
      <c r="D278" s="83" t="s">
        <v>60</v>
      </c>
      <c r="E278" s="75" t="s">
        <v>378</v>
      </c>
      <c r="F278" s="76" t="s">
        <v>653</v>
      </c>
      <c r="G278" s="83" t="s">
        <v>60</v>
      </c>
      <c r="H278" s="72">
        <v>45601</v>
      </c>
      <c r="I278" s="166">
        <v>1058315.47</v>
      </c>
      <c r="J278" s="166"/>
      <c r="K278" s="166">
        <v>0</v>
      </c>
      <c r="L278" s="166"/>
      <c r="M278" s="166">
        <v>-315.47000000000003</v>
      </c>
      <c r="N278" s="166">
        <f t="shared" si="22"/>
        <v>1058000</v>
      </c>
      <c r="O278" s="36"/>
      <c r="P278" s="36"/>
    </row>
    <row r="279" spans="1:16" ht="30" x14ac:dyDescent="0.25">
      <c r="A279" s="73" t="s">
        <v>23</v>
      </c>
      <c r="B279" s="83">
        <v>892301761</v>
      </c>
      <c r="C279" s="74" t="s">
        <v>805</v>
      </c>
      <c r="D279" s="83" t="s">
        <v>60</v>
      </c>
      <c r="E279" s="75" t="s">
        <v>378</v>
      </c>
      <c r="F279" s="76" t="s">
        <v>653</v>
      </c>
      <c r="G279" s="83" t="s">
        <v>60</v>
      </c>
      <c r="H279" s="72">
        <v>45601</v>
      </c>
      <c r="I279" s="166">
        <v>360987.12</v>
      </c>
      <c r="J279" s="166"/>
      <c r="K279" s="166">
        <v>0</v>
      </c>
      <c r="L279" s="166"/>
      <c r="M279" s="166">
        <v>12.88</v>
      </c>
      <c r="N279" s="166">
        <f t="shared" si="22"/>
        <v>361000</v>
      </c>
      <c r="O279" s="36"/>
      <c r="P279" s="36"/>
    </row>
    <row r="280" spans="1:16" ht="30" x14ac:dyDescent="0.25">
      <c r="A280" s="73" t="s">
        <v>23</v>
      </c>
      <c r="B280" s="83">
        <v>892301761</v>
      </c>
      <c r="C280" s="74" t="s">
        <v>805</v>
      </c>
      <c r="D280" s="83" t="s">
        <v>60</v>
      </c>
      <c r="E280" s="75" t="s">
        <v>378</v>
      </c>
      <c r="F280" s="76" t="s">
        <v>806</v>
      </c>
      <c r="G280" s="83" t="s">
        <v>60</v>
      </c>
      <c r="H280" s="72">
        <v>45601</v>
      </c>
      <c r="I280" s="166">
        <v>275240</v>
      </c>
      <c r="J280" s="166"/>
      <c r="K280" s="166">
        <v>0</v>
      </c>
      <c r="L280" s="166"/>
      <c r="M280" s="202">
        <v>-240</v>
      </c>
      <c r="N280" s="166">
        <f t="shared" si="22"/>
        <v>275000</v>
      </c>
      <c r="O280" s="36"/>
      <c r="P280" s="36"/>
    </row>
    <row r="281" spans="1:16" ht="30" x14ac:dyDescent="0.25">
      <c r="A281" s="73" t="s">
        <v>23</v>
      </c>
      <c r="B281" s="83">
        <v>890983814</v>
      </c>
      <c r="C281" s="74" t="s">
        <v>658</v>
      </c>
      <c r="D281" s="83" t="s">
        <v>60</v>
      </c>
      <c r="E281" s="75" t="s">
        <v>378</v>
      </c>
      <c r="F281" s="76" t="s">
        <v>653</v>
      </c>
      <c r="G281" s="83" t="s">
        <v>60</v>
      </c>
      <c r="H281" s="72">
        <v>45601</v>
      </c>
      <c r="I281" s="166">
        <v>2169778.84</v>
      </c>
      <c r="J281" s="166"/>
      <c r="K281" s="166">
        <v>0</v>
      </c>
      <c r="L281" s="166"/>
      <c r="M281" s="166">
        <v>221.16</v>
      </c>
      <c r="N281" s="166">
        <f t="shared" si="22"/>
        <v>2170000</v>
      </c>
      <c r="O281" s="36"/>
      <c r="P281" s="36"/>
    </row>
    <row r="282" spans="1:16" ht="30" x14ac:dyDescent="0.25">
      <c r="A282" s="73" t="s">
        <v>23</v>
      </c>
      <c r="B282" s="83">
        <v>800229887</v>
      </c>
      <c r="C282" s="74" t="s">
        <v>746</v>
      </c>
      <c r="D282" s="83" t="s">
        <v>60</v>
      </c>
      <c r="E282" s="75" t="s">
        <v>378</v>
      </c>
      <c r="F282" s="76" t="s">
        <v>653</v>
      </c>
      <c r="G282" s="83" t="s">
        <v>60</v>
      </c>
      <c r="H282" s="72">
        <v>45601</v>
      </c>
      <c r="I282" s="166">
        <v>43378.52</v>
      </c>
      <c r="J282" s="166"/>
      <c r="K282" s="166">
        <v>0</v>
      </c>
      <c r="L282" s="166"/>
      <c r="M282" s="166">
        <v>-378.52</v>
      </c>
      <c r="N282" s="166">
        <f t="shared" si="22"/>
        <v>43000</v>
      </c>
      <c r="O282" s="36"/>
      <c r="P282" s="36"/>
    </row>
    <row r="283" spans="1:16" x14ac:dyDescent="0.25">
      <c r="A283" s="73" t="s">
        <v>23</v>
      </c>
      <c r="B283" s="83">
        <v>800138959</v>
      </c>
      <c r="C283" s="74" t="s">
        <v>700</v>
      </c>
      <c r="D283" s="83" t="s">
        <v>60</v>
      </c>
      <c r="E283" s="75" t="s">
        <v>378</v>
      </c>
      <c r="F283" s="76" t="s">
        <v>801</v>
      </c>
      <c r="G283" s="83" t="s">
        <v>60</v>
      </c>
      <c r="H283" s="72">
        <v>45602</v>
      </c>
      <c r="I283" s="166">
        <v>24025.01</v>
      </c>
      <c r="J283" s="166"/>
      <c r="K283" s="166">
        <v>0</v>
      </c>
      <c r="L283" s="166"/>
      <c r="M283" s="166">
        <v>-25.01</v>
      </c>
      <c r="N283" s="166">
        <f t="shared" ref="N283:N329" si="23">+I283-J283-K283-L283+M283</f>
        <v>24000</v>
      </c>
      <c r="O283" s="36"/>
      <c r="P283" s="36"/>
    </row>
    <row r="284" spans="1:16" x14ac:dyDescent="0.25">
      <c r="A284" s="73" t="s">
        <v>23</v>
      </c>
      <c r="B284" s="83">
        <v>800138959</v>
      </c>
      <c r="C284" s="74" t="s">
        <v>700</v>
      </c>
      <c r="D284" s="83" t="s">
        <v>60</v>
      </c>
      <c r="E284" s="75" t="s">
        <v>378</v>
      </c>
      <c r="F284" s="76" t="s">
        <v>653</v>
      </c>
      <c r="G284" s="83" t="s">
        <v>60</v>
      </c>
      <c r="H284" s="72">
        <v>45602</v>
      </c>
      <c r="I284" s="166">
        <v>160166.73000000001</v>
      </c>
      <c r="J284" s="166"/>
      <c r="K284" s="166">
        <v>0</v>
      </c>
      <c r="L284" s="166"/>
      <c r="M284" s="166">
        <v>-166.73</v>
      </c>
      <c r="N284" s="166">
        <f t="shared" si="23"/>
        <v>160000</v>
      </c>
      <c r="O284" s="36"/>
      <c r="P284" s="36"/>
    </row>
    <row r="285" spans="1:16" x14ac:dyDescent="0.25">
      <c r="A285" s="73" t="s">
        <v>23</v>
      </c>
      <c r="B285" s="83">
        <v>800138959</v>
      </c>
      <c r="C285" s="74" t="s">
        <v>700</v>
      </c>
      <c r="D285" s="83" t="s">
        <v>60</v>
      </c>
      <c r="E285" s="75" t="s">
        <v>378</v>
      </c>
      <c r="F285" s="76" t="s">
        <v>802</v>
      </c>
      <c r="G285" s="83" t="s">
        <v>60</v>
      </c>
      <c r="H285" s="72">
        <v>45602</v>
      </c>
      <c r="I285" s="166">
        <v>8008.34</v>
      </c>
      <c r="J285" s="166"/>
      <c r="K285" s="166">
        <v>0</v>
      </c>
      <c r="L285" s="166"/>
      <c r="M285" s="166">
        <v>-8.34</v>
      </c>
      <c r="N285" s="166">
        <f t="shared" si="23"/>
        <v>8000</v>
      </c>
      <c r="O285" s="36"/>
      <c r="P285" s="36"/>
    </row>
    <row r="286" spans="1:16" ht="30" x14ac:dyDescent="0.25">
      <c r="A286" s="73" t="s">
        <v>23</v>
      </c>
      <c r="B286" s="83">
        <v>890702040</v>
      </c>
      <c r="C286" s="74" t="s">
        <v>656</v>
      </c>
      <c r="D286" s="83" t="s">
        <v>60</v>
      </c>
      <c r="E286" s="75" t="s">
        <v>378</v>
      </c>
      <c r="F286" s="76" t="s">
        <v>653</v>
      </c>
      <c r="G286" s="83" t="s">
        <v>60</v>
      </c>
      <c r="H286" s="72">
        <v>45602</v>
      </c>
      <c r="I286" s="166">
        <v>13073905.210000001</v>
      </c>
      <c r="J286" s="166"/>
      <c r="K286" s="166">
        <v>0</v>
      </c>
      <c r="L286" s="166"/>
      <c r="M286" s="166">
        <v>94.79</v>
      </c>
      <c r="N286" s="166">
        <f t="shared" si="23"/>
        <v>13074000</v>
      </c>
      <c r="O286" s="36"/>
      <c r="P286" s="36"/>
    </row>
    <row r="287" spans="1:16" x14ac:dyDescent="0.25">
      <c r="A287" s="73" t="s">
        <v>23</v>
      </c>
      <c r="B287" s="83">
        <v>800113389</v>
      </c>
      <c r="C287" s="74" t="s">
        <v>747</v>
      </c>
      <c r="D287" s="83" t="s">
        <v>60</v>
      </c>
      <c r="E287" s="75" t="s">
        <v>378</v>
      </c>
      <c r="F287" s="76" t="s">
        <v>653</v>
      </c>
      <c r="G287" s="83" t="s">
        <v>60</v>
      </c>
      <c r="H287" s="72">
        <v>45603</v>
      </c>
      <c r="I287" s="166">
        <v>7264597.3799999999</v>
      </c>
      <c r="J287" s="166"/>
      <c r="K287" s="166">
        <v>0</v>
      </c>
      <c r="L287" s="166"/>
      <c r="M287" s="166">
        <v>-0.38</v>
      </c>
      <c r="N287" s="166">
        <f t="shared" si="23"/>
        <v>7264597</v>
      </c>
      <c r="O287" s="36"/>
      <c r="P287" s="36"/>
    </row>
    <row r="288" spans="1:16" x14ac:dyDescent="0.25">
      <c r="A288" s="73" t="s">
        <v>23</v>
      </c>
      <c r="B288" s="83">
        <v>800113389</v>
      </c>
      <c r="C288" s="74" t="s">
        <v>747</v>
      </c>
      <c r="D288" s="83" t="s">
        <v>60</v>
      </c>
      <c r="E288" s="75" t="s">
        <v>378</v>
      </c>
      <c r="F288" s="76" t="s">
        <v>802</v>
      </c>
      <c r="G288" s="83" t="s">
        <v>60</v>
      </c>
      <c r="H288" s="72">
        <v>45603</v>
      </c>
      <c r="I288" s="166">
        <v>435875.84000000003</v>
      </c>
      <c r="J288" s="166"/>
      <c r="K288" s="166">
        <v>0</v>
      </c>
      <c r="L288" s="166"/>
      <c r="M288" s="166">
        <v>0.16</v>
      </c>
      <c r="N288" s="166">
        <f t="shared" si="23"/>
        <v>435876</v>
      </c>
      <c r="O288" s="36"/>
      <c r="P288" s="36"/>
    </row>
    <row r="289" spans="1:16" x14ac:dyDescent="0.25">
      <c r="A289" s="73" t="s">
        <v>23</v>
      </c>
      <c r="B289" s="83">
        <v>800096580</v>
      </c>
      <c r="C289" s="74" t="s">
        <v>545</v>
      </c>
      <c r="D289" s="83" t="s">
        <v>60</v>
      </c>
      <c r="E289" s="75" t="s">
        <v>378</v>
      </c>
      <c r="F289" s="76" t="s">
        <v>653</v>
      </c>
      <c r="G289" s="83" t="s">
        <v>60</v>
      </c>
      <c r="H289" s="72">
        <v>45603</v>
      </c>
      <c r="I289" s="166">
        <v>2048256.69</v>
      </c>
      <c r="J289" s="166"/>
      <c r="K289" s="166">
        <v>0</v>
      </c>
      <c r="L289" s="166"/>
      <c r="M289" s="166">
        <v>-256.69</v>
      </c>
      <c r="N289" s="166">
        <f t="shared" si="23"/>
        <v>2048000</v>
      </c>
      <c r="O289" s="36"/>
      <c r="P289" s="36"/>
    </row>
    <row r="290" spans="1:16" ht="30" x14ac:dyDescent="0.25">
      <c r="A290" s="73" t="s">
        <v>23</v>
      </c>
      <c r="B290" s="83">
        <v>800070682</v>
      </c>
      <c r="C290" s="74" t="s">
        <v>748</v>
      </c>
      <c r="D290" s="83" t="s">
        <v>60</v>
      </c>
      <c r="E290" s="75" t="s">
        <v>378</v>
      </c>
      <c r="F290" s="76" t="s">
        <v>653</v>
      </c>
      <c r="G290" s="83" t="s">
        <v>60</v>
      </c>
      <c r="H290" s="72">
        <v>45603</v>
      </c>
      <c r="I290" s="166">
        <v>10619004.57</v>
      </c>
      <c r="J290" s="166"/>
      <c r="K290" s="166">
        <v>0</v>
      </c>
      <c r="L290" s="166"/>
      <c r="M290" s="166">
        <v>-4.57</v>
      </c>
      <c r="N290" s="166">
        <f t="shared" si="23"/>
        <v>10619000</v>
      </c>
      <c r="O290" s="36"/>
      <c r="P290" s="36"/>
    </row>
    <row r="291" spans="1:16" ht="30" x14ac:dyDescent="0.25">
      <c r="A291" s="73" t="s">
        <v>23</v>
      </c>
      <c r="B291" s="83">
        <v>800070682</v>
      </c>
      <c r="C291" s="74" t="s">
        <v>748</v>
      </c>
      <c r="D291" s="83" t="s">
        <v>60</v>
      </c>
      <c r="E291" s="75" t="s">
        <v>378</v>
      </c>
      <c r="F291" s="76" t="s">
        <v>801</v>
      </c>
      <c r="G291" s="83" t="s">
        <v>60</v>
      </c>
      <c r="H291" s="72">
        <v>45603</v>
      </c>
      <c r="I291" s="166">
        <v>1592850.69</v>
      </c>
      <c r="J291" s="166"/>
      <c r="K291" s="166">
        <v>0</v>
      </c>
      <c r="L291" s="166"/>
      <c r="M291" s="166">
        <v>149.31</v>
      </c>
      <c r="N291" s="166">
        <f t="shared" si="23"/>
        <v>1593000</v>
      </c>
      <c r="O291" s="36"/>
      <c r="P291" s="36"/>
    </row>
    <row r="292" spans="1:16" ht="30" x14ac:dyDescent="0.25">
      <c r="A292" s="73" t="s">
        <v>23</v>
      </c>
      <c r="B292" s="83">
        <v>800070682</v>
      </c>
      <c r="C292" s="74" t="s">
        <v>748</v>
      </c>
      <c r="D292" s="83" t="s">
        <v>60</v>
      </c>
      <c r="E292" s="75" t="s">
        <v>378</v>
      </c>
      <c r="F292" s="76" t="s">
        <v>802</v>
      </c>
      <c r="G292" s="83" t="s">
        <v>60</v>
      </c>
      <c r="H292" s="72">
        <v>45603</v>
      </c>
      <c r="I292" s="166">
        <v>530950.23</v>
      </c>
      <c r="J292" s="166"/>
      <c r="K292" s="166">
        <v>0</v>
      </c>
      <c r="L292" s="166"/>
      <c r="M292" s="166">
        <v>49.77</v>
      </c>
      <c r="N292" s="166">
        <f t="shared" si="23"/>
        <v>531000</v>
      </c>
      <c r="O292" s="36"/>
      <c r="P292" s="36"/>
    </row>
    <row r="293" spans="1:16" x14ac:dyDescent="0.25">
      <c r="A293" s="73" t="s">
        <v>23</v>
      </c>
      <c r="B293" s="83">
        <v>890985354</v>
      </c>
      <c r="C293" s="74" t="s">
        <v>749</v>
      </c>
      <c r="D293" s="83" t="s">
        <v>60</v>
      </c>
      <c r="E293" s="75" t="s">
        <v>378</v>
      </c>
      <c r="F293" s="76" t="s">
        <v>653</v>
      </c>
      <c r="G293" s="83" t="s">
        <v>60</v>
      </c>
      <c r="H293" s="72">
        <v>45603</v>
      </c>
      <c r="I293" s="166">
        <v>8914488.0700000003</v>
      </c>
      <c r="J293" s="166"/>
      <c r="K293" s="166">
        <v>0</v>
      </c>
      <c r="L293" s="166"/>
      <c r="M293" s="166">
        <v>-488.07</v>
      </c>
      <c r="N293" s="166">
        <f t="shared" si="23"/>
        <v>8914000</v>
      </c>
      <c r="O293" s="36"/>
      <c r="P293" s="36"/>
    </row>
    <row r="294" spans="1:16" ht="30" x14ac:dyDescent="0.25">
      <c r="A294" s="73" t="s">
        <v>23</v>
      </c>
      <c r="B294" s="83">
        <v>800108683</v>
      </c>
      <c r="C294" s="74" t="s">
        <v>668</v>
      </c>
      <c r="D294" s="83" t="s">
        <v>60</v>
      </c>
      <c r="E294" s="75" t="s">
        <v>378</v>
      </c>
      <c r="F294" s="76" t="s">
        <v>653</v>
      </c>
      <c r="G294" s="83" t="s">
        <v>60</v>
      </c>
      <c r="H294" s="72">
        <v>45603</v>
      </c>
      <c r="I294" s="166">
        <v>5165682.6900000004</v>
      </c>
      <c r="J294" s="166"/>
      <c r="K294" s="166">
        <v>0</v>
      </c>
      <c r="L294" s="166"/>
      <c r="M294" s="166">
        <v>317.31</v>
      </c>
      <c r="N294" s="166">
        <f t="shared" si="23"/>
        <v>5166000</v>
      </c>
      <c r="O294" s="36"/>
      <c r="P294" s="36"/>
    </row>
    <row r="295" spans="1:16" x14ac:dyDescent="0.25">
      <c r="A295" s="73" t="s">
        <v>23</v>
      </c>
      <c r="B295" s="83">
        <v>891102764</v>
      </c>
      <c r="C295" s="74" t="s">
        <v>750</v>
      </c>
      <c r="D295" s="83" t="s">
        <v>60</v>
      </c>
      <c r="E295" s="75" t="s">
        <v>378</v>
      </c>
      <c r="F295" s="76" t="s">
        <v>653</v>
      </c>
      <c r="G295" s="83" t="s">
        <v>60</v>
      </c>
      <c r="H295" s="72">
        <v>45603</v>
      </c>
      <c r="I295" s="166">
        <v>28725.74</v>
      </c>
      <c r="J295" s="166"/>
      <c r="K295" s="166">
        <v>0</v>
      </c>
      <c r="L295" s="166"/>
      <c r="M295" s="166">
        <v>274.26</v>
      </c>
      <c r="N295" s="166">
        <f t="shared" si="23"/>
        <v>29000</v>
      </c>
      <c r="O295" s="36"/>
      <c r="P295" s="36"/>
    </row>
    <row r="296" spans="1:16" ht="30" x14ac:dyDescent="0.25">
      <c r="A296" s="73" t="s">
        <v>23</v>
      </c>
      <c r="B296" s="83">
        <v>891180205</v>
      </c>
      <c r="C296" s="74" t="s">
        <v>751</v>
      </c>
      <c r="D296" s="83" t="s">
        <v>60</v>
      </c>
      <c r="E296" s="75" t="s">
        <v>378</v>
      </c>
      <c r="F296" s="76" t="s">
        <v>653</v>
      </c>
      <c r="G296" s="83" t="s">
        <v>60</v>
      </c>
      <c r="H296" s="72">
        <v>45604</v>
      </c>
      <c r="I296" s="166">
        <v>560527.82999999996</v>
      </c>
      <c r="J296" s="166"/>
      <c r="K296" s="166">
        <v>0</v>
      </c>
      <c r="L296" s="166"/>
      <c r="M296" s="166">
        <v>472.17</v>
      </c>
      <c r="N296" s="166">
        <f t="shared" si="23"/>
        <v>561000</v>
      </c>
      <c r="O296" s="36"/>
      <c r="P296" s="36"/>
    </row>
    <row r="297" spans="1:16" ht="30" x14ac:dyDescent="0.25">
      <c r="A297" s="73" t="s">
        <v>23</v>
      </c>
      <c r="B297" s="83">
        <v>899999090</v>
      </c>
      <c r="C297" s="74" t="s">
        <v>547</v>
      </c>
      <c r="D297" s="83" t="s">
        <v>60</v>
      </c>
      <c r="E297" s="75" t="s">
        <v>378</v>
      </c>
      <c r="F297" s="76" t="s">
        <v>803</v>
      </c>
      <c r="G297" s="83" t="s">
        <v>60</v>
      </c>
      <c r="H297" s="72">
        <v>45604</v>
      </c>
      <c r="I297" s="166">
        <v>464559118.18000001</v>
      </c>
      <c r="J297" s="166"/>
      <c r="K297" s="166">
        <v>0</v>
      </c>
      <c r="L297" s="166"/>
      <c r="M297" s="166">
        <v>-118.18</v>
      </c>
      <c r="N297" s="166">
        <f t="shared" si="23"/>
        <v>464559000</v>
      </c>
      <c r="O297" s="36"/>
      <c r="P297" s="36"/>
    </row>
    <row r="298" spans="1:16" ht="30" x14ac:dyDescent="0.25">
      <c r="A298" s="73" t="s">
        <v>23</v>
      </c>
      <c r="B298" s="83">
        <v>800096585</v>
      </c>
      <c r="C298" s="74" t="s">
        <v>451</v>
      </c>
      <c r="D298" s="83" t="s">
        <v>60</v>
      </c>
      <c r="E298" s="75" t="s">
        <v>378</v>
      </c>
      <c r="F298" s="76" t="s">
        <v>653</v>
      </c>
      <c r="G298" s="83" t="s">
        <v>60</v>
      </c>
      <c r="H298" s="72">
        <v>45604</v>
      </c>
      <c r="I298" s="166">
        <v>2384728.4300000002</v>
      </c>
      <c r="J298" s="166"/>
      <c r="K298" s="166">
        <v>0</v>
      </c>
      <c r="L298" s="166"/>
      <c r="M298" s="166">
        <v>271.57</v>
      </c>
      <c r="N298" s="166">
        <f t="shared" si="23"/>
        <v>2385000</v>
      </c>
      <c r="O298" s="36"/>
      <c r="P298" s="36"/>
    </row>
    <row r="299" spans="1:16" ht="30" x14ac:dyDescent="0.25">
      <c r="A299" s="73" t="s">
        <v>23</v>
      </c>
      <c r="B299" s="83">
        <v>800096807</v>
      </c>
      <c r="C299" s="74" t="s">
        <v>659</v>
      </c>
      <c r="D299" s="83" t="s">
        <v>60</v>
      </c>
      <c r="E299" s="75" t="s">
        <v>378</v>
      </c>
      <c r="F299" s="76" t="s">
        <v>653</v>
      </c>
      <c r="G299" s="83" t="s">
        <v>60</v>
      </c>
      <c r="H299" s="72">
        <v>45604</v>
      </c>
      <c r="I299" s="166">
        <v>10743770.43</v>
      </c>
      <c r="J299" s="166"/>
      <c r="K299" s="166">
        <v>0</v>
      </c>
      <c r="L299" s="166"/>
      <c r="M299" s="166">
        <v>229.57</v>
      </c>
      <c r="N299" s="166">
        <f t="shared" si="23"/>
        <v>10744000</v>
      </c>
      <c r="O299" s="36"/>
      <c r="P299" s="36"/>
    </row>
    <row r="300" spans="1:16" ht="30" x14ac:dyDescent="0.25">
      <c r="A300" s="73" t="s">
        <v>23</v>
      </c>
      <c r="B300" s="83">
        <v>800026685</v>
      </c>
      <c r="C300" s="74" t="s">
        <v>661</v>
      </c>
      <c r="D300" s="83" t="s">
        <v>60</v>
      </c>
      <c r="E300" s="75" t="s">
        <v>378</v>
      </c>
      <c r="F300" s="76" t="s">
        <v>653</v>
      </c>
      <c r="G300" s="83" t="s">
        <v>60</v>
      </c>
      <c r="H300" s="72">
        <v>45609</v>
      </c>
      <c r="I300" s="166">
        <v>1770871.32</v>
      </c>
      <c r="J300" s="166"/>
      <c r="K300" s="166">
        <v>0</v>
      </c>
      <c r="L300" s="166"/>
      <c r="M300" s="166">
        <v>128.68</v>
      </c>
      <c r="N300" s="166">
        <f t="shared" si="23"/>
        <v>1771000</v>
      </c>
      <c r="O300" s="36"/>
      <c r="P300" s="36"/>
    </row>
    <row r="301" spans="1:16" ht="30" x14ac:dyDescent="0.25">
      <c r="A301" s="73" t="s">
        <v>23</v>
      </c>
      <c r="B301" s="83">
        <v>891502307</v>
      </c>
      <c r="C301" s="74" t="s">
        <v>663</v>
      </c>
      <c r="D301" s="83" t="s">
        <v>60</v>
      </c>
      <c r="E301" s="75" t="s">
        <v>378</v>
      </c>
      <c r="F301" s="76" t="s">
        <v>653</v>
      </c>
      <c r="G301" s="83" t="s">
        <v>60</v>
      </c>
      <c r="H301" s="72">
        <v>45609</v>
      </c>
      <c r="I301" s="166">
        <v>53043.66</v>
      </c>
      <c r="J301" s="166"/>
      <c r="K301" s="166">
        <v>0</v>
      </c>
      <c r="L301" s="166"/>
      <c r="M301" s="166">
        <v>-43.66</v>
      </c>
      <c r="N301" s="166">
        <f t="shared" si="23"/>
        <v>53000</v>
      </c>
      <c r="O301" s="36"/>
      <c r="P301" s="36"/>
    </row>
    <row r="302" spans="1:16" ht="30" x14ac:dyDescent="0.25">
      <c r="A302" s="73" t="s">
        <v>23</v>
      </c>
      <c r="B302" s="83">
        <v>892115155</v>
      </c>
      <c r="C302" s="74" t="s">
        <v>667</v>
      </c>
      <c r="D302" s="83" t="s">
        <v>60</v>
      </c>
      <c r="E302" s="75" t="s">
        <v>378</v>
      </c>
      <c r="F302" s="76" t="s">
        <v>653</v>
      </c>
      <c r="G302" s="83" t="s">
        <v>60</v>
      </c>
      <c r="H302" s="72">
        <v>45609</v>
      </c>
      <c r="I302" s="166">
        <v>3666648.8</v>
      </c>
      <c r="J302" s="166"/>
      <c r="K302" s="166">
        <v>0</v>
      </c>
      <c r="L302" s="166"/>
      <c r="M302" s="166">
        <v>351.2</v>
      </c>
      <c r="N302" s="166">
        <f t="shared" si="23"/>
        <v>3667000</v>
      </c>
      <c r="O302" s="36"/>
      <c r="P302" s="36"/>
    </row>
    <row r="303" spans="1:16" ht="30" x14ac:dyDescent="0.25">
      <c r="A303" s="73" t="s">
        <v>23</v>
      </c>
      <c r="B303" s="83">
        <v>800012638</v>
      </c>
      <c r="C303" s="74" t="s">
        <v>662</v>
      </c>
      <c r="D303" s="83" t="s">
        <v>60</v>
      </c>
      <c r="E303" s="75" t="s">
        <v>378</v>
      </c>
      <c r="F303" s="76" t="s">
        <v>653</v>
      </c>
      <c r="G303" s="83" t="s">
        <v>60</v>
      </c>
      <c r="H303" s="72">
        <v>45610</v>
      </c>
      <c r="I303" s="166">
        <v>21502.959999999999</v>
      </c>
      <c r="J303" s="166"/>
      <c r="K303" s="166">
        <v>0</v>
      </c>
      <c r="L303" s="166"/>
      <c r="M303" s="166">
        <v>497.04</v>
      </c>
      <c r="N303" s="166">
        <f t="shared" si="23"/>
        <v>22000</v>
      </c>
      <c r="O303" s="36"/>
      <c r="P303" s="36"/>
    </row>
    <row r="304" spans="1:16" x14ac:dyDescent="0.25">
      <c r="A304" s="73" t="s">
        <v>23</v>
      </c>
      <c r="B304" s="83">
        <v>891200461</v>
      </c>
      <c r="C304" s="74" t="s">
        <v>752</v>
      </c>
      <c r="D304" s="83" t="s">
        <v>60</v>
      </c>
      <c r="E304" s="75" t="s">
        <v>378</v>
      </c>
      <c r="F304" s="76" t="s">
        <v>653</v>
      </c>
      <c r="G304" s="83" t="s">
        <v>60</v>
      </c>
      <c r="H304" s="72">
        <v>45610</v>
      </c>
      <c r="I304" s="166">
        <v>216892.61</v>
      </c>
      <c r="J304" s="166"/>
      <c r="K304" s="166">
        <v>0</v>
      </c>
      <c r="L304" s="166"/>
      <c r="M304" s="166">
        <v>107.39</v>
      </c>
      <c r="N304" s="166">
        <f t="shared" si="23"/>
        <v>217000</v>
      </c>
      <c r="O304" s="36"/>
      <c r="P304" s="36"/>
    </row>
    <row r="305" spans="1:16" ht="30" x14ac:dyDescent="0.25">
      <c r="A305" s="73" t="s">
        <v>23</v>
      </c>
      <c r="B305" s="83">
        <v>891180155</v>
      </c>
      <c r="C305" s="74" t="s">
        <v>753</v>
      </c>
      <c r="D305" s="83" t="s">
        <v>60</v>
      </c>
      <c r="E305" s="75" t="s">
        <v>378</v>
      </c>
      <c r="F305" s="76" t="s">
        <v>653</v>
      </c>
      <c r="G305" s="83" t="s">
        <v>60</v>
      </c>
      <c r="H305" s="72">
        <v>45610</v>
      </c>
      <c r="I305" s="166">
        <v>100192</v>
      </c>
      <c r="J305" s="166"/>
      <c r="K305" s="166">
        <v>0</v>
      </c>
      <c r="L305" s="166"/>
      <c r="M305" s="166">
        <v>-192</v>
      </c>
      <c r="N305" s="166">
        <f t="shared" si="23"/>
        <v>100000</v>
      </c>
      <c r="O305" s="36"/>
      <c r="P305" s="36"/>
    </row>
    <row r="306" spans="1:16" ht="30" x14ac:dyDescent="0.25">
      <c r="A306" s="73" t="s">
        <v>23</v>
      </c>
      <c r="B306" s="83">
        <v>890399045</v>
      </c>
      <c r="C306" s="74" t="s">
        <v>664</v>
      </c>
      <c r="D306" s="83" t="s">
        <v>60</v>
      </c>
      <c r="E306" s="75" t="s">
        <v>378</v>
      </c>
      <c r="F306" s="76" t="s">
        <v>653</v>
      </c>
      <c r="G306" s="83" t="s">
        <v>60</v>
      </c>
      <c r="H306" s="72">
        <v>45610</v>
      </c>
      <c r="I306" s="166">
        <v>66304.56</v>
      </c>
      <c r="J306" s="166"/>
      <c r="K306" s="166">
        <v>0</v>
      </c>
      <c r="L306" s="166"/>
      <c r="M306" s="166">
        <v>-304.56</v>
      </c>
      <c r="N306" s="166">
        <f t="shared" si="23"/>
        <v>66000</v>
      </c>
      <c r="O306" s="36"/>
      <c r="P306" s="36"/>
    </row>
    <row r="307" spans="1:16" ht="45" x14ac:dyDescent="0.25">
      <c r="A307" s="73" t="s">
        <v>23</v>
      </c>
      <c r="B307" s="83">
        <v>892115007</v>
      </c>
      <c r="C307" s="74" t="s">
        <v>705</v>
      </c>
      <c r="D307" s="83" t="s">
        <v>60</v>
      </c>
      <c r="E307" s="75" t="s">
        <v>378</v>
      </c>
      <c r="F307" s="76" t="s">
        <v>653</v>
      </c>
      <c r="G307" s="83" t="s">
        <v>60</v>
      </c>
      <c r="H307" s="72">
        <v>45611</v>
      </c>
      <c r="I307" s="166">
        <v>973165.01</v>
      </c>
      <c r="J307" s="166"/>
      <c r="K307" s="166">
        <v>0</v>
      </c>
      <c r="L307" s="166"/>
      <c r="M307" s="166">
        <v>-165.01</v>
      </c>
      <c r="N307" s="166">
        <f t="shared" si="23"/>
        <v>973000</v>
      </c>
      <c r="O307" s="36"/>
      <c r="P307" s="36"/>
    </row>
    <row r="308" spans="1:16" ht="30" x14ac:dyDescent="0.25">
      <c r="A308" s="73" t="s">
        <v>23</v>
      </c>
      <c r="B308" s="83">
        <v>892280054</v>
      </c>
      <c r="C308" s="74" t="s">
        <v>665</v>
      </c>
      <c r="D308" s="83" t="s">
        <v>60</v>
      </c>
      <c r="E308" s="75" t="s">
        <v>378</v>
      </c>
      <c r="F308" s="76" t="s">
        <v>653</v>
      </c>
      <c r="G308" s="83" t="s">
        <v>60</v>
      </c>
      <c r="H308" s="72">
        <v>45611</v>
      </c>
      <c r="I308" s="166">
        <v>2624594.66</v>
      </c>
      <c r="J308" s="166"/>
      <c r="K308" s="166">
        <v>0</v>
      </c>
      <c r="L308" s="166"/>
      <c r="M308" s="166">
        <v>405.34</v>
      </c>
      <c r="N308" s="166">
        <f t="shared" si="23"/>
        <v>2625000</v>
      </c>
      <c r="O308" s="36"/>
      <c r="P308" s="36"/>
    </row>
    <row r="309" spans="1:16" x14ac:dyDescent="0.25">
      <c r="A309" s="73" t="s">
        <v>23</v>
      </c>
      <c r="B309" s="83">
        <v>800117687</v>
      </c>
      <c r="C309" s="74" t="s">
        <v>674</v>
      </c>
      <c r="D309" s="83" t="s">
        <v>60</v>
      </c>
      <c r="E309" s="75" t="s">
        <v>378</v>
      </c>
      <c r="F309" s="76" t="s">
        <v>653</v>
      </c>
      <c r="G309" s="83" t="s">
        <v>60</v>
      </c>
      <c r="H309" s="72">
        <v>45611</v>
      </c>
      <c r="I309" s="166">
        <v>773039.08</v>
      </c>
      <c r="J309" s="166"/>
      <c r="K309" s="166">
        <v>0</v>
      </c>
      <c r="L309" s="166"/>
      <c r="M309" s="166">
        <v>-39.08</v>
      </c>
      <c r="N309" s="166">
        <f t="shared" si="23"/>
        <v>773000</v>
      </c>
      <c r="O309" s="36"/>
      <c r="P309" s="36"/>
    </row>
    <row r="310" spans="1:16" x14ac:dyDescent="0.25">
      <c r="A310" s="73" t="s">
        <v>23</v>
      </c>
      <c r="B310" s="83">
        <v>891780041</v>
      </c>
      <c r="C310" s="74" t="s">
        <v>754</v>
      </c>
      <c r="D310" s="83" t="s">
        <v>60</v>
      </c>
      <c r="E310" s="75" t="s">
        <v>378</v>
      </c>
      <c r="F310" s="76" t="s">
        <v>802</v>
      </c>
      <c r="G310" s="83" t="s">
        <v>60</v>
      </c>
      <c r="H310" s="72">
        <v>45611</v>
      </c>
      <c r="I310" s="166">
        <v>26130.74</v>
      </c>
      <c r="J310" s="166"/>
      <c r="K310" s="166">
        <v>0</v>
      </c>
      <c r="L310" s="166"/>
      <c r="M310" s="166">
        <v>-130.74</v>
      </c>
      <c r="N310" s="166">
        <f t="shared" si="23"/>
        <v>26000</v>
      </c>
      <c r="O310" s="36"/>
      <c r="P310" s="36"/>
    </row>
    <row r="311" spans="1:16" x14ac:dyDescent="0.25">
      <c r="A311" s="73" t="s">
        <v>23</v>
      </c>
      <c r="B311" s="83">
        <v>891780041</v>
      </c>
      <c r="C311" s="74" t="s">
        <v>754</v>
      </c>
      <c r="D311" s="83" t="s">
        <v>60</v>
      </c>
      <c r="E311" s="75" t="s">
        <v>378</v>
      </c>
      <c r="F311" s="76" t="s">
        <v>801</v>
      </c>
      <c r="G311" s="83" t="s">
        <v>60</v>
      </c>
      <c r="H311" s="72">
        <v>45611</v>
      </c>
      <c r="I311" s="166">
        <v>55994.44</v>
      </c>
      <c r="J311" s="166"/>
      <c r="K311" s="166">
        <v>0</v>
      </c>
      <c r="L311" s="166"/>
      <c r="M311" s="166">
        <v>5.56</v>
      </c>
      <c r="N311" s="166">
        <f t="shared" si="23"/>
        <v>56000</v>
      </c>
      <c r="O311" s="36"/>
      <c r="P311" s="36"/>
    </row>
    <row r="312" spans="1:16" x14ac:dyDescent="0.25">
      <c r="A312" s="73" t="s">
        <v>23</v>
      </c>
      <c r="B312" s="83">
        <v>891780041</v>
      </c>
      <c r="C312" s="74" t="s">
        <v>754</v>
      </c>
      <c r="D312" s="83" t="s">
        <v>60</v>
      </c>
      <c r="E312" s="75" t="s">
        <v>378</v>
      </c>
      <c r="F312" s="76" t="s">
        <v>653</v>
      </c>
      <c r="G312" s="83" t="s">
        <v>60</v>
      </c>
      <c r="H312" s="72">
        <v>45611</v>
      </c>
      <c r="I312" s="166">
        <v>373296.25</v>
      </c>
      <c r="J312" s="166"/>
      <c r="K312" s="166">
        <v>0</v>
      </c>
      <c r="L312" s="166"/>
      <c r="M312" s="166">
        <v>-296.25</v>
      </c>
      <c r="N312" s="166">
        <f t="shared" si="23"/>
        <v>373000</v>
      </c>
      <c r="O312" s="36"/>
      <c r="P312" s="36"/>
    </row>
    <row r="313" spans="1:16" ht="30" x14ac:dyDescent="0.25">
      <c r="A313" s="73" t="s">
        <v>23</v>
      </c>
      <c r="B313" s="83">
        <v>891500580</v>
      </c>
      <c r="C313" s="74" t="s">
        <v>672</v>
      </c>
      <c r="D313" s="83" t="s">
        <v>60</v>
      </c>
      <c r="E313" s="75" t="s">
        <v>378</v>
      </c>
      <c r="F313" s="76" t="s">
        <v>653</v>
      </c>
      <c r="G313" s="83" t="s">
        <v>60</v>
      </c>
      <c r="H313" s="72">
        <v>45611</v>
      </c>
      <c r="I313" s="166">
        <v>508942.86</v>
      </c>
      <c r="J313" s="166"/>
      <c r="K313" s="166">
        <v>0</v>
      </c>
      <c r="L313" s="166"/>
      <c r="M313" s="166">
        <v>57.14</v>
      </c>
      <c r="N313" s="166">
        <f t="shared" si="23"/>
        <v>509000</v>
      </c>
      <c r="O313" s="36"/>
      <c r="P313" s="36"/>
    </row>
    <row r="314" spans="1:16" x14ac:dyDescent="0.25">
      <c r="A314" s="73" t="s">
        <v>23</v>
      </c>
      <c r="B314" s="83">
        <v>800102801</v>
      </c>
      <c r="C314" s="74" t="s">
        <v>551</v>
      </c>
      <c r="D314" s="83" t="s">
        <v>60</v>
      </c>
      <c r="E314" s="75" t="s">
        <v>378</v>
      </c>
      <c r="F314" s="76" t="s">
        <v>653</v>
      </c>
      <c r="G314" s="83" t="s">
        <v>60</v>
      </c>
      <c r="H314" s="72">
        <v>45611</v>
      </c>
      <c r="I314" s="166">
        <v>18086724.359999999</v>
      </c>
      <c r="J314" s="166"/>
      <c r="K314" s="166">
        <v>0</v>
      </c>
      <c r="L314" s="166"/>
      <c r="M314" s="166">
        <v>275.64</v>
      </c>
      <c r="N314" s="166">
        <f t="shared" si="23"/>
        <v>18087000</v>
      </c>
      <c r="O314" s="36"/>
      <c r="P314" s="36"/>
    </row>
    <row r="315" spans="1:16" ht="30" x14ac:dyDescent="0.25">
      <c r="A315" s="73" t="s">
        <v>23</v>
      </c>
      <c r="B315" s="83">
        <v>891500856</v>
      </c>
      <c r="C315" s="74" t="s">
        <v>669</v>
      </c>
      <c r="D315" s="83" t="s">
        <v>60</v>
      </c>
      <c r="E315" s="75" t="s">
        <v>378</v>
      </c>
      <c r="F315" s="76" t="s">
        <v>653</v>
      </c>
      <c r="G315" s="83" t="s">
        <v>60</v>
      </c>
      <c r="H315" s="72">
        <v>45611</v>
      </c>
      <c r="I315" s="166">
        <v>21505.08</v>
      </c>
      <c r="J315" s="166"/>
      <c r="K315" s="166">
        <v>0</v>
      </c>
      <c r="L315" s="166"/>
      <c r="M315" s="166">
        <v>494.92</v>
      </c>
      <c r="N315" s="166">
        <f t="shared" si="23"/>
        <v>22000</v>
      </c>
      <c r="O315" s="36"/>
      <c r="P315" s="36"/>
    </row>
    <row r="316" spans="1:16" ht="30" x14ac:dyDescent="0.25">
      <c r="A316" s="73" t="s">
        <v>23</v>
      </c>
      <c r="B316" s="83">
        <v>892115024</v>
      </c>
      <c r="C316" s="74" t="s">
        <v>755</v>
      </c>
      <c r="D316" s="83" t="s">
        <v>60</v>
      </c>
      <c r="E316" s="75" t="s">
        <v>378</v>
      </c>
      <c r="F316" s="76" t="s">
        <v>653</v>
      </c>
      <c r="G316" s="83" t="s">
        <v>60</v>
      </c>
      <c r="H316" s="72">
        <v>45611</v>
      </c>
      <c r="I316" s="166">
        <v>1532283.2</v>
      </c>
      <c r="J316" s="166"/>
      <c r="K316" s="166">
        <v>0</v>
      </c>
      <c r="L316" s="166"/>
      <c r="M316" s="166">
        <v>-283.2</v>
      </c>
      <c r="N316" s="166">
        <f t="shared" si="23"/>
        <v>1532000</v>
      </c>
      <c r="O316" s="36"/>
      <c r="P316" s="36"/>
    </row>
    <row r="317" spans="1:16" ht="30" x14ac:dyDescent="0.25">
      <c r="A317" s="73" t="s">
        <v>23</v>
      </c>
      <c r="B317" s="83">
        <v>891500982</v>
      </c>
      <c r="C317" s="74" t="s">
        <v>453</v>
      </c>
      <c r="D317" s="83" t="s">
        <v>60</v>
      </c>
      <c r="E317" s="75" t="s">
        <v>378</v>
      </c>
      <c r="F317" s="76" t="s">
        <v>653</v>
      </c>
      <c r="G317" s="83" t="s">
        <v>60</v>
      </c>
      <c r="H317" s="72">
        <v>45614</v>
      </c>
      <c r="I317" s="166">
        <v>48386.42</v>
      </c>
      <c r="J317" s="166"/>
      <c r="K317" s="166">
        <v>0</v>
      </c>
      <c r="L317" s="166"/>
      <c r="M317" s="166">
        <v>-386.42</v>
      </c>
      <c r="N317" s="166">
        <f t="shared" si="23"/>
        <v>48000</v>
      </c>
      <c r="O317" s="36"/>
      <c r="P317" s="36"/>
    </row>
    <row r="318" spans="1:16" ht="30" x14ac:dyDescent="0.25">
      <c r="A318" s="73" t="s">
        <v>23</v>
      </c>
      <c r="B318" s="83">
        <v>891500269</v>
      </c>
      <c r="C318" s="74" t="s">
        <v>671</v>
      </c>
      <c r="D318" s="83" t="s">
        <v>60</v>
      </c>
      <c r="E318" s="75" t="s">
        <v>378</v>
      </c>
      <c r="F318" s="76" t="s">
        <v>653</v>
      </c>
      <c r="G318" s="83" t="s">
        <v>60</v>
      </c>
      <c r="H318" s="72">
        <v>45614</v>
      </c>
      <c r="I318" s="166">
        <v>376396.97</v>
      </c>
      <c r="J318" s="166"/>
      <c r="K318" s="166">
        <v>0</v>
      </c>
      <c r="L318" s="166"/>
      <c r="M318" s="166">
        <v>603.03</v>
      </c>
      <c r="N318" s="166">
        <f t="shared" si="23"/>
        <v>377000</v>
      </c>
      <c r="O318" s="36"/>
      <c r="P318" s="36"/>
    </row>
    <row r="319" spans="1:16" ht="30" x14ac:dyDescent="0.25">
      <c r="A319" s="73" t="s">
        <v>23</v>
      </c>
      <c r="B319" s="83">
        <v>892120020</v>
      </c>
      <c r="C319" s="74" t="s">
        <v>756</v>
      </c>
      <c r="D319" s="83" t="s">
        <v>60</v>
      </c>
      <c r="E319" s="75" t="s">
        <v>378</v>
      </c>
      <c r="F319" s="76" t="s">
        <v>653</v>
      </c>
      <c r="G319" s="83" t="s">
        <v>60</v>
      </c>
      <c r="H319" s="72">
        <v>45614</v>
      </c>
      <c r="I319" s="166">
        <v>223739.48</v>
      </c>
      <c r="J319" s="166"/>
      <c r="K319" s="166">
        <v>0</v>
      </c>
      <c r="L319" s="166"/>
      <c r="M319" s="166">
        <v>260.52</v>
      </c>
      <c r="N319" s="166">
        <f t="shared" si="23"/>
        <v>224000</v>
      </c>
      <c r="O319" s="36"/>
      <c r="P319" s="36"/>
    </row>
    <row r="320" spans="1:16" x14ac:dyDescent="0.25">
      <c r="A320" s="73" t="s">
        <v>23</v>
      </c>
      <c r="B320" s="83">
        <v>800252922</v>
      </c>
      <c r="C320" s="74" t="s">
        <v>757</v>
      </c>
      <c r="D320" s="83" t="s">
        <v>60</v>
      </c>
      <c r="E320" s="75" t="s">
        <v>378</v>
      </c>
      <c r="F320" s="76" t="s">
        <v>653</v>
      </c>
      <c r="G320" s="83" t="s">
        <v>60</v>
      </c>
      <c r="H320" s="72">
        <v>45614</v>
      </c>
      <c r="I320" s="166">
        <v>86757.05</v>
      </c>
      <c r="J320" s="166"/>
      <c r="K320" s="166">
        <v>0</v>
      </c>
      <c r="L320" s="166"/>
      <c r="M320" s="166">
        <v>242.95</v>
      </c>
      <c r="N320" s="166">
        <f t="shared" si="23"/>
        <v>87000</v>
      </c>
      <c r="O320" s="36"/>
      <c r="P320" s="36"/>
    </row>
    <row r="321" spans="1:16" x14ac:dyDescent="0.25">
      <c r="A321" s="73" t="s">
        <v>23</v>
      </c>
      <c r="B321" s="83">
        <v>817002675</v>
      </c>
      <c r="C321" s="74" t="s">
        <v>670</v>
      </c>
      <c r="D321" s="83" t="s">
        <v>60</v>
      </c>
      <c r="E321" s="75" t="s">
        <v>378</v>
      </c>
      <c r="F321" s="76" t="s">
        <v>653</v>
      </c>
      <c r="G321" s="83" t="s">
        <v>60</v>
      </c>
      <c r="H321" s="72">
        <v>45614</v>
      </c>
      <c r="I321" s="166">
        <v>1235235.44</v>
      </c>
      <c r="J321" s="166"/>
      <c r="K321" s="166">
        <v>0</v>
      </c>
      <c r="L321" s="166"/>
      <c r="M321" s="166">
        <v>-235.44</v>
      </c>
      <c r="N321" s="166">
        <f t="shared" si="23"/>
        <v>1235000</v>
      </c>
      <c r="O321" s="36"/>
      <c r="P321" s="36"/>
    </row>
    <row r="322" spans="1:16" ht="30" x14ac:dyDescent="0.25">
      <c r="A322" s="73" t="s">
        <v>23</v>
      </c>
      <c r="B322" s="83">
        <v>800100519</v>
      </c>
      <c r="C322" s="74" t="s">
        <v>666</v>
      </c>
      <c r="D322" s="83" t="s">
        <v>60</v>
      </c>
      <c r="E322" s="75" t="s">
        <v>378</v>
      </c>
      <c r="F322" s="76" t="s">
        <v>653</v>
      </c>
      <c r="G322" s="83" t="s">
        <v>60</v>
      </c>
      <c r="H322" s="72">
        <v>45615</v>
      </c>
      <c r="I322" s="166">
        <v>2295162.11</v>
      </c>
      <c r="J322" s="166"/>
      <c r="K322" s="166">
        <v>0</v>
      </c>
      <c r="L322" s="166"/>
      <c r="M322" s="166">
        <v>-162.11000000000001</v>
      </c>
      <c r="N322" s="166">
        <f t="shared" si="23"/>
        <v>2295000</v>
      </c>
      <c r="O322" s="36"/>
      <c r="P322" s="36"/>
    </row>
    <row r="323" spans="1:16" x14ac:dyDescent="0.25">
      <c r="A323" s="73" t="s">
        <v>23</v>
      </c>
      <c r="B323" s="83">
        <v>800096576</v>
      </c>
      <c r="C323" s="74" t="s">
        <v>452</v>
      </c>
      <c r="D323" s="83" t="s">
        <v>60</v>
      </c>
      <c r="E323" s="75" t="s">
        <v>378</v>
      </c>
      <c r="F323" s="76" t="s">
        <v>653</v>
      </c>
      <c r="G323" s="83" t="s">
        <v>60</v>
      </c>
      <c r="H323" s="72">
        <v>45615</v>
      </c>
      <c r="I323" s="166">
        <v>3122124.74</v>
      </c>
      <c r="J323" s="166"/>
      <c r="K323" s="166">
        <v>0</v>
      </c>
      <c r="L323" s="166"/>
      <c r="M323" s="166">
        <v>-124.74</v>
      </c>
      <c r="N323" s="166">
        <f t="shared" si="23"/>
        <v>3122000</v>
      </c>
      <c r="O323" s="36"/>
      <c r="P323" s="36"/>
    </row>
    <row r="324" spans="1:16" ht="30" x14ac:dyDescent="0.25">
      <c r="A324" s="73" t="s">
        <v>23</v>
      </c>
      <c r="B324" s="83">
        <v>800136069</v>
      </c>
      <c r="C324" s="74" t="s">
        <v>651</v>
      </c>
      <c r="D324" s="83" t="s">
        <v>60</v>
      </c>
      <c r="E324" s="75" t="s">
        <v>378</v>
      </c>
      <c r="F324" s="76" t="s">
        <v>802</v>
      </c>
      <c r="G324" s="83" t="s">
        <v>60</v>
      </c>
      <c r="H324" s="72">
        <v>45615</v>
      </c>
      <c r="I324" s="166">
        <v>1404.93</v>
      </c>
      <c r="J324" s="166"/>
      <c r="K324" s="166">
        <v>0</v>
      </c>
      <c r="L324" s="166"/>
      <c r="M324" s="166">
        <v>-404.93</v>
      </c>
      <c r="N324" s="166">
        <f t="shared" si="23"/>
        <v>1000</v>
      </c>
      <c r="O324" s="36"/>
      <c r="P324" s="36"/>
    </row>
    <row r="325" spans="1:16" ht="30" x14ac:dyDescent="0.25">
      <c r="A325" s="73" t="s">
        <v>23</v>
      </c>
      <c r="B325" s="83">
        <v>800136069</v>
      </c>
      <c r="C325" s="74" t="s">
        <v>651</v>
      </c>
      <c r="D325" s="83" t="s">
        <v>60</v>
      </c>
      <c r="E325" s="75" t="s">
        <v>378</v>
      </c>
      <c r="F325" s="76" t="s">
        <v>653</v>
      </c>
      <c r="G325" s="83" t="s">
        <v>60</v>
      </c>
      <c r="H325" s="72">
        <v>45615</v>
      </c>
      <c r="I325" s="166">
        <v>23415.56</v>
      </c>
      <c r="J325" s="166"/>
      <c r="K325" s="166">
        <v>0</v>
      </c>
      <c r="L325" s="166"/>
      <c r="M325" s="166">
        <v>-415.56</v>
      </c>
      <c r="N325" s="166">
        <f t="shared" si="23"/>
        <v>23000</v>
      </c>
      <c r="O325" s="36"/>
      <c r="P325" s="36"/>
    </row>
    <row r="326" spans="1:16" x14ac:dyDescent="0.25">
      <c r="A326" s="73" t="s">
        <v>23</v>
      </c>
      <c r="B326" s="83">
        <v>825000134</v>
      </c>
      <c r="C326" s="74" t="s">
        <v>558</v>
      </c>
      <c r="D326" s="83" t="s">
        <v>60</v>
      </c>
      <c r="E326" s="75" t="s">
        <v>378</v>
      </c>
      <c r="F326" s="76" t="s">
        <v>653</v>
      </c>
      <c r="G326" s="83" t="s">
        <v>60</v>
      </c>
      <c r="H326" s="72">
        <v>45615</v>
      </c>
      <c r="I326" s="166">
        <v>10821138.43</v>
      </c>
      <c r="J326" s="166"/>
      <c r="K326" s="166">
        <v>0</v>
      </c>
      <c r="L326" s="166"/>
      <c r="M326" s="166">
        <v>-138.43</v>
      </c>
      <c r="N326" s="166">
        <f t="shared" si="23"/>
        <v>10821000</v>
      </c>
      <c r="O326" s="36"/>
      <c r="P326" s="36"/>
    </row>
    <row r="327" spans="1:16" ht="30" x14ac:dyDescent="0.25">
      <c r="A327" s="73" t="s">
        <v>23</v>
      </c>
      <c r="B327" s="83">
        <v>800102912</v>
      </c>
      <c r="C327" s="74" t="s">
        <v>758</v>
      </c>
      <c r="D327" s="83" t="s">
        <v>60</v>
      </c>
      <c r="E327" s="75" t="s">
        <v>378</v>
      </c>
      <c r="F327" s="76" t="s">
        <v>653</v>
      </c>
      <c r="G327" s="83" t="s">
        <v>60</v>
      </c>
      <c r="H327" s="72">
        <v>45616</v>
      </c>
      <c r="I327" s="166">
        <v>108446.31</v>
      </c>
      <c r="J327" s="166"/>
      <c r="K327" s="166">
        <v>0</v>
      </c>
      <c r="L327" s="166"/>
      <c r="M327" s="166">
        <v>-446.31</v>
      </c>
      <c r="N327" s="166">
        <f t="shared" si="23"/>
        <v>108000</v>
      </c>
      <c r="O327" s="36"/>
      <c r="P327" s="36"/>
    </row>
    <row r="328" spans="1:16" x14ac:dyDescent="0.25">
      <c r="A328" s="73" t="s">
        <v>23</v>
      </c>
      <c r="B328" s="83">
        <v>800028432</v>
      </c>
      <c r="C328" s="74" t="s">
        <v>673</v>
      </c>
      <c r="D328" s="83" t="s">
        <v>60</v>
      </c>
      <c r="E328" s="75" t="s">
        <v>378</v>
      </c>
      <c r="F328" s="76" t="s">
        <v>653</v>
      </c>
      <c r="G328" s="83" t="s">
        <v>60</v>
      </c>
      <c r="H328" s="72">
        <v>45616</v>
      </c>
      <c r="I328" s="166">
        <v>1759625.15</v>
      </c>
      <c r="J328" s="166"/>
      <c r="K328" s="166">
        <v>0</v>
      </c>
      <c r="L328" s="166"/>
      <c r="M328" s="166">
        <v>374.85</v>
      </c>
      <c r="N328" s="166">
        <f t="shared" si="23"/>
        <v>1760000</v>
      </c>
      <c r="O328" s="36"/>
      <c r="P328" s="36"/>
    </row>
    <row r="329" spans="1:16" ht="45" x14ac:dyDescent="0.25">
      <c r="A329" s="73" t="s">
        <v>23</v>
      </c>
      <c r="B329" s="83">
        <v>800197268</v>
      </c>
      <c r="C329" s="74" t="s">
        <v>449</v>
      </c>
      <c r="D329" s="83" t="s">
        <v>60</v>
      </c>
      <c r="E329" s="75" t="s">
        <v>378</v>
      </c>
      <c r="F329" s="76" t="s">
        <v>804</v>
      </c>
      <c r="G329" s="83" t="s">
        <v>60</v>
      </c>
      <c r="H329" s="72">
        <v>45621</v>
      </c>
      <c r="I329" s="166">
        <v>227301504.80000001</v>
      </c>
      <c r="J329" s="166"/>
      <c r="K329" s="166">
        <v>0</v>
      </c>
      <c r="L329" s="166"/>
      <c r="M329" s="166">
        <v>-504.8</v>
      </c>
      <c r="N329" s="166">
        <f t="shared" si="23"/>
        <v>227301000</v>
      </c>
      <c r="O329" s="36"/>
      <c r="P329" s="36"/>
    </row>
    <row r="330" spans="1:16" ht="36.75" customHeight="1" x14ac:dyDescent="0.25">
      <c r="F330" s="107" t="s">
        <v>822</v>
      </c>
      <c r="I330" s="184">
        <f>+SUM(I234:I329)</f>
        <v>10445309716.549999</v>
      </c>
      <c r="J330" s="184">
        <f t="shared" ref="J330:N330" si="24">+SUM(J234:J329)</f>
        <v>963165314.00999987</v>
      </c>
      <c r="K330" s="184">
        <f t="shared" si="24"/>
        <v>840440983.11999989</v>
      </c>
      <c r="L330" s="184">
        <f t="shared" si="24"/>
        <v>0</v>
      </c>
      <c r="M330" s="184">
        <f t="shared" si="24"/>
        <v>-97.380000000000507</v>
      </c>
      <c r="N330" s="184">
        <f t="shared" si="24"/>
        <v>8641703322.039999</v>
      </c>
      <c r="O330" s="100"/>
      <c r="P330" s="36"/>
    </row>
    <row r="331" spans="1:16" ht="150" x14ac:dyDescent="0.25">
      <c r="A331" s="73" t="s">
        <v>23</v>
      </c>
      <c r="B331" s="83">
        <v>901839812</v>
      </c>
      <c r="C331" s="74" t="s">
        <v>461</v>
      </c>
      <c r="D331" s="83" t="s">
        <v>460</v>
      </c>
      <c r="E331" s="75" t="s">
        <v>394</v>
      </c>
      <c r="F331" s="76" t="s">
        <v>852</v>
      </c>
      <c r="G331" s="83">
        <v>278731</v>
      </c>
      <c r="H331" s="72">
        <v>45644</v>
      </c>
      <c r="I331" s="166">
        <v>39144415.810000002</v>
      </c>
      <c r="J331" s="166">
        <v>3914441.58</v>
      </c>
      <c r="K331" s="166">
        <v>2352645.1799999997</v>
      </c>
      <c r="L331" s="166">
        <v>0</v>
      </c>
      <c r="M331" s="166">
        <v>0</v>
      </c>
      <c r="N331" s="166">
        <f>+I331-J331-K331-L331-M331</f>
        <v>32877329.050000004</v>
      </c>
      <c r="O331" s="36"/>
      <c r="P331" s="36"/>
    </row>
    <row r="332" spans="1:16" ht="135" x14ac:dyDescent="0.25">
      <c r="A332" s="73" t="s">
        <v>23</v>
      </c>
      <c r="B332" s="83">
        <v>813006542</v>
      </c>
      <c r="C332" s="74" t="s">
        <v>489</v>
      </c>
      <c r="D332" s="83" t="s">
        <v>488</v>
      </c>
      <c r="E332" s="75" t="s">
        <v>394</v>
      </c>
      <c r="F332" s="76" t="s">
        <v>853</v>
      </c>
      <c r="G332" s="83">
        <v>278734</v>
      </c>
      <c r="H332" s="72">
        <v>45645</v>
      </c>
      <c r="I332" s="166">
        <v>297114293.31</v>
      </c>
      <c r="J332" s="166">
        <v>29711429.329999998</v>
      </c>
      <c r="K332" s="166">
        <v>25144288.52</v>
      </c>
      <c r="L332" s="166">
        <v>0</v>
      </c>
      <c r="M332" s="185">
        <v>0</v>
      </c>
      <c r="N332" s="166">
        <f t="shared" ref="N332:N353" si="25">+I332-J332-K332-L332-M332</f>
        <v>242258575.46000001</v>
      </c>
      <c r="O332" s="36"/>
      <c r="P332" s="36"/>
    </row>
    <row r="333" spans="1:16" ht="90" x14ac:dyDescent="0.25">
      <c r="A333" s="73" t="s">
        <v>23</v>
      </c>
      <c r="B333" s="83">
        <v>901811721</v>
      </c>
      <c r="C333" s="74" t="s">
        <v>137</v>
      </c>
      <c r="D333" s="83" t="s">
        <v>136</v>
      </c>
      <c r="E333" s="75" t="s">
        <v>394</v>
      </c>
      <c r="F333" s="76" t="s">
        <v>854</v>
      </c>
      <c r="G333" s="83">
        <v>281470</v>
      </c>
      <c r="H333" s="72">
        <v>45645</v>
      </c>
      <c r="I333" s="166">
        <v>840980412</v>
      </c>
      <c r="J333" s="166">
        <v>84098041</v>
      </c>
      <c r="K333" s="166">
        <v>81566190.590000004</v>
      </c>
      <c r="L333" s="166"/>
      <c r="M333" s="185">
        <v>0</v>
      </c>
      <c r="N333" s="166">
        <f t="shared" si="25"/>
        <v>675316180.40999997</v>
      </c>
      <c r="O333" s="36"/>
      <c r="P333" s="36"/>
    </row>
    <row r="334" spans="1:16" ht="105" x14ac:dyDescent="0.25">
      <c r="A334" s="73" t="s">
        <v>23</v>
      </c>
      <c r="B334" s="83">
        <v>901808808</v>
      </c>
      <c r="C334" s="74" t="s">
        <v>140</v>
      </c>
      <c r="D334" s="83" t="s">
        <v>139</v>
      </c>
      <c r="E334" s="75" t="s">
        <v>394</v>
      </c>
      <c r="F334" s="76" t="s">
        <v>855</v>
      </c>
      <c r="G334" s="83">
        <v>281476</v>
      </c>
      <c r="H334" s="72">
        <v>45645</v>
      </c>
      <c r="I334" s="166">
        <v>59683685</v>
      </c>
      <c r="J334" s="166">
        <v>5968369</v>
      </c>
      <c r="K334" s="166">
        <v>3499269.5100000002</v>
      </c>
      <c r="L334" s="166"/>
      <c r="M334" s="185">
        <v>0</v>
      </c>
      <c r="N334" s="166">
        <f t="shared" si="25"/>
        <v>50216046.490000002</v>
      </c>
      <c r="O334" s="36"/>
      <c r="P334" s="36"/>
    </row>
    <row r="335" spans="1:16" ht="90" x14ac:dyDescent="0.25">
      <c r="A335" s="73" t="s">
        <v>23</v>
      </c>
      <c r="B335" s="83">
        <v>901811721</v>
      </c>
      <c r="C335" s="74" t="s">
        <v>137</v>
      </c>
      <c r="D335" s="83" t="s">
        <v>136</v>
      </c>
      <c r="E335" s="75" t="s">
        <v>394</v>
      </c>
      <c r="F335" s="76" t="s">
        <v>856</v>
      </c>
      <c r="G335" s="83">
        <v>281478</v>
      </c>
      <c r="H335" s="72">
        <v>45645</v>
      </c>
      <c r="I335" s="166">
        <v>362357866</v>
      </c>
      <c r="J335" s="166">
        <v>36235787</v>
      </c>
      <c r="K335" s="166">
        <v>41844720.909999996</v>
      </c>
      <c r="L335" s="166"/>
      <c r="M335" s="185">
        <v>0</v>
      </c>
      <c r="N335" s="166">
        <f t="shared" si="25"/>
        <v>284277358.09000003</v>
      </c>
      <c r="O335" s="36"/>
      <c r="P335" s="36"/>
    </row>
    <row r="336" spans="1:16" ht="90" x14ac:dyDescent="0.25">
      <c r="A336" s="73" t="s">
        <v>23</v>
      </c>
      <c r="B336" s="83">
        <v>901808808</v>
      </c>
      <c r="C336" s="74" t="s">
        <v>140</v>
      </c>
      <c r="D336" s="83" t="s">
        <v>139</v>
      </c>
      <c r="E336" s="75" t="s">
        <v>394</v>
      </c>
      <c r="F336" s="76" t="s">
        <v>857</v>
      </c>
      <c r="G336" s="83">
        <v>281482</v>
      </c>
      <c r="H336" s="72">
        <v>45645</v>
      </c>
      <c r="I336" s="166">
        <v>292722427</v>
      </c>
      <c r="J336" s="166">
        <v>29272243</v>
      </c>
      <c r="K336" s="166">
        <v>17162389.690000001</v>
      </c>
      <c r="L336" s="166"/>
      <c r="M336" s="185">
        <v>0</v>
      </c>
      <c r="N336" s="166">
        <f t="shared" si="25"/>
        <v>246287794.31</v>
      </c>
      <c r="O336" s="36"/>
      <c r="P336" s="36"/>
    </row>
    <row r="337" spans="1:16" ht="120" x14ac:dyDescent="0.25">
      <c r="A337" s="73" t="s">
        <v>23</v>
      </c>
      <c r="B337" s="83">
        <v>901829333</v>
      </c>
      <c r="C337" s="74" t="s">
        <v>435</v>
      </c>
      <c r="D337" s="83" t="s">
        <v>434</v>
      </c>
      <c r="E337" s="75" t="s">
        <v>394</v>
      </c>
      <c r="F337" s="76" t="s">
        <v>858</v>
      </c>
      <c r="G337" s="83">
        <v>280041</v>
      </c>
      <c r="H337" s="72">
        <v>45642</v>
      </c>
      <c r="I337" s="166">
        <v>807511483.80000007</v>
      </c>
      <c r="J337" s="166">
        <v>80751148.379999995</v>
      </c>
      <c r="K337" s="166">
        <v>73746442.680000007</v>
      </c>
      <c r="L337" s="166">
        <v>28800348.18</v>
      </c>
      <c r="M337" s="185">
        <v>0</v>
      </c>
      <c r="N337" s="166">
        <f t="shared" si="25"/>
        <v>624213544.56000006</v>
      </c>
      <c r="O337" s="36"/>
      <c r="P337" s="36"/>
    </row>
    <row r="338" spans="1:16" ht="75" x14ac:dyDescent="0.25">
      <c r="A338" s="73" t="s">
        <v>23</v>
      </c>
      <c r="B338" s="83">
        <v>901794652</v>
      </c>
      <c r="C338" s="74" t="s">
        <v>191</v>
      </c>
      <c r="D338" s="83" t="s">
        <v>190</v>
      </c>
      <c r="E338" s="75" t="s">
        <v>394</v>
      </c>
      <c r="F338" s="76" t="s">
        <v>859</v>
      </c>
      <c r="G338" s="83">
        <v>280045</v>
      </c>
      <c r="H338" s="72">
        <v>45642</v>
      </c>
      <c r="I338" s="166">
        <v>769720131.92999995</v>
      </c>
      <c r="J338" s="166">
        <v>76972013.189999998</v>
      </c>
      <c r="K338" s="166">
        <v>68495492.629999995</v>
      </c>
      <c r="L338" s="166"/>
      <c r="M338" s="185">
        <v>0</v>
      </c>
      <c r="N338" s="166">
        <f t="shared" si="25"/>
        <v>624252626.11000001</v>
      </c>
      <c r="O338" s="36"/>
      <c r="P338" s="36"/>
    </row>
    <row r="339" spans="1:16" ht="90" x14ac:dyDescent="0.25">
      <c r="A339" s="73" t="s">
        <v>23</v>
      </c>
      <c r="B339" s="83">
        <v>901785680</v>
      </c>
      <c r="C339" s="74" t="s">
        <v>505</v>
      </c>
      <c r="D339" s="83" t="s">
        <v>155</v>
      </c>
      <c r="E339" s="75" t="s">
        <v>394</v>
      </c>
      <c r="F339" s="76" t="s">
        <v>860</v>
      </c>
      <c r="G339" s="83">
        <v>279356</v>
      </c>
      <c r="H339" s="72">
        <v>45644</v>
      </c>
      <c r="I339" s="166">
        <v>28303074.289999999</v>
      </c>
      <c r="J339" s="166">
        <v>2830307.43</v>
      </c>
      <c r="K339" s="166">
        <v>1783807.2</v>
      </c>
      <c r="L339" s="166"/>
      <c r="M339" s="185">
        <v>0</v>
      </c>
      <c r="N339" s="166">
        <f t="shared" si="25"/>
        <v>23688959.66</v>
      </c>
      <c r="O339" s="36"/>
      <c r="P339" s="36"/>
    </row>
    <row r="340" spans="1:16" ht="75" x14ac:dyDescent="0.25">
      <c r="A340" s="73" t="s">
        <v>23</v>
      </c>
      <c r="B340" s="83">
        <v>901787725</v>
      </c>
      <c r="C340" s="74" t="s">
        <v>153</v>
      </c>
      <c r="D340" s="83" t="s">
        <v>152</v>
      </c>
      <c r="E340" s="75" t="s">
        <v>394</v>
      </c>
      <c r="F340" s="76" t="s">
        <v>861</v>
      </c>
      <c r="G340" s="83">
        <v>280049</v>
      </c>
      <c r="H340" s="72">
        <v>45643</v>
      </c>
      <c r="I340" s="166">
        <v>222560813.38000003</v>
      </c>
      <c r="J340" s="166">
        <v>22256081.34</v>
      </c>
      <c r="K340" s="166">
        <v>19881027.280000001</v>
      </c>
      <c r="L340" s="166">
        <v>7072859.5</v>
      </c>
      <c r="M340" s="185">
        <v>0</v>
      </c>
      <c r="N340" s="166">
        <f t="shared" si="25"/>
        <v>173350845.26000002</v>
      </c>
      <c r="O340" s="36"/>
      <c r="P340" s="36"/>
    </row>
    <row r="341" spans="1:16" ht="105" x14ac:dyDescent="0.25">
      <c r="A341" s="73" t="s">
        <v>23</v>
      </c>
      <c r="B341" s="83">
        <v>901830037</v>
      </c>
      <c r="C341" s="74" t="s">
        <v>437</v>
      </c>
      <c r="D341" s="83" t="s">
        <v>436</v>
      </c>
      <c r="E341" s="75" t="s">
        <v>394</v>
      </c>
      <c r="F341" s="76" t="s">
        <v>862</v>
      </c>
      <c r="G341" s="83">
        <v>281574</v>
      </c>
      <c r="H341" s="72">
        <v>45645</v>
      </c>
      <c r="I341" s="166">
        <v>33702158.240000002</v>
      </c>
      <c r="J341" s="166">
        <v>3370215.82</v>
      </c>
      <c r="K341" s="166">
        <v>2180727.89</v>
      </c>
      <c r="L341" s="166">
        <v>0</v>
      </c>
      <c r="M341" s="185">
        <v>0</v>
      </c>
      <c r="N341" s="166">
        <f t="shared" si="25"/>
        <v>28151214.530000001</v>
      </c>
      <c r="O341" s="36"/>
      <c r="P341" s="36"/>
    </row>
    <row r="342" spans="1:16" ht="120" x14ac:dyDescent="0.25">
      <c r="A342" s="73" t="s">
        <v>23</v>
      </c>
      <c r="B342" s="83">
        <v>901835722</v>
      </c>
      <c r="C342" s="74" t="s">
        <v>459</v>
      </c>
      <c r="D342" s="83" t="s">
        <v>458</v>
      </c>
      <c r="E342" s="75" t="s">
        <v>394</v>
      </c>
      <c r="F342" s="76" t="s">
        <v>863</v>
      </c>
      <c r="G342" s="83">
        <v>280053</v>
      </c>
      <c r="H342" s="72">
        <v>45643</v>
      </c>
      <c r="I342" s="166">
        <v>62511138.600000001</v>
      </c>
      <c r="J342" s="166">
        <v>6251113.8600000003</v>
      </c>
      <c r="K342" s="166">
        <v>5046601.59</v>
      </c>
      <c r="L342" s="166"/>
      <c r="M342" s="185">
        <v>0</v>
      </c>
      <c r="N342" s="166">
        <f t="shared" si="25"/>
        <v>51213423.150000006</v>
      </c>
      <c r="O342" s="36"/>
      <c r="P342" s="36"/>
    </row>
    <row r="343" spans="1:16" ht="75" x14ac:dyDescent="0.25">
      <c r="A343" s="73" t="s">
        <v>381</v>
      </c>
      <c r="B343" s="83">
        <v>85476995</v>
      </c>
      <c r="C343" s="74" t="s">
        <v>408</v>
      </c>
      <c r="D343" s="83" t="s">
        <v>407</v>
      </c>
      <c r="E343" s="75" t="s">
        <v>394</v>
      </c>
      <c r="F343" s="76" t="s">
        <v>864</v>
      </c>
      <c r="G343" s="83">
        <v>280512</v>
      </c>
      <c r="H343" s="72">
        <v>45645</v>
      </c>
      <c r="I343" s="166">
        <v>79484456.939999998</v>
      </c>
      <c r="J343" s="166">
        <v>7948445.6900000004</v>
      </c>
      <c r="K343" s="166">
        <v>4541968.97</v>
      </c>
      <c r="L343" s="166"/>
      <c r="M343" s="185">
        <v>0</v>
      </c>
      <c r="N343" s="166">
        <f t="shared" si="25"/>
        <v>66994042.280000001</v>
      </c>
      <c r="O343" s="36"/>
      <c r="P343" s="36"/>
    </row>
    <row r="344" spans="1:16" ht="90" x14ac:dyDescent="0.25">
      <c r="A344" s="73" t="s">
        <v>381</v>
      </c>
      <c r="B344" s="83">
        <v>85476995</v>
      </c>
      <c r="C344" s="74" t="s">
        <v>408</v>
      </c>
      <c r="D344" s="83" t="s">
        <v>407</v>
      </c>
      <c r="E344" s="75" t="s">
        <v>394</v>
      </c>
      <c r="F344" s="76" t="s">
        <v>865</v>
      </c>
      <c r="G344" s="83">
        <v>280520</v>
      </c>
      <c r="H344" s="72">
        <v>45645</v>
      </c>
      <c r="I344" s="166">
        <v>18769418.919999998</v>
      </c>
      <c r="J344" s="166">
        <v>1876941.89</v>
      </c>
      <c r="K344" s="166">
        <v>1072538.22</v>
      </c>
      <c r="L344" s="166"/>
      <c r="M344" s="185">
        <v>0</v>
      </c>
      <c r="N344" s="166">
        <f t="shared" si="25"/>
        <v>15819938.809999997</v>
      </c>
      <c r="O344" s="36"/>
      <c r="P344" s="36"/>
    </row>
    <row r="345" spans="1:16" ht="75" x14ac:dyDescent="0.25">
      <c r="A345" s="73" t="s">
        <v>23</v>
      </c>
      <c r="B345" s="83">
        <v>901831256</v>
      </c>
      <c r="C345" s="74" t="s">
        <v>485</v>
      </c>
      <c r="D345" s="83" t="s">
        <v>484</v>
      </c>
      <c r="E345" s="75" t="s">
        <v>394</v>
      </c>
      <c r="F345" s="76" t="s">
        <v>866</v>
      </c>
      <c r="G345" s="83">
        <v>280059</v>
      </c>
      <c r="H345" s="72">
        <v>45645</v>
      </c>
      <c r="I345" s="166">
        <v>77712453</v>
      </c>
      <c r="J345" s="166">
        <v>7771245.299999997</v>
      </c>
      <c r="K345" s="166">
        <v>4897843.67</v>
      </c>
      <c r="L345" s="166"/>
      <c r="M345" s="185">
        <v>0</v>
      </c>
      <c r="N345" s="166">
        <f t="shared" si="25"/>
        <v>65043364.030000001</v>
      </c>
      <c r="O345" s="36"/>
      <c r="P345" s="36"/>
    </row>
    <row r="346" spans="1:16" ht="120" x14ac:dyDescent="0.25">
      <c r="A346" s="73" t="s">
        <v>23</v>
      </c>
      <c r="B346" s="83">
        <v>901830109</v>
      </c>
      <c r="C346" s="74" t="s">
        <v>849</v>
      </c>
      <c r="D346" s="83" t="s">
        <v>432</v>
      </c>
      <c r="E346" s="75" t="s">
        <v>394</v>
      </c>
      <c r="F346" s="76" t="s">
        <v>867</v>
      </c>
      <c r="G346" s="83">
        <v>280627</v>
      </c>
      <c r="H346" s="72">
        <v>45645</v>
      </c>
      <c r="I346" s="166">
        <v>117697056.39999999</v>
      </c>
      <c r="J346" s="166">
        <v>11769705.639999997</v>
      </c>
      <c r="K346" s="166">
        <v>12363136.18</v>
      </c>
      <c r="L346" s="166">
        <v>0</v>
      </c>
      <c r="M346" s="185">
        <v>0</v>
      </c>
      <c r="N346" s="166">
        <f t="shared" si="25"/>
        <v>93564214.579999983</v>
      </c>
      <c r="O346" s="36"/>
      <c r="P346" s="36"/>
    </row>
    <row r="347" spans="1:16" ht="120" x14ac:dyDescent="0.25">
      <c r="A347" s="73" t="s">
        <v>23</v>
      </c>
      <c r="B347" s="83">
        <v>901830109</v>
      </c>
      <c r="C347" s="74" t="s">
        <v>849</v>
      </c>
      <c r="D347" s="83" t="s">
        <v>432</v>
      </c>
      <c r="E347" s="75" t="s">
        <v>394</v>
      </c>
      <c r="F347" s="76" t="s">
        <v>868</v>
      </c>
      <c r="G347" s="83">
        <v>280636</v>
      </c>
      <c r="H347" s="72">
        <v>45645</v>
      </c>
      <c r="I347" s="166">
        <v>1360152965</v>
      </c>
      <c r="J347" s="166">
        <v>136015296.5</v>
      </c>
      <c r="K347" s="166">
        <v>114915653.77000001</v>
      </c>
      <c r="L347" s="166">
        <v>0</v>
      </c>
      <c r="M347" s="185">
        <v>0</v>
      </c>
      <c r="N347" s="166">
        <f t="shared" si="25"/>
        <v>1109222014.73</v>
      </c>
      <c r="O347" s="36"/>
      <c r="P347" s="36"/>
    </row>
    <row r="348" spans="1:16" ht="105" x14ac:dyDescent="0.25">
      <c r="A348" s="73" t="s">
        <v>23</v>
      </c>
      <c r="B348" s="83">
        <v>901842060</v>
      </c>
      <c r="C348" s="74" t="s">
        <v>493</v>
      </c>
      <c r="D348" s="83" t="s">
        <v>492</v>
      </c>
      <c r="E348" s="75" t="s">
        <v>394</v>
      </c>
      <c r="F348" s="76" t="s">
        <v>869</v>
      </c>
      <c r="G348" s="83">
        <v>280063</v>
      </c>
      <c r="H348" s="72">
        <v>45642</v>
      </c>
      <c r="I348" s="166">
        <v>414054592.05000001</v>
      </c>
      <c r="J348" s="166">
        <v>41405459.210000001</v>
      </c>
      <c r="K348" s="166">
        <v>36445841.82</v>
      </c>
      <c r="L348" s="166"/>
      <c r="M348" s="185">
        <v>0</v>
      </c>
      <c r="N348" s="166">
        <f t="shared" si="25"/>
        <v>336203291.02000004</v>
      </c>
      <c r="O348" s="36"/>
      <c r="P348" s="36"/>
    </row>
    <row r="349" spans="1:16" ht="105" x14ac:dyDescent="0.25">
      <c r="A349" s="73" t="s">
        <v>23</v>
      </c>
      <c r="B349" s="83">
        <v>901841741</v>
      </c>
      <c r="C349" s="74" t="s">
        <v>495</v>
      </c>
      <c r="D349" s="83" t="s">
        <v>494</v>
      </c>
      <c r="E349" s="75" t="s">
        <v>394</v>
      </c>
      <c r="F349" s="76" t="s">
        <v>870</v>
      </c>
      <c r="G349" s="83">
        <v>280188</v>
      </c>
      <c r="H349" s="72">
        <v>45643</v>
      </c>
      <c r="I349" s="166">
        <v>30912150.140000001</v>
      </c>
      <c r="J349" s="166">
        <v>3091215.01</v>
      </c>
      <c r="K349" s="166">
        <v>1868788.55</v>
      </c>
      <c r="L349" s="166"/>
      <c r="M349" s="185">
        <v>0</v>
      </c>
      <c r="N349" s="166">
        <f t="shared" si="25"/>
        <v>25952146.580000002</v>
      </c>
      <c r="O349" s="36"/>
      <c r="P349" s="36"/>
    </row>
    <row r="350" spans="1:16" ht="90" x14ac:dyDescent="0.25">
      <c r="A350" s="73" t="s">
        <v>23</v>
      </c>
      <c r="B350" s="83">
        <v>900503646</v>
      </c>
      <c r="C350" s="74" t="s">
        <v>194</v>
      </c>
      <c r="D350" s="83" t="s">
        <v>193</v>
      </c>
      <c r="E350" s="75" t="s">
        <v>394</v>
      </c>
      <c r="F350" s="76" t="s">
        <v>871</v>
      </c>
      <c r="G350" s="83">
        <v>280151</v>
      </c>
      <c r="H350" s="72">
        <v>45642</v>
      </c>
      <c r="I350" s="166">
        <v>46264128.869999997</v>
      </c>
      <c r="J350" s="166">
        <v>4626412.8899999997</v>
      </c>
      <c r="K350" s="166">
        <v>2832942.59</v>
      </c>
      <c r="L350" s="166"/>
      <c r="M350" s="185">
        <v>0</v>
      </c>
      <c r="N350" s="166">
        <f t="shared" si="25"/>
        <v>38804773.390000001</v>
      </c>
      <c r="O350" s="36"/>
      <c r="P350" s="36"/>
    </row>
    <row r="351" spans="1:16" ht="75" x14ac:dyDescent="0.25">
      <c r="A351" s="73" t="s">
        <v>23</v>
      </c>
      <c r="B351" s="83">
        <v>901831256</v>
      </c>
      <c r="C351" s="74" t="s">
        <v>485</v>
      </c>
      <c r="D351" s="83" t="s">
        <v>484</v>
      </c>
      <c r="E351" s="75" t="s">
        <v>394</v>
      </c>
      <c r="F351" s="76" t="s">
        <v>872</v>
      </c>
      <c r="G351" s="83">
        <v>280800</v>
      </c>
      <c r="H351" s="72">
        <v>45645</v>
      </c>
      <c r="I351" s="166">
        <v>15331788.42</v>
      </c>
      <c r="J351" s="166">
        <v>1533178.84</v>
      </c>
      <c r="K351" s="166">
        <v>966289.19</v>
      </c>
      <c r="L351" s="166"/>
      <c r="M351" s="185">
        <v>0</v>
      </c>
      <c r="N351" s="166">
        <f t="shared" si="25"/>
        <v>12832320.390000001</v>
      </c>
      <c r="O351" s="36"/>
      <c r="P351" s="36"/>
    </row>
    <row r="352" spans="1:16" ht="75" x14ac:dyDescent="0.25">
      <c r="A352" s="73" t="s">
        <v>23</v>
      </c>
      <c r="B352" s="83">
        <v>901792473</v>
      </c>
      <c r="C352" s="74" t="s">
        <v>254</v>
      </c>
      <c r="D352" s="83" t="s">
        <v>253</v>
      </c>
      <c r="E352" s="75" t="s">
        <v>394</v>
      </c>
      <c r="F352" s="76" t="s">
        <v>873</v>
      </c>
      <c r="G352" s="83">
        <v>279360</v>
      </c>
      <c r="H352" s="72">
        <v>45645</v>
      </c>
      <c r="I352" s="166">
        <v>402249937.78999996</v>
      </c>
      <c r="J352" s="166">
        <v>40224993.780000001</v>
      </c>
      <c r="K352" s="166">
        <v>35140261.759999998</v>
      </c>
      <c r="L352" s="166"/>
      <c r="M352" s="185">
        <v>0</v>
      </c>
      <c r="N352" s="166">
        <f t="shared" si="25"/>
        <v>326884682.25</v>
      </c>
      <c r="O352" s="36"/>
      <c r="P352" s="36"/>
    </row>
    <row r="353" spans="1:16" ht="75" x14ac:dyDescent="0.25">
      <c r="A353" s="73" t="s">
        <v>381</v>
      </c>
      <c r="B353" s="83">
        <v>59312287</v>
      </c>
      <c r="C353" s="74" t="s">
        <v>172</v>
      </c>
      <c r="D353" s="83" t="s">
        <v>171</v>
      </c>
      <c r="E353" s="75" t="s">
        <v>394</v>
      </c>
      <c r="F353" s="76" t="s">
        <v>874</v>
      </c>
      <c r="G353" s="83">
        <v>280152</v>
      </c>
      <c r="H353" s="72">
        <v>45642</v>
      </c>
      <c r="I353" s="166">
        <v>224406946.12</v>
      </c>
      <c r="J353" s="166">
        <v>22440694.609999999</v>
      </c>
      <c r="K353" s="166">
        <v>19662684.939999998</v>
      </c>
      <c r="L353" s="166"/>
      <c r="M353" s="185">
        <v>0</v>
      </c>
      <c r="N353" s="166">
        <f t="shared" si="25"/>
        <v>182303566.56999999</v>
      </c>
      <c r="O353" s="36"/>
      <c r="P353" s="36"/>
    </row>
    <row r="354" spans="1:16" ht="75" x14ac:dyDescent="0.25">
      <c r="A354" s="73" t="s">
        <v>23</v>
      </c>
      <c r="B354" s="83">
        <v>901785672</v>
      </c>
      <c r="C354" s="74" t="s">
        <v>175</v>
      </c>
      <c r="D354" s="83" t="s">
        <v>174</v>
      </c>
      <c r="E354" s="75" t="s">
        <v>394</v>
      </c>
      <c r="F354" s="76" t="s">
        <v>875</v>
      </c>
      <c r="G354" s="83">
        <v>279491</v>
      </c>
      <c r="H354" s="72">
        <v>45644</v>
      </c>
      <c r="I354" s="166">
        <v>17405774.75</v>
      </c>
      <c r="J354" s="166">
        <v>1740577.48</v>
      </c>
      <c r="K354" s="166">
        <v>1067749.21</v>
      </c>
      <c r="L354" s="166"/>
      <c r="M354" s="185">
        <v>0</v>
      </c>
      <c r="N354" s="166">
        <f t="shared" ref="N354:N366" si="26">+I354-J354-K354-L354+M354</f>
        <v>14597448.059999999</v>
      </c>
      <c r="O354" s="36"/>
      <c r="P354" s="36"/>
    </row>
    <row r="355" spans="1:16" ht="135" x14ac:dyDescent="0.25">
      <c r="A355" s="73" t="s">
        <v>23</v>
      </c>
      <c r="B355" s="83">
        <v>900749719</v>
      </c>
      <c r="C355" s="74" t="s">
        <v>463</v>
      </c>
      <c r="D355" s="83" t="s">
        <v>462</v>
      </c>
      <c r="E355" s="75" t="s">
        <v>394</v>
      </c>
      <c r="F355" s="76" t="s">
        <v>876</v>
      </c>
      <c r="G355" s="83">
        <v>280154</v>
      </c>
      <c r="H355" s="72">
        <v>45643</v>
      </c>
      <c r="I355" s="166">
        <v>196210597.61000001</v>
      </c>
      <c r="J355" s="166">
        <v>19621059.760000002</v>
      </c>
      <c r="K355" s="166">
        <v>16947336.969999999</v>
      </c>
      <c r="L355" s="166"/>
      <c r="M355" s="185">
        <v>0</v>
      </c>
      <c r="N355" s="166">
        <f t="shared" si="26"/>
        <v>159642200.88000003</v>
      </c>
      <c r="O355" s="36"/>
      <c r="P355" s="36"/>
    </row>
    <row r="356" spans="1:16" ht="120" x14ac:dyDescent="0.25">
      <c r="A356" s="73" t="s">
        <v>23</v>
      </c>
      <c r="B356" s="83">
        <v>901841724</v>
      </c>
      <c r="C356" s="74" t="s">
        <v>497</v>
      </c>
      <c r="D356" s="83" t="s">
        <v>496</v>
      </c>
      <c r="E356" s="75" t="s">
        <v>394</v>
      </c>
      <c r="F356" s="76" t="s">
        <v>877</v>
      </c>
      <c r="G356" s="83">
        <v>280805</v>
      </c>
      <c r="H356" s="72">
        <v>45645</v>
      </c>
      <c r="I356" s="166">
        <v>39853173.57</v>
      </c>
      <c r="J356" s="166">
        <v>3985317.36</v>
      </c>
      <c r="K356" s="166">
        <v>2470679.19</v>
      </c>
      <c r="L356" s="166"/>
      <c r="M356" s="185">
        <v>0</v>
      </c>
      <c r="N356" s="166">
        <f t="shared" si="26"/>
        <v>33397177.02</v>
      </c>
      <c r="O356" s="36"/>
      <c r="P356" s="36"/>
    </row>
    <row r="357" spans="1:16" ht="90" x14ac:dyDescent="0.25">
      <c r="A357" s="73" t="s">
        <v>381</v>
      </c>
      <c r="B357" s="83">
        <v>74184643</v>
      </c>
      <c r="C357" s="74" t="s">
        <v>257</v>
      </c>
      <c r="D357" s="83" t="s">
        <v>256</v>
      </c>
      <c r="E357" s="75" t="s">
        <v>394</v>
      </c>
      <c r="F357" s="76" t="s">
        <v>878</v>
      </c>
      <c r="G357" s="83">
        <v>280155</v>
      </c>
      <c r="H357" s="72">
        <v>45642</v>
      </c>
      <c r="I357" s="166">
        <v>43382954.519999996</v>
      </c>
      <c r="J357" s="166">
        <v>4338295.45</v>
      </c>
      <c r="K357" s="166">
        <v>2661307.2899999996</v>
      </c>
      <c r="L357" s="166"/>
      <c r="M357" s="185">
        <v>0</v>
      </c>
      <c r="N357" s="166">
        <f t="shared" si="26"/>
        <v>36383351.779999994</v>
      </c>
      <c r="O357" s="36"/>
      <c r="P357" s="36"/>
    </row>
    <row r="358" spans="1:16" ht="105" x14ac:dyDescent="0.25">
      <c r="A358" s="73" t="s">
        <v>23</v>
      </c>
      <c r="B358" s="83">
        <v>901803620</v>
      </c>
      <c r="C358" s="74" t="s">
        <v>285</v>
      </c>
      <c r="D358" s="83" t="s">
        <v>284</v>
      </c>
      <c r="E358" s="75" t="s">
        <v>394</v>
      </c>
      <c r="F358" s="76" t="s">
        <v>879</v>
      </c>
      <c r="G358" s="83">
        <v>280160</v>
      </c>
      <c r="H358" s="72">
        <v>45643</v>
      </c>
      <c r="I358" s="166">
        <v>267267700.94</v>
      </c>
      <c r="J358" s="166">
        <v>26726770.09</v>
      </c>
      <c r="K358" s="166">
        <v>22227161.539999999</v>
      </c>
      <c r="L358" s="166"/>
      <c r="M358" s="185">
        <v>0</v>
      </c>
      <c r="N358" s="166">
        <f t="shared" si="26"/>
        <v>218313769.31</v>
      </c>
      <c r="O358" s="36"/>
      <c r="P358" s="36"/>
    </row>
    <row r="359" spans="1:16" ht="135" x14ac:dyDescent="0.25">
      <c r="A359" s="73" t="s">
        <v>23</v>
      </c>
      <c r="B359" s="83">
        <v>901808735</v>
      </c>
      <c r="C359" s="74" t="s">
        <v>272</v>
      </c>
      <c r="D359" s="83" t="s">
        <v>271</v>
      </c>
      <c r="E359" s="75" t="s">
        <v>394</v>
      </c>
      <c r="F359" s="76" t="s">
        <v>880</v>
      </c>
      <c r="G359" s="83">
        <v>280524</v>
      </c>
      <c r="H359" s="72">
        <v>45645</v>
      </c>
      <c r="I359" s="166">
        <v>58805288.810000002</v>
      </c>
      <c r="J359" s="166">
        <v>5880528.8799999999</v>
      </c>
      <c r="K359" s="166">
        <v>3639205.9899999998</v>
      </c>
      <c r="L359" s="166"/>
      <c r="M359" s="185">
        <v>0</v>
      </c>
      <c r="N359" s="166">
        <f t="shared" si="26"/>
        <v>49285553.939999998</v>
      </c>
      <c r="O359" s="36"/>
      <c r="P359" s="36"/>
    </row>
    <row r="360" spans="1:16" ht="135" x14ac:dyDescent="0.25">
      <c r="A360" s="73" t="s">
        <v>381</v>
      </c>
      <c r="B360" s="83">
        <v>12754374</v>
      </c>
      <c r="C360" s="74" t="s">
        <v>269</v>
      </c>
      <c r="D360" s="83" t="s">
        <v>268</v>
      </c>
      <c r="E360" s="75" t="s">
        <v>394</v>
      </c>
      <c r="F360" s="76" t="s">
        <v>881</v>
      </c>
      <c r="G360" s="83">
        <v>280165</v>
      </c>
      <c r="H360" s="72">
        <v>45642</v>
      </c>
      <c r="I360" s="166">
        <v>459010189.26999998</v>
      </c>
      <c r="J360" s="166">
        <v>45901018.93</v>
      </c>
      <c r="K360" s="166">
        <v>37985795.850000001</v>
      </c>
      <c r="L360" s="166"/>
      <c r="M360" s="185">
        <v>0</v>
      </c>
      <c r="N360" s="166">
        <f t="shared" si="26"/>
        <v>375123374.48999995</v>
      </c>
      <c r="O360" s="36"/>
      <c r="P360" s="36"/>
    </row>
    <row r="361" spans="1:16" ht="120" x14ac:dyDescent="0.25">
      <c r="A361" s="73" t="s">
        <v>381</v>
      </c>
      <c r="B361" s="83">
        <v>9050725</v>
      </c>
      <c r="C361" s="74" t="s">
        <v>288</v>
      </c>
      <c r="D361" s="83" t="s">
        <v>287</v>
      </c>
      <c r="E361" s="75" t="s">
        <v>394</v>
      </c>
      <c r="F361" s="76" t="s">
        <v>882</v>
      </c>
      <c r="G361" s="83">
        <v>280166</v>
      </c>
      <c r="H361" s="72">
        <v>45642</v>
      </c>
      <c r="I361" s="166">
        <v>29680379.759999998</v>
      </c>
      <c r="J361" s="166">
        <v>2968037.98</v>
      </c>
      <c r="K361" s="166">
        <v>1785796.62</v>
      </c>
      <c r="L361" s="166"/>
      <c r="M361" s="185">
        <v>0</v>
      </c>
      <c r="N361" s="166">
        <f t="shared" si="26"/>
        <v>24926545.159999996</v>
      </c>
      <c r="O361" s="36"/>
      <c r="P361" s="36"/>
    </row>
    <row r="362" spans="1:16" ht="135" x14ac:dyDescent="0.25">
      <c r="A362" s="73" t="s">
        <v>23</v>
      </c>
      <c r="B362" s="83">
        <v>900185357</v>
      </c>
      <c r="C362" s="74" t="s">
        <v>305</v>
      </c>
      <c r="D362" s="83" t="s">
        <v>304</v>
      </c>
      <c r="E362" s="75" t="s">
        <v>394</v>
      </c>
      <c r="F362" s="76" t="s">
        <v>883</v>
      </c>
      <c r="G362" s="83">
        <v>281310</v>
      </c>
      <c r="H362" s="72">
        <v>45645</v>
      </c>
      <c r="I362" s="166">
        <v>859351172.62</v>
      </c>
      <c r="J362" s="166">
        <v>85935117.260000005</v>
      </c>
      <c r="K362" s="166">
        <v>70967198.519999996</v>
      </c>
      <c r="L362" s="166"/>
      <c r="M362" s="185">
        <v>0</v>
      </c>
      <c r="N362" s="166">
        <f t="shared" si="26"/>
        <v>702448856.84000003</v>
      </c>
      <c r="O362" s="36"/>
      <c r="P362" s="36"/>
    </row>
    <row r="363" spans="1:16" ht="150" x14ac:dyDescent="0.25">
      <c r="A363" s="73" t="s">
        <v>381</v>
      </c>
      <c r="B363" s="83">
        <v>9050725</v>
      </c>
      <c r="C363" s="74" t="s">
        <v>288</v>
      </c>
      <c r="D363" s="83" t="s">
        <v>307</v>
      </c>
      <c r="E363" s="75" t="s">
        <v>394</v>
      </c>
      <c r="F363" s="76" t="s">
        <v>884</v>
      </c>
      <c r="G363" s="83">
        <v>281492</v>
      </c>
      <c r="H363" s="72">
        <v>45645</v>
      </c>
      <c r="I363" s="166">
        <v>128925144.43000001</v>
      </c>
      <c r="J363" s="166">
        <v>12892514.439999999</v>
      </c>
      <c r="K363" s="166">
        <v>8120440.5300000003</v>
      </c>
      <c r="L363" s="166"/>
      <c r="M363" s="185">
        <v>0</v>
      </c>
      <c r="N363" s="166">
        <f t="shared" si="26"/>
        <v>107912189.46000001</v>
      </c>
      <c r="O363" s="36"/>
      <c r="P363" s="36"/>
    </row>
    <row r="364" spans="1:16" ht="135" x14ac:dyDescent="0.25">
      <c r="A364" s="73" t="s">
        <v>23</v>
      </c>
      <c r="B364" s="83">
        <v>901820483</v>
      </c>
      <c r="C364" s="74" t="s">
        <v>406</v>
      </c>
      <c r="D364" s="83" t="s">
        <v>405</v>
      </c>
      <c r="E364" s="75" t="s">
        <v>394</v>
      </c>
      <c r="F364" s="76" t="s">
        <v>885</v>
      </c>
      <c r="G364" s="83">
        <v>280189</v>
      </c>
      <c r="H364" s="72">
        <v>45643</v>
      </c>
      <c r="I364" s="166">
        <v>49545964.009999998</v>
      </c>
      <c r="J364" s="166">
        <v>4954596.4000000004</v>
      </c>
      <c r="K364" s="166">
        <v>2941864.46</v>
      </c>
      <c r="L364" s="166"/>
      <c r="M364" s="185">
        <v>0</v>
      </c>
      <c r="N364" s="166">
        <f t="shared" si="26"/>
        <v>41649503.149999999</v>
      </c>
      <c r="O364" s="36"/>
      <c r="P364" s="36"/>
    </row>
    <row r="365" spans="1:16" ht="135" x14ac:dyDescent="0.25">
      <c r="A365" s="73" t="s">
        <v>23</v>
      </c>
      <c r="B365" s="83">
        <v>901819116</v>
      </c>
      <c r="C365" s="74" t="s">
        <v>431</v>
      </c>
      <c r="D365" s="83" t="s">
        <v>430</v>
      </c>
      <c r="E365" s="75" t="s">
        <v>394</v>
      </c>
      <c r="F365" s="76" t="s">
        <v>886</v>
      </c>
      <c r="G365" s="83">
        <v>280192</v>
      </c>
      <c r="H365" s="72">
        <v>45643</v>
      </c>
      <c r="I365" s="166">
        <v>23800000</v>
      </c>
      <c r="J365" s="166">
        <v>2380000</v>
      </c>
      <c r="K365" s="166">
        <v>2415000</v>
      </c>
      <c r="L365" s="166"/>
      <c r="M365" s="185">
        <v>0</v>
      </c>
      <c r="N365" s="166">
        <f t="shared" si="26"/>
        <v>19005000</v>
      </c>
      <c r="O365" s="36"/>
      <c r="P365" s="36"/>
    </row>
    <row r="366" spans="1:16" ht="135" x14ac:dyDescent="0.25">
      <c r="A366" s="73" t="s">
        <v>23</v>
      </c>
      <c r="B366" s="83">
        <v>901819116</v>
      </c>
      <c r="C366" s="74" t="s">
        <v>431</v>
      </c>
      <c r="D366" s="83" t="s">
        <v>430</v>
      </c>
      <c r="E366" s="75" t="s">
        <v>394</v>
      </c>
      <c r="F366" s="76" t="s">
        <v>887</v>
      </c>
      <c r="G366" s="83">
        <v>280197</v>
      </c>
      <c r="H366" s="72">
        <v>45645</v>
      </c>
      <c r="I366" s="166">
        <v>424765028.04999995</v>
      </c>
      <c r="J366" s="166">
        <v>42476502.799999997</v>
      </c>
      <c r="K366" s="166">
        <v>34647260.100000001</v>
      </c>
      <c r="L366" s="166"/>
      <c r="M366" s="185">
        <v>0</v>
      </c>
      <c r="N366" s="166">
        <f t="shared" si="26"/>
        <v>347641265.14999992</v>
      </c>
      <c r="O366" s="36"/>
      <c r="P366" s="36"/>
    </row>
    <row r="367" spans="1:16" ht="30" x14ac:dyDescent="0.25">
      <c r="A367" s="73" t="s">
        <v>23</v>
      </c>
      <c r="B367" s="83">
        <v>800096558</v>
      </c>
      <c r="C367" s="74" t="s">
        <v>701</v>
      </c>
      <c r="D367" s="83" t="s">
        <v>60</v>
      </c>
      <c r="E367" s="75" t="s">
        <v>378</v>
      </c>
      <c r="F367" s="76" t="s">
        <v>888</v>
      </c>
      <c r="G367" s="83" t="s">
        <v>60</v>
      </c>
      <c r="H367" s="72">
        <v>45631</v>
      </c>
      <c r="I367" s="166">
        <v>1741095.59</v>
      </c>
      <c r="J367" s="166"/>
      <c r="K367" s="166">
        <v>0</v>
      </c>
      <c r="L367" s="166"/>
      <c r="M367" s="185">
        <v>-95.59</v>
      </c>
      <c r="N367" s="166">
        <f>+I367+M367</f>
        <v>1741000</v>
      </c>
      <c r="O367" s="36"/>
      <c r="P367" s="36"/>
    </row>
    <row r="368" spans="1:16" x14ac:dyDescent="0.25">
      <c r="A368" s="73" t="s">
        <v>23</v>
      </c>
      <c r="B368" s="83">
        <v>800117687</v>
      </c>
      <c r="C368" s="74" t="s">
        <v>674</v>
      </c>
      <c r="D368" s="83" t="s">
        <v>60</v>
      </c>
      <c r="E368" s="75" t="s">
        <v>378</v>
      </c>
      <c r="F368" s="76" t="s">
        <v>888</v>
      </c>
      <c r="G368" s="83" t="s">
        <v>60</v>
      </c>
      <c r="H368" s="72">
        <v>45631</v>
      </c>
      <c r="I368" s="166">
        <v>924100.81</v>
      </c>
      <c r="J368" s="166"/>
      <c r="K368" s="166">
        <v>0</v>
      </c>
      <c r="L368" s="166"/>
      <c r="M368" s="185">
        <v>-100.81</v>
      </c>
      <c r="N368" s="166">
        <f>+I368+M368</f>
        <v>924000</v>
      </c>
      <c r="O368" s="36"/>
      <c r="P368" s="36"/>
    </row>
    <row r="369" spans="1:16" x14ac:dyDescent="0.25">
      <c r="A369" s="73" t="s">
        <v>23</v>
      </c>
      <c r="B369" s="83">
        <v>891102764</v>
      </c>
      <c r="C369" s="74" t="s">
        <v>750</v>
      </c>
      <c r="D369" s="83" t="s">
        <v>60</v>
      </c>
      <c r="E369" s="75" t="s">
        <v>378</v>
      </c>
      <c r="F369" s="76" t="s">
        <v>888</v>
      </c>
      <c r="G369" s="83" t="s">
        <v>60</v>
      </c>
      <c r="H369" s="72">
        <v>45631</v>
      </c>
      <c r="I369" s="166">
        <v>19715.150000000001</v>
      </c>
      <c r="J369" s="166"/>
      <c r="K369" s="166">
        <v>0</v>
      </c>
      <c r="L369" s="166"/>
      <c r="M369" s="185">
        <v>284.85000000000002</v>
      </c>
      <c r="N369" s="166">
        <f t="shared" ref="N369:N389" si="27">+I369+M369</f>
        <v>20000</v>
      </c>
      <c r="O369" s="36"/>
      <c r="P369" s="36"/>
    </row>
    <row r="370" spans="1:16" x14ac:dyDescent="0.25">
      <c r="A370" s="73" t="s">
        <v>23</v>
      </c>
      <c r="B370" s="83">
        <v>800099317</v>
      </c>
      <c r="C370" s="74" t="s">
        <v>850</v>
      </c>
      <c r="D370" s="83" t="s">
        <v>60</v>
      </c>
      <c r="E370" s="75" t="s">
        <v>378</v>
      </c>
      <c r="F370" s="76" t="s">
        <v>888</v>
      </c>
      <c r="G370" s="83" t="s">
        <v>60</v>
      </c>
      <c r="H370" s="72">
        <v>45631</v>
      </c>
      <c r="I370" s="166">
        <v>3719780.93</v>
      </c>
      <c r="J370" s="166"/>
      <c r="K370" s="166">
        <v>0</v>
      </c>
      <c r="L370" s="166"/>
      <c r="M370" s="185">
        <v>219.07</v>
      </c>
      <c r="N370" s="166">
        <f t="shared" si="27"/>
        <v>3720000</v>
      </c>
      <c r="O370" s="36"/>
      <c r="P370" s="36"/>
    </row>
    <row r="371" spans="1:16" ht="30" x14ac:dyDescent="0.25">
      <c r="A371" s="73" t="s">
        <v>23</v>
      </c>
      <c r="B371" s="83">
        <v>892120020</v>
      </c>
      <c r="C371" s="74" t="s">
        <v>756</v>
      </c>
      <c r="D371" s="83" t="s">
        <v>60</v>
      </c>
      <c r="E371" s="75" t="s">
        <v>378</v>
      </c>
      <c r="F371" s="76" t="s">
        <v>888</v>
      </c>
      <c r="G371" s="83" t="s">
        <v>60</v>
      </c>
      <c r="H371" s="72">
        <v>45631</v>
      </c>
      <c r="I371" s="166">
        <v>574104.02</v>
      </c>
      <c r="J371" s="166"/>
      <c r="K371" s="166">
        <v>0</v>
      </c>
      <c r="L371" s="166"/>
      <c r="M371" s="185">
        <v>-104.02</v>
      </c>
      <c r="N371" s="166">
        <f t="shared" si="27"/>
        <v>574000</v>
      </c>
      <c r="O371" s="36"/>
      <c r="P371" s="36"/>
    </row>
    <row r="372" spans="1:16" ht="30" x14ac:dyDescent="0.25">
      <c r="A372" s="73" t="s">
        <v>23</v>
      </c>
      <c r="B372" s="83">
        <v>891180205</v>
      </c>
      <c r="C372" s="74" t="s">
        <v>751</v>
      </c>
      <c r="D372" s="83" t="s">
        <v>60</v>
      </c>
      <c r="E372" s="75" t="s">
        <v>378</v>
      </c>
      <c r="F372" s="76" t="s">
        <v>888</v>
      </c>
      <c r="G372" s="83" t="s">
        <v>60</v>
      </c>
      <c r="H372" s="72">
        <v>45631</v>
      </c>
      <c r="I372" s="166">
        <v>588923.53</v>
      </c>
      <c r="J372" s="166"/>
      <c r="K372" s="166">
        <v>0</v>
      </c>
      <c r="L372" s="166"/>
      <c r="M372" s="185">
        <v>76.47</v>
      </c>
      <c r="N372" s="166">
        <f t="shared" si="27"/>
        <v>589000</v>
      </c>
      <c r="O372" s="36"/>
      <c r="P372" s="36"/>
    </row>
    <row r="373" spans="1:16" ht="30" x14ac:dyDescent="0.25">
      <c r="A373" s="73" t="s">
        <v>23</v>
      </c>
      <c r="B373" s="83">
        <v>892301130</v>
      </c>
      <c r="C373" s="74" t="s">
        <v>702</v>
      </c>
      <c r="D373" s="83" t="s">
        <v>60</v>
      </c>
      <c r="E373" s="75" t="s">
        <v>378</v>
      </c>
      <c r="F373" s="76" t="s">
        <v>888</v>
      </c>
      <c r="G373" s="83" t="s">
        <v>60</v>
      </c>
      <c r="H373" s="72">
        <v>45631</v>
      </c>
      <c r="I373" s="166">
        <v>834791.38</v>
      </c>
      <c r="J373" s="166"/>
      <c r="K373" s="166">
        <v>0</v>
      </c>
      <c r="L373" s="166"/>
      <c r="M373" s="185">
        <v>208.62</v>
      </c>
      <c r="N373" s="166">
        <f t="shared" si="27"/>
        <v>835000</v>
      </c>
      <c r="O373" s="36"/>
      <c r="P373" s="36"/>
    </row>
    <row r="374" spans="1:16" x14ac:dyDescent="0.25">
      <c r="A374" s="73" t="s">
        <v>23</v>
      </c>
      <c r="B374" s="83">
        <v>800138959</v>
      </c>
      <c r="C374" s="74" t="s">
        <v>700</v>
      </c>
      <c r="D374" s="83" t="s">
        <v>60</v>
      </c>
      <c r="E374" s="75" t="s">
        <v>378</v>
      </c>
      <c r="F374" s="76" t="s">
        <v>801</v>
      </c>
      <c r="G374" s="83" t="s">
        <v>60</v>
      </c>
      <c r="H374" s="72">
        <v>45631</v>
      </c>
      <c r="I374" s="166">
        <v>335635.58</v>
      </c>
      <c r="J374" s="166"/>
      <c r="K374" s="166">
        <v>0</v>
      </c>
      <c r="L374" s="166"/>
      <c r="M374" s="185">
        <v>364.42</v>
      </c>
      <c r="N374" s="166">
        <f t="shared" si="27"/>
        <v>336000</v>
      </c>
      <c r="O374" s="36"/>
      <c r="P374" s="36"/>
    </row>
    <row r="375" spans="1:16" x14ac:dyDescent="0.25">
      <c r="A375" s="73" t="s">
        <v>23</v>
      </c>
      <c r="B375" s="83">
        <v>800138959</v>
      </c>
      <c r="C375" s="74" t="s">
        <v>700</v>
      </c>
      <c r="D375" s="83" t="s">
        <v>60</v>
      </c>
      <c r="E375" s="75" t="s">
        <v>378</v>
      </c>
      <c r="F375" s="76" t="s">
        <v>888</v>
      </c>
      <c r="G375" s="83" t="s">
        <v>60</v>
      </c>
      <c r="H375" s="72">
        <v>45631</v>
      </c>
      <c r="I375" s="166">
        <v>2237570.52</v>
      </c>
      <c r="J375" s="166"/>
      <c r="K375" s="166">
        <v>0</v>
      </c>
      <c r="L375" s="166"/>
      <c r="M375" s="185">
        <v>429.48</v>
      </c>
      <c r="N375" s="166">
        <f t="shared" si="27"/>
        <v>2238000</v>
      </c>
      <c r="O375" s="36"/>
      <c r="P375" s="36"/>
    </row>
    <row r="376" spans="1:16" x14ac:dyDescent="0.25">
      <c r="A376" s="73" t="s">
        <v>23</v>
      </c>
      <c r="B376" s="83">
        <v>800138959</v>
      </c>
      <c r="C376" s="74" t="s">
        <v>700</v>
      </c>
      <c r="D376" s="83" t="s">
        <v>60</v>
      </c>
      <c r="E376" s="75" t="s">
        <v>378</v>
      </c>
      <c r="F376" s="76" t="s">
        <v>802</v>
      </c>
      <c r="G376" s="83" t="s">
        <v>60</v>
      </c>
      <c r="H376" s="72">
        <v>45631</v>
      </c>
      <c r="I376" s="166">
        <v>111878.53</v>
      </c>
      <c r="J376" s="166"/>
      <c r="K376" s="166">
        <v>0</v>
      </c>
      <c r="L376" s="166"/>
      <c r="M376" s="185">
        <v>121.47</v>
      </c>
      <c r="N376" s="166">
        <f t="shared" si="27"/>
        <v>112000</v>
      </c>
      <c r="O376" s="36"/>
      <c r="P376" s="36"/>
    </row>
    <row r="377" spans="1:16" ht="30" x14ac:dyDescent="0.25">
      <c r="A377" s="73" t="s">
        <v>23</v>
      </c>
      <c r="B377" s="83">
        <v>891500580</v>
      </c>
      <c r="C377" s="74" t="s">
        <v>672</v>
      </c>
      <c r="D377" s="83" t="s">
        <v>60</v>
      </c>
      <c r="E377" s="75" t="s">
        <v>378</v>
      </c>
      <c r="F377" s="76" t="s">
        <v>888</v>
      </c>
      <c r="G377" s="83" t="s">
        <v>60</v>
      </c>
      <c r="H377" s="72">
        <v>45631</v>
      </c>
      <c r="I377" s="166">
        <v>244064.25</v>
      </c>
      <c r="J377" s="166"/>
      <c r="K377" s="166">
        <v>0</v>
      </c>
      <c r="L377" s="166"/>
      <c r="M377" s="185">
        <v>-64.25</v>
      </c>
      <c r="N377" s="166">
        <f t="shared" si="27"/>
        <v>244000</v>
      </c>
      <c r="O377" s="36"/>
      <c r="P377" s="36"/>
    </row>
    <row r="378" spans="1:16" ht="30" x14ac:dyDescent="0.25">
      <c r="A378" s="73" t="s">
        <v>23</v>
      </c>
      <c r="B378" s="83">
        <v>891480032</v>
      </c>
      <c r="C378" s="74" t="s">
        <v>851</v>
      </c>
      <c r="D378" s="83" t="s">
        <v>60</v>
      </c>
      <c r="E378" s="75" t="s">
        <v>378</v>
      </c>
      <c r="F378" s="76" t="s">
        <v>888</v>
      </c>
      <c r="G378" s="83" t="s">
        <v>60</v>
      </c>
      <c r="H378" s="72">
        <v>45631</v>
      </c>
      <c r="I378" s="166">
        <v>114239.13</v>
      </c>
      <c r="J378" s="166"/>
      <c r="K378" s="166">
        <v>0</v>
      </c>
      <c r="L378" s="166"/>
      <c r="M378" s="185">
        <v>-239.13</v>
      </c>
      <c r="N378" s="166">
        <f t="shared" si="27"/>
        <v>114000</v>
      </c>
      <c r="O378" s="36"/>
      <c r="P378" s="36"/>
    </row>
    <row r="379" spans="1:16" x14ac:dyDescent="0.25">
      <c r="A379" s="73" t="s">
        <v>23</v>
      </c>
      <c r="B379" s="83">
        <v>891780045</v>
      </c>
      <c r="C379" s="74" t="s">
        <v>703</v>
      </c>
      <c r="D379" s="83" t="s">
        <v>60</v>
      </c>
      <c r="E379" s="75" t="s">
        <v>378</v>
      </c>
      <c r="F379" s="76" t="s">
        <v>888</v>
      </c>
      <c r="G379" s="83" t="s">
        <v>60</v>
      </c>
      <c r="H379" s="72">
        <v>45631</v>
      </c>
      <c r="I379" s="166">
        <v>1618605.39</v>
      </c>
      <c r="J379" s="166"/>
      <c r="K379" s="166">
        <v>0</v>
      </c>
      <c r="L379" s="166"/>
      <c r="M379" s="185">
        <v>394.61</v>
      </c>
      <c r="N379" s="166">
        <f t="shared" si="27"/>
        <v>1619000</v>
      </c>
      <c r="O379" s="36"/>
      <c r="P379" s="36"/>
    </row>
    <row r="380" spans="1:16" x14ac:dyDescent="0.25">
      <c r="A380" s="73" t="s">
        <v>23</v>
      </c>
      <c r="B380" s="83">
        <v>800102799</v>
      </c>
      <c r="C380" s="74" t="s">
        <v>652</v>
      </c>
      <c r="D380" s="83" t="s">
        <v>60</v>
      </c>
      <c r="E380" s="75" t="s">
        <v>378</v>
      </c>
      <c r="F380" s="76" t="s">
        <v>888</v>
      </c>
      <c r="G380" s="83" t="s">
        <v>60</v>
      </c>
      <c r="H380" s="72">
        <v>45631</v>
      </c>
      <c r="I380" s="166">
        <v>4890748.5199999996</v>
      </c>
      <c r="J380" s="166"/>
      <c r="K380" s="166">
        <v>0</v>
      </c>
      <c r="L380" s="166"/>
      <c r="M380" s="185">
        <v>251.48</v>
      </c>
      <c r="N380" s="166">
        <f t="shared" si="27"/>
        <v>4891000</v>
      </c>
      <c r="O380" s="36"/>
      <c r="P380" s="36"/>
    </row>
    <row r="381" spans="1:16" x14ac:dyDescent="0.25">
      <c r="A381" s="73" t="s">
        <v>23</v>
      </c>
      <c r="B381" s="83">
        <v>800102801</v>
      </c>
      <c r="C381" s="74" t="s">
        <v>551</v>
      </c>
      <c r="D381" s="83" t="s">
        <v>60</v>
      </c>
      <c r="E381" s="75" t="s">
        <v>378</v>
      </c>
      <c r="F381" s="76" t="s">
        <v>888</v>
      </c>
      <c r="G381" s="83" t="s">
        <v>60</v>
      </c>
      <c r="H381" s="72">
        <v>45632</v>
      </c>
      <c r="I381" s="166">
        <v>807326.29</v>
      </c>
      <c r="J381" s="166"/>
      <c r="K381" s="166">
        <v>0</v>
      </c>
      <c r="L381" s="166"/>
      <c r="M381" s="185">
        <v>-326.29000000000002</v>
      </c>
      <c r="N381" s="166">
        <f t="shared" si="27"/>
        <v>807000</v>
      </c>
      <c r="O381" s="36"/>
      <c r="P381" s="36"/>
    </row>
    <row r="382" spans="1:16" ht="30" x14ac:dyDescent="0.25">
      <c r="A382" s="73" t="s">
        <v>23</v>
      </c>
      <c r="B382" s="83">
        <v>891500856</v>
      </c>
      <c r="C382" s="74" t="s">
        <v>669</v>
      </c>
      <c r="D382" s="83" t="s">
        <v>60</v>
      </c>
      <c r="E382" s="75" t="s">
        <v>378</v>
      </c>
      <c r="F382" s="76" t="s">
        <v>888</v>
      </c>
      <c r="G382" s="83" t="s">
        <v>60</v>
      </c>
      <c r="H382" s="72">
        <v>45632</v>
      </c>
      <c r="I382" s="166">
        <v>26881.35</v>
      </c>
      <c r="J382" s="166"/>
      <c r="K382" s="166">
        <v>0</v>
      </c>
      <c r="L382" s="166"/>
      <c r="M382" s="185">
        <v>118.65</v>
      </c>
      <c r="N382" s="166">
        <f t="shared" si="27"/>
        <v>27000</v>
      </c>
      <c r="O382" s="36"/>
      <c r="P382" s="36"/>
    </row>
    <row r="383" spans="1:16" x14ac:dyDescent="0.25">
      <c r="A383" s="73" t="s">
        <v>23</v>
      </c>
      <c r="B383" s="83">
        <v>800096576</v>
      </c>
      <c r="C383" s="74" t="s">
        <v>452</v>
      </c>
      <c r="D383" s="83" t="s">
        <v>60</v>
      </c>
      <c r="E383" s="75" t="s">
        <v>378</v>
      </c>
      <c r="F383" s="76" t="s">
        <v>888</v>
      </c>
      <c r="G383" s="83" t="s">
        <v>60</v>
      </c>
      <c r="H383" s="72">
        <v>45632</v>
      </c>
      <c r="I383" s="166">
        <v>1360340.74</v>
      </c>
      <c r="J383" s="166"/>
      <c r="K383" s="166">
        <v>0</v>
      </c>
      <c r="L383" s="166"/>
      <c r="M383" s="185">
        <v>-340.74</v>
      </c>
      <c r="N383" s="166">
        <f t="shared" si="27"/>
        <v>1360000</v>
      </c>
      <c r="O383" s="36"/>
      <c r="P383" s="36"/>
    </row>
    <row r="384" spans="1:16" ht="30" x14ac:dyDescent="0.25">
      <c r="A384" s="73" t="s">
        <v>23</v>
      </c>
      <c r="B384" s="83">
        <v>800100519</v>
      </c>
      <c r="C384" s="74" t="s">
        <v>666</v>
      </c>
      <c r="D384" s="83" t="s">
        <v>60</v>
      </c>
      <c r="E384" s="75" t="s">
        <v>378</v>
      </c>
      <c r="F384" s="76" t="s">
        <v>888</v>
      </c>
      <c r="G384" s="83" t="s">
        <v>60</v>
      </c>
      <c r="H384" s="72">
        <v>45632</v>
      </c>
      <c r="I384" s="166">
        <v>1275541.56</v>
      </c>
      <c r="J384" s="166"/>
      <c r="K384" s="166">
        <v>0</v>
      </c>
      <c r="L384" s="166"/>
      <c r="M384" s="185">
        <v>458.44</v>
      </c>
      <c r="N384" s="166">
        <f t="shared" si="27"/>
        <v>1276000</v>
      </c>
      <c r="O384" s="36"/>
      <c r="P384" s="36"/>
    </row>
    <row r="385" spans="1:16" ht="30" x14ac:dyDescent="0.25">
      <c r="A385" s="73" t="s">
        <v>23</v>
      </c>
      <c r="B385" s="83">
        <v>891500982</v>
      </c>
      <c r="C385" s="74" t="s">
        <v>453</v>
      </c>
      <c r="D385" s="83" t="s">
        <v>60</v>
      </c>
      <c r="E385" s="75" t="s">
        <v>378</v>
      </c>
      <c r="F385" s="76" t="s">
        <v>888</v>
      </c>
      <c r="G385" s="83" t="s">
        <v>60</v>
      </c>
      <c r="H385" s="72">
        <v>45632</v>
      </c>
      <c r="I385" s="166">
        <v>43010.15</v>
      </c>
      <c r="J385" s="166"/>
      <c r="K385" s="166">
        <v>0</v>
      </c>
      <c r="L385" s="166"/>
      <c r="M385" s="185">
        <v>-10.15</v>
      </c>
      <c r="N385" s="166">
        <f t="shared" si="27"/>
        <v>43000</v>
      </c>
      <c r="O385" s="36"/>
      <c r="P385" s="36"/>
    </row>
    <row r="386" spans="1:16" ht="30" x14ac:dyDescent="0.25">
      <c r="A386" s="73" t="s">
        <v>23</v>
      </c>
      <c r="B386" s="83">
        <v>800096585</v>
      </c>
      <c r="C386" s="74" t="s">
        <v>451</v>
      </c>
      <c r="D386" s="83" t="s">
        <v>60</v>
      </c>
      <c r="E386" s="75" t="s">
        <v>378</v>
      </c>
      <c r="F386" s="76" t="s">
        <v>888</v>
      </c>
      <c r="G386" s="83" t="s">
        <v>60</v>
      </c>
      <c r="H386" s="72">
        <v>45635</v>
      </c>
      <c r="I386" s="166">
        <v>1954137.83</v>
      </c>
      <c r="J386" s="166"/>
      <c r="K386" s="166">
        <v>0</v>
      </c>
      <c r="L386" s="166"/>
      <c r="M386" s="185">
        <v>-137.83000000000001</v>
      </c>
      <c r="N386" s="166">
        <f t="shared" si="27"/>
        <v>1954000</v>
      </c>
      <c r="O386" s="36"/>
      <c r="P386" s="36"/>
    </row>
    <row r="387" spans="1:16" ht="30" x14ac:dyDescent="0.25">
      <c r="A387" s="73" t="s">
        <v>23</v>
      </c>
      <c r="B387" s="83">
        <v>899999090</v>
      </c>
      <c r="C387" s="74" t="s">
        <v>450</v>
      </c>
      <c r="D387" s="83" t="s">
        <v>60</v>
      </c>
      <c r="E387" s="75" t="s">
        <v>378</v>
      </c>
      <c r="F387" s="76" t="s">
        <v>889</v>
      </c>
      <c r="G387" s="83" t="s">
        <v>60</v>
      </c>
      <c r="H387" s="72">
        <v>45635</v>
      </c>
      <c r="I387" s="166">
        <v>405972612.42000002</v>
      </c>
      <c r="J387" s="166"/>
      <c r="K387" s="166">
        <v>0</v>
      </c>
      <c r="L387" s="166"/>
      <c r="M387" s="185">
        <v>387.58</v>
      </c>
      <c r="N387" s="166">
        <f t="shared" si="27"/>
        <v>405973000</v>
      </c>
      <c r="O387" s="36"/>
      <c r="P387" s="36"/>
    </row>
    <row r="388" spans="1:16" x14ac:dyDescent="0.25">
      <c r="A388" s="73" t="s">
        <v>23</v>
      </c>
      <c r="B388" s="83">
        <v>800098911</v>
      </c>
      <c r="C388" s="74" t="s">
        <v>704</v>
      </c>
      <c r="D388" s="83" t="s">
        <v>60</v>
      </c>
      <c r="E388" s="75" t="s">
        <v>378</v>
      </c>
      <c r="F388" s="76" t="s">
        <v>888</v>
      </c>
      <c r="G388" s="83" t="s">
        <v>60</v>
      </c>
      <c r="H388" s="72">
        <v>45638</v>
      </c>
      <c r="I388" s="166">
        <v>2011290.35</v>
      </c>
      <c r="J388" s="166"/>
      <c r="K388" s="166">
        <v>0</v>
      </c>
      <c r="L388" s="166"/>
      <c r="M388" s="185">
        <v>-290.35000000000002</v>
      </c>
      <c r="N388" s="166">
        <f t="shared" si="27"/>
        <v>2011000</v>
      </c>
      <c r="O388" s="36"/>
      <c r="P388" s="36"/>
    </row>
    <row r="389" spans="1:16" ht="45" x14ac:dyDescent="0.25">
      <c r="A389" s="73" t="s">
        <v>23</v>
      </c>
      <c r="B389" s="83">
        <v>800197268</v>
      </c>
      <c r="C389" s="74" t="s">
        <v>449</v>
      </c>
      <c r="D389" s="83" t="s">
        <v>60</v>
      </c>
      <c r="E389" s="75" t="s">
        <v>378</v>
      </c>
      <c r="F389" s="76" t="s">
        <v>890</v>
      </c>
      <c r="G389" s="83" t="s">
        <v>60</v>
      </c>
      <c r="H389" s="72">
        <v>45644</v>
      </c>
      <c r="I389" s="166">
        <v>256674475.13999999</v>
      </c>
      <c r="J389" s="166"/>
      <c r="K389" s="166">
        <v>0</v>
      </c>
      <c r="L389" s="166"/>
      <c r="M389" s="185">
        <v>-475.14</v>
      </c>
      <c r="N389" s="166">
        <f t="shared" si="27"/>
        <v>256674000</v>
      </c>
      <c r="O389" s="36"/>
      <c r="P389" s="36"/>
    </row>
    <row r="390" spans="1:16" ht="36.75" customHeight="1" x14ac:dyDescent="0.25">
      <c r="F390" s="107" t="s">
        <v>891</v>
      </c>
      <c r="I390" s="184">
        <f>+SUM(I331:I389)</f>
        <v>9889432030.5099983</v>
      </c>
      <c r="J390" s="184">
        <f t="shared" ref="J390:N390" si="28">+SUM(J331:J389)</f>
        <v>920135117.12</v>
      </c>
      <c r="K390" s="184">
        <f t="shared" si="28"/>
        <v>785288349.60000026</v>
      </c>
      <c r="L390" s="184">
        <f t="shared" si="28"/>
        <v>35873207.68</v>
      </c>
      <c r="M390" s="184">
        <f t="shared" si="28"/>
        <v>1130.8400000000001</v>
      </c>
      <c r="N390" s="184">
        <f t="shared" si="28"/>
        <v>8148136486.9500008</v>
      </c>
      <c r="O390" s="100"/>
      <c r="P390" s="36"/>
    </row>
    <row r="391" spans="1:16" ht="75" x14ac:dyDescent="0.25">
      <c r="A391" s="73" t="s">
        <v>381</v>
      </c>
      <c r="B391" s="83">
        <v>59312287</v>
      </c>
      <c r="C391" s="74" t="s">
        <v>172</v>
      </c>
      <c r="D391" s="83" t="s">
        <v>171</v>
      </c>
      <c r="E391" s="75" t="s">
        <v>394</v>
      </c>
      <c r="F391" s="76" t="s">
        <v>898</v>
      </c>
      <c r="G391" s="83">
        <v>284681</v>
      </c>
      <c r="H391" s="72">
        <v>45685</v>
      </c>
      <c r="I391" s="166">
        <v>317046298.03000003</v>
      </c>
      <c r="J391" s="166">
        <v>31704629.800000001</v>
      </c>
      <c r="K391" s="166">
        <v>27779806.199999999</v>
      </c>
      <c r="L391" s="166"/>
      <c r="M391" s="166">
        <v>0</v>
      </c>
      <c r="N391" s="166">
        <f>+I391-J391-K391-L391-M391</f>
        <v>257561862.03000003</v>
      </c>
      <c r="O391" s="36"/>
      <c r="P391" s="36"/>
    </row>
    <row r="392" spans="1:16" ht="75" x14ac:dyDescent="0.25">
      <c r="A392" s="73" t="s">
        <v>23</v>
      </c>
      <c r="B392" s="83">
        <v>901785672</v>
      </c>
      <c r="C392" s="74" t="s">
        <v>175</v>
      </c>
      <c r="D392" s="83" t="s">
        <v>174</v>
      </c>
      <c r="E392" s="75" t="s">
        <v>394</v>
      </c>
      <c r="F392" s="76" t="s">
        <v>899</v>
      </c>
      <c r="G392" s="83">
        <v>283280</v>
      </c>
      <c r="H392" s="72">
        <v>45678</v>
      </c>
      <c r="I392" s="166">
        <v>18763470.919999998</v>
      </c>
      <c r="J392" s="166">
        <v>1876347.09</v>
      </c>
      <c r="K392" s="166">
        <v>1151036.4500000002</v>
      </c>
      <c r="L392" s="166"/>
      <c r="M392" s="185">
        <v>0</v>
      </c>
      <c r="N392" s="166">
        <f t="shared" ref="N392:N416" si="29">+I392-J392-K392-L392-M392</f>
        <v>15736087.379999999</v>
      </c>
      <c r="O392" s="36">
        <v>15736087.380000001</v>
      </c>
      <c r="P392" s="36"/>
    </row>
    <row r="393" spans="1:16" ht="105" x14ac:dyDescent="0.25">
      <c r="A393" s="73" t="s">
        <v>23</v>
      </c>
      <c r="B393" s="83">
        <v>900084333</v>
      </c>
      <c r="C393" s="74" t="s">
        <v>698</v>
      </c>
      <c r="D393" s="83" t="s">
        <v>241</v>
      </c>
      <c r="E393" s="75" t="s">
        <v>394</v>
      </c>
      <c r="F393" s="76" t="s">
        <v>900</v>
      </c>
      <c r="G393" s="83">
        <v>284693</v>
      </c>
      <c r="H393" s="72">
        <v>45685</v>
      </c>
      <c r="I393" s="166">
        <v>758042326.70000005</v>
      </c>
      <c r="J393" s="166">
        <v>75804232.670000002</v>
      </c>
      <c r="K393" s="166">
        <v>67712346.180000007</v>
      </c>
      <c r="L393" s="166"/>
      <c r="M393" s="185">
        <v>0</v>
      </c>
      <c r="N393" s="166">
        <f t="shared" si="29"/>
        <v>614525747.85000014</v>
      </c>
      <c r="O393" s="36"/>
      <c r="P393" s="36"/>
    </row>
    <row r="394" spans="1:16" ht="150" x14ac:dyDescent="0.25">
      <c r="A394" s="73" t="s">
        <v>23</v>
      </c>
      <c r="B394" s="83">
        <v>901800251</v>
      </c>
      <c r="C394" s="74" t="s">
        <v>243</v>
      </c>
      <c r="D394" s="83" t="s">
        <v>242</v>
      </c>
      <c r="E394" s="75" t="s">
        <v>394</v>
      </c>
      <c r="F394" s="76" t="s">
        <v>901</v>
      </c>
      <c r="G394" s="83">
        <v>283414</v>
      </c>
      <c r="H394" s="72">
        <v>45678</v>
      </c>
      <c r="I394" s="166">
        <v>32537360.670000002</v>
      </c>
      <c r="J394" s="166">
        <v>3253736.07</v>
      </c>
      <c r="K394" s="166">
        <v>1930184.1</v>
      </c>
      <c r="L394" s="166"/>
      <c r="M394" s="185">
        <v>0</v>
      </c>
      <c r="N394" s="166">
        <f t="shared" si="29"/>
        <v>27353440.5</v>
      </c>
      <c r="O394" s="36">
        <v>27353440.5</v>
      </c>
      <c r="P394" s="36"/>
    </row>
    <row r="395" spans="1:16" ht="105" x14ac:dyDescent="0.25">
      <c r="A395" s="73" t="s">
        <v>23</v>
      </c>
      <c r="B395" s="83">
        <v>901842060</v>
      </c>
      <c r="C395" s="74" t="s">
        <v>493</v>
      </c>
      <c r="D395" s="83" t="s">
        <v>492</v>
      </c>
      <c r="E395" s="75" t="s">
        <v>394</v>
      </c>
      <c r="F395" s="76" t="s">
        <v>902</v>
      </c>
      <c r="G395" s="83">
        <v>283282</v>
      </c>
      <c r="H395" s="72">
        <v>45679</v>
      </c>
      <c r="I395" s="166">
        <v>958397350.52999997</v>
      </c>
      <c r="J395" s="166">
        <v>95839735.049999997</v>
      </c>
      <c r="K395" s="166">
        <v>83018231.430000007</v>
      </c>
      <c r="L395" s="166"/>
      <c r="M395" s="185">
        <v>0</v>
      </c>
      <c r="N395" s="166">
        <f t="shared" si="29"/>
        <v>779539384.04999995</v>
      </c>
      <c r="O395" s="36">
        <v>779539384.04999995</v>
      </c>
      <c r="P395" s="36"/>
    </row>
    <row r="396" spans="1:16" ht="150" x14ac:dyDescent="0.25">
      <c r="A396" s="73" t="s">
        <v>23</v>
      </c>
      <c r="B396" s="83">
        <v>901841724</v>
      </c>
      <c r="C396" s="74" t="s">
        <v>497</v>
      </c>
      <c r="D396" s="83" t="s">
        <v>496</v>
      </c>
      <c r="E396" s="75" t="s">
        <v>394</v>
      </c>
      <c r="F396" s="76" t="s">
        <v>903</v>
      </c>
      <c r="G396" s="83">
        <v>283288</v>
      </c>
      <c r="H396" s="72">
        <v>45678</v>
      </c>
      <c r="I396" s="166">
        <v>44661538.950000003</v>
      </c>
      <c r="J396" s="166">
        <v>4466153.9000000004</v>
      </c>
      <c r="K396" s="166">
        <v>2769686.78</v>
      </c>
      <c r="L396" s="166"/>
      <c r="M396" s="185">
        <v>0</v>
      </c>
      <c r="N396" s="166">
        <f t="shared" si="29"/>
        <v>37425698.270000003</v>
      </c>
      <c r="O396" s="36">
        <v>37425698.270000003</v>
      </c>
      <c r="P396" s="36"/>
    </row>
    <row r="397" spans="1:16" ht="75" x14ac:dyDescent="0.25">
      <c r="A397" s="73" t="s">
        <v>23</v>
      </c>
      <c r="B397" s="83">
        <v>901794652</v>
      </c>
      <c r="C397" s="74" t="s">
        <v>191</v>
      </c>
      <c r="D397" s="83" t="s">
        <v>190</v>
      </c>
      <c r="E397" s="75" t="s">
        <v>394</v>
      </c>
      <c r="F397" s="76" t="s">
        <v>904</v>
      </c>
      <c r="G397" s="83">
        <v>283294</v>
      </c>
      <c r="H397" s="72">
        <v>45679</v>
      </c>
      <c r="I397" s="166">
        <v>643453985.07999992</v>
      </c>
      <c r="J397" s="166">
        <v>64345398.509999998</v>
      </c>
      <c r="K397" s="166">
        <v>57188365.25999999</v>
      </c>
      <c r="L397" s="166"/>
      <c r="M397" s="185">
        <v>0</v>
      </c>
      <c r="N397" s="166">
        <f t="shared" si="29"/>
        <v>521920221.30999994</v>
      </c>
      <c r="O397" s="36">
        <v>521920221.31</v>
      </c>
      <c r="P397" s="36"/>
    </row>
    <row r="398" spans="1:16" ht="90" x14ac:dyDescent="0.25">
      <c r="A398" s="73" t="s">
        <v>23</v>
      </c>
      <c r="B398" s="83">
        <v>900503646</v>
      </c>
      <c r="C398" s="74" t="s">
        <v>194</v>
      </c>
      <c r="D398" s="83" t="s">
        <v>193</v>
      </c>
      <c r="E398" s="75" t="s">
        <v>394</v>
      </c>
      <c r="F398" s="76" t="s">
        <v>905</v>
      </c>
      <c r="G398" s="83">
        <v>283298</v>
      </c>
      <c r="H398" s="72">
        <v>45679</v>
      </c>
      <c r="I398" s="166">
        <v>44165418.859999999</v>
      </c>
      <c r="J398" s="166">
        <v>4416541.8899999997</v>
      </c>
      <c r="K398" s="166">
        <v>2708399.62</v>
      </c>
      <c r="L398" s="166"/>
      <c r="M398" s="185">
        <v>0</v>
      </c>
      <c r="N398" s="166">
        <f t="shared" si="29"/>
        <v>37040477.350000001</v>
      </c>
      <c r="O398" s="36">
        <v>37040477.350000001</v>
      </c>
      <c r="P398" s="36"/>
    </row>
    <row r="399" spans="1:16" ht="135" x14ac:dyDescent="0.25">
      <c r="A399" s="73" t="s">
        <v>23</v>
      </c>
      <c r="B399" s="83">
        <v>900749719</v>
      </c>
      <c r="C399" s="74" t="s">
        <v>463</v>
      </c>
      <c r="D399" s="83" t="s">
        <v>462</v>
      </c>
      <c r="E399" s="75" t="s">
        <v>394</v>
      </c>
      <c r="F399" s="76" t="s">
        <v>906</v>
      </c>
      <c r="G399" s="83">
        <v>283301</v>
      </c>
      <c r="H399" s="72">
        <v>45678</v>
      </c>
      <c r="I399" s="166">
        <v>448018307.69999999</v>
      </c>
      <c r="J399" s="166">
        <v>44801830.770000003</v>
      </c>
      <c r="K399" s="166">
        <v>38696774.369999997</v>
      </c>
      <c r="L399" s="166"/>
      <c r="M399" s="185">
        <v>0</v>
      </c>
      <c r="N399" s="166">
        <f t="shared" si="29"/>
        <v>364519702.56</v>
      </c>
      <c r="O399" s="36">
        <v>364519702.56</v>
      </c>
      <c r="P399" s="36"/>
    </row>
    <row r="400" spans="1:16" ht="120" x14ac:dyDescent="0.25">
      <c r="A400" s="73" t="s">
        <v>23</v>
      </c>
      <c r="B400" s="83">
        <v>901841741</v>
      </c>
      <c r="C400" s="74" t="s">
        <v>495</v>
      </c>
      <c r="D400" s="83" t="s">
        <v>494</v>
      </c>
      <c r="E400" s="75" t="s">
        <v>394</v>
      </c>
      <c r="F400" s="76" t="s">
        <v>907</v>
      </c>
      <c r="G400" s="83">
        <v>283304</v>
      </c>
      <c r="H400" s="72">
        <v>45679</v>
      </c>
      <c r="I400" s="166">
        <v>42247696.849999994</v>
      </c>
      <c r="J400" s="166">
        <v>4224769.6900000004</v>
      </c>
      <c r="K400" s="166">
        <v>1125379.5</v>
      </c>
      <c r="L400" s="166"/>
      <c r="M400" s="185">
        <v>0</v>
      </c>
      <c r="N400" s="166">
        <f t="shared" si="29"/>
        <v>36897547.659999996</v>
      </c>
      <c r="O400" s="36">
        <v>36897547.659999996</v>
      </c>
      <c r="P400" s="36"/>
    </row>
    <row r="401" spans="1:16" ht="120" x14ac:dyDescent="0.25">
      <c r="A401" s="73" t="s">
        <v>23</v>
      </c>
      <c r="B401" s="83">
        <v>901829333</v>
      </c>
      <c r="C401" s="74" t="s">
        <v>435</v>
      </c>
      <c r="D401" s="83" t="s">
        <v>434</v>
      </c>
      <c r="E401" s="75" t="s">
        <v>394</v>
      </c>
      <c r="F401" s="76" t="s">
        <v>908</v>
      </c>
      <c r="G401" s="83">
        <v>283418</v>
      </c>
      <c r="H401" s="72">
        <v>45678</v>
      </c>
      <c r="I401" s="166">
        <v>490969388.82999998</v>
      </c>
      <c r="J401" s="166">
        <v>49096938.880000003</v>
      </c>
      <c r="K401" s="166">
        <v>44838056.950000003</v>
      </c>
      <c r="L401" s="166"/>
      <c r="M401" s="185">
        <v>0</v>
      </c>
      <c r="N401" s="166">
        <f t="shared" si="29"/>
        <v>397034393</v>
      </c>
      <c r="O401" s="36">
        <v>397034393</v>
      </c>
      <c r="P401" s="36"/>
    </row>
    <row r="402" spans="1:16" ht="90" x14ac:dyDescent="0.25">
      <c r="A402" s="73" t="s">
        <v>23</v>
      </c>
      <c r="B402" s="83">
        <v>901831256</v>
      </c>
      <c r="C402" s="74" t="s">
        <v>485</v>
      </c>
      <c r="D402" s="83" t="s">
        <v>484</v>
      </c>
      <c r="E402" s="75" t="s">
        <v>394</v>
      </c>
      <c r="F402" s="76" t="s">
        <v>909</v>
      </c>
      <c r="G402" s="83">
        <v>283305</v>
      </c>
      <c r="H402" s="72">
        <v>45678</v>
      </c>
      <c r="I402" s="166">
        <v>7057865.3100000005</v>
      </c>
      <c r="J402" s="166">
        <v>705786.53</v>
      </c>
      <c r="K402" s="166">
        <v>444823.45</v>
      </c>
      <c r="L402" s="166"/>
      <c r="M402" s="185">
        <v>0</v>
      </c>
      <c r="N402" s="166">
        <f t="shared" si="29"/>
        <v>5907255.3300000001</v>
      </c>
      <c r="O402" s="36">
        <v>5907255.3300000001</v>
      </c>
      <c r="P402" s="36"/>
    </row>
    <row r="403" spans="1:16" ht="120" x14ac:dyDescent="0.25">
      <c r="A403" s="73" t="s">
        <v>23</v>
      </c>
      <c r="B403" s="83">
        <v>901830037</v>
      </c>
      <c r="C403" s="74" t="s">
        <v>437</v>
      </c>
      <c r="D403" s="83" t="s">
        <v>436</v>
      </c>
      <c r="E403" s="75" t="s">
        <v>394</v>
      </c>
      <c r="F403" s="76" t="s">
        <v>910</v>
      </c>
      <c r="G403" s="83">
        <v>283742</v>
      </c>
      <c r="H403" s="72">
        <v>45678</v>
      </c>
      <c r="I403" s="166">
        <v>44367223.879999995</v>
      </c>
      <c r="J403" s="166">
        <v>4436722.3899999997</v>
      </c>
      <c r="K403" s="166">
        <v>2870820.37</v>
      </c>
      <c r="L403" s="166"/>
      <c r="M403" s="185">
        <v>0</v>
      </c>
      <c r="N403" s="166">
        <f t="shared" si="29"/>
        <v>37059681.119999997</v>
      </c>
      <c r="O403" s="36">
        <v>37059681.119999997</v>
      </c>
      <c r="P403" s="36"/>
    </row>
    <row r="404" spans="1:16" ht="90" x14ac:dyDescent="0.25">
      <c r="A404" s="73" t="s">
        <v>23</v>
      </c>
      <c r="B404" s="83">
        <v>901811721</v>
      </c>
      <c r="C404" s="74" t="s">
        <v>137</v>
      </c>
      <c r="D404" s="83" t="s">
        <v>136</v>
      </c>
      <c r="E404" s="75" t="s">
        <v>394</v>
      </c>
      <c r="F404" s="76" t="s">
        <v>911</v>
      </c>
      <c r="G404" s="83">
        <v>284197</v>
      </c>
      <c r="H404" s="72">
        <v>45681</v>
      </c>
      <c r="I404" s="166">
        <v>1041723970</v>
      </c>
      <c r="J404" s="166">
        <v>104172397</v>
      </c>
      <c r="K404" s="166">
        <v>101036189.09</v>
      </c>
      <c r="L404" s="166"/>
      <c r="M404" s="185">
        <v>0</v>
      </c>
      <c r="N404" s="166">
        <f t="shared" si="29"/>
        <v>836515383.90999997</v>
      </c>
      <c r="O404" s="36"/>
      <c r="P404" s="36"/>
    </row>
    <row r="405" spans="1:16" ht="135" x14ac:dyDescent="0.25">
      <c r="A405" s="73" t="s">
        <v>23</v>
      </c>
      <c r="B405" s="83">
        <v>813006542</v>
      </c>
      <c r="C405" s="74" t="s">
        <v>489</v>
      </c>
      <c r="D405" s="83" t="s">
        <v>488</v>
      </c>
      <c r="E405" s="75" t="s">
        <v>394</v>
      </c>
      <c r="F405" s="76" t="s">
        <v>912</v>
      </c>
      <c r="G405" s="83">
        <v>283744</v>
      </c>
      <c r="H405" s="72">
        <v>45678</v>
      </c>
      <c r="I405" s="166">
        <v>197422194.27000001</v>
      </c>
      <c r="J405" s="166">
        <v>19742219.43</v>
      </c>
      <c r="K405" s="166">
        <v>16707511.970000001</v>
      </c>
      <c r="L405" s="166"/>
      <c r="M405" s="185">
        <v>0</v>
      </c>
      <c r="N405" s="166">
        <f t="shared" si="29"/>
        <v>160972462.87</v>
      </c>
      <c r="O405" s="36">
        <v>160972462.87</v>
      </c>
      <c r="P405" s="36"/>
    </row>
    <row r="406" spans="1:16" ht="150" x14ac:dyDescent="0.25">
      <c r="A406" s="73" t="s">
        <v>23</v>
      </c>
      <c r="B406" s="83">
        <v>901839812</v>
      </c>
      <c r="C406" s="74" t="s">
        <v>461</v>
      </c>
      <c r="D406" s="83" t="s">
        <v>460</v>
      </c>
      <c r="E406" s="75" t="s">
        <v>394</v>
      </c>
      <c r="F406" s="76" t="s">
        <v>913</v>
      </c>
      <c r="G406" s="83">
        <v>284021</v>
      </c>
      <c r="H406" s="72">
        <v>45680</v>
      </c>
      <c r="I406" s="166">
        <v>31478214.210000001</v>
      </c>
      <c r="J406" s="166">
        <v>3147821.42</v>
      </c>
      <c r="K406" s="166">
        <v>1891893.58</v>
      </c>
      <c r="L406" s="166"/>
      <c r="M406" s="185">
        <v>0</v>
      </c>
      <c r="N406" s="166">
        <f t="shared" si="29"/>
        <v>26438499.210000001</v>
      </c>
      <c r="O406" s="36"/>
      <c r="P406" s="36"/>
    </row>
    <row r="407" spans="1:16" ht="105" x14ac:dyDescent="0.25">
      <c r="A407" s="73" t="s">
        <v>23</v>
      </c>
      <c r="B407" s="83">
        <v>901808808</v>
      </c>
      <c r="C407" s="74" t="s">
        <v>140</v>
      </c>
      <c r="D407" s="83" t="s">
        <v>139</v>
      </c>
      <c r="E407" s="75" t="s">
        <v>394</v>
      </c>
      <c r="F407" s="76" t="s">
        <v>914</v>
      </c>
      <c r="G407" s="83">
        <v>284250</v>
      </c>
      <c r="H407" s="72">
        <v>45679</v>
      </c>
      <c r="I407" s="166">
        <v>64539826</v>
      </c>
      <c r="J407" s="166">
        <v>6453982.5999999996</v>
      </c>
      <c r="K407" s="166">
        <v>3783986.2700000005</v>
      </c>
      <c r="L407" s="166"/>
      <c r="M407" s="185">
        <v>0</v>
      </c>
      <c r="N407" s="166">
        <f t="shared" si="29"/>
        <v>54301857.129999995</v>
      </c>
      <c r="O407" s="36"/>
      <c r="P407" s="36"/>
    </row>
    <row r="408" spans="1:16" ht="135" x14ac:dyDescent="0.25">
      <c r="A408" s="73" t="s">
        <v>23</v>
      </c>
      <c r="B408" s="83">
        <v>813006542</v>
      </c>
      <c r="C408" s="74" t="s">
        <v>489</v>
      </c>
      <c r="D408" s="83" t="s">
        <v>488</v>
      </c>
      <c r="E408" s="75" t="s">
        <v>394</v>
      </c>
      <c r="F408" s="76" t="s">
        <v>915</v>
      </c>
      <c r="G408" s="83">
        <v>283924</v>
      </c>
      <c r="H408" s="72">
        <v>45678</v>
      </c>
      <c r="I408" s="166">
        <v>24907999</v>
      </c>
      <c r="J408" s="166">
        <v>2490799.9</v>
      </c>
      <c r="K408" s="166">
        <v>2616386.46</v>
      </c>
      <c r="L408" s="166"/>
      <c r="M408" s="185">
        <v>0</v>
      </c>
      <c r="N408" s="166">
        <f t="shared" si="29"/>
        <v>19800812.640000001</v>
      </c>
      <c r="O408" s="36">
        <v>19800812.640000001</v>
      </c>
      <c r="P408" s="36"/>
    </row>
    <row r="409" spans="1:16" ht="135" x14ac:dyDescent="0.25">
      <c r="A409" s="73" t="s">
        <v>23</v>
      </c>
      <c r="B409" s="83">
        <v>901839812</v>
      </c>
      <c r="C409" s="74" t="s">
        <v>461</v>
      </c>
      <c r="D409" s="83" t="s">
        <v>460</v>
      </c>
      <c r="E409" s="75" t="s">
        <v>394</v>
      </c>
      <c r="F409" s="76" t="s">
        <v>916</v>
      </c>
      <c r="G409" s="83">
        <v>284207</v>
      </c>
      <c r="H409" s="72">
        <v>45680</v>
      </c>
      <c r="I409" s="166">
        <v>16479999.99</v>
      </c>
      <c r="J409" s="166">
        <v>1648000</v>
      </c>
      <c r="K409" s="166">
        <v>991618.21</v>
      </c>
      <c r="L409" s="166"/>
      <c r="M409" s="185">
        <v>0</v>
      </c>
      <c r="N409" s="166">
        <f t="shared" si="29"/>
        <v>13840381.780000001</v>
      </c>
      <c r="O409" s="36"/>
      <c r="P409" s="36"/>
    </row>
    <row r="410" spans="1:16" ht="120" x14ac:dyDescent="0.25">
      <c r="A410" s="73" t="s">
        <v>381</v>
      </c>
      <c r="B410" s="83">
        <v>12754374</v>
      </c>
      <c r="C410" s="74" t="s">
        <v>269</v>
      </c>
      <c r="D410" s="83" t="s">
        <v>268</v>
      </c>
      <c r="E410" s="75" t="s">
        <v>394</v>
      </c>
      <c r="F410" s="76" t="s">
        <v>917</v>
      </c>
      <c r="G410" s="83">
        <v>284211</v>
      </c>
      <c r="H410" s="72">
        <v>45680</v>
      </c>
      <c r="I410" s="166">
        <v>36130385.799999997</v>
      </c>
      <c r="J410" s="166">
        <v>3613038.58</v>
      </c>
      <c r="K410" s="166">
        <v>3764846.91</v>
      </c>
      <c r="L410" s="166"/>
      <c r="M410" s="185">
        <v>0</v>
      </c>
      <c r="N410" s="166">
        <f t="shared" si="29"/>
        <v>28752500.309999999</v>
      </c>
      <c r="O410" s="36"/>
      <c r="P410" s="36"/>
    </row>
    <row r="411" spans="1:16" ht="135" x14ac:dyDescent="0.25">
      <c r="A411" s="73" t="s">
        <v>381</v>
      </c>
      <c r="B411" s="83">
        <v>12754374</v>
      </c>
      <c r="C411" s="74" t="s">
        <v>269</v>
      </c>
      <c r="D411" s="83" t="s">
        <v>268</v>
      </c>
      <c r="E411" s="75" t="s">
        <v>394</v>
      </c>
      <c r="F411" s="76" t="s">
        <v>918</v>
      </c>
      <c r="G411" s="83">
        <v>283928</v>
      </c>
      <c r="H411" s="72">
        <v>45678</v>
      </c>
      <c r="I411" s="166">
        <v>194790843.48999998</v>
      </c>
      <c r="J411" s="166">
        <v>19479084.350000001</v>
      </c>
      <c r="K411" s="166">
        <v>16135195.479999999</v>
      </c>
      <c r="L411" s="166"/>
      <c r="M411" s="185">
        <v>0</v>
      </c>
      <c r="N411" s="166">
        <f t="shared" si="29"/>
        <v>159176563.66</v>
      </c>
      <c r="O411" s="36">
        <v>159176563.66</v>
      </c>
      <c r="P411" s="36"/>
    </row>
    <row r="412" spans="1:16" ht="135" x14ac:dyDescent="0.25">
      <c r="A412" s="73" t="s">
        <v>23</v>
      </c>
      <c r="B412" s="83">
        <v>901808735</v>
      </c>
      <c r="C412" s="74" t="s">
        <v>272</v>
      </c>
      <c r="D412" s="83" t="s">
        <v>271</v>
      </c>
      <c r="E412" s="75" t="s">
        <v>394</v>
      </c>
      <c r="F412" s="76" t="s">
        <v>919</v>
      </c>
      <c r="G412" s="83">
        <v>283930</v>
      </c>
      <c r="H412" s="72">
        <v>45678</v>
      </c>
      <c r="I412" s="166">
        <v>15249887.699999999</v>
      </c>
      <c r="J412" s="166">
        <v>1524988.77</v>
      </c>
      <c r="K412" s="166">
        <v>948312.35000000009</v>
      </c>
      <c r="L412" s="166"/>
      <c r="M412" s="185">
        <v>0</v>
      </c>
      <c r="N412" s="166">
        <f t="shared" si="29"/>
        <v>12776586.58</v>
      </c>
      <c r="O412" s="36">
        <v>12776586.58</v>
      </c>
      <c r="P412" s="36"/>
    </row>
    <row r="413" spans="1:16" ht="150" x14ac:dyDescent="0.25">
      <c r="A413" s="73" t="s">
        <v>23</v>
      </c>
      <c r="B413" s="83">
        <v>901808735</v>
      </c>
      <c r="C413" s="74" t="s">
        <v>272</v>
      </c>
      <c r="D413" s="83" t="s">
        <v>271</v>
      </c>
      <c r="E413" s="75" t="s">
        <v>394</v>
      </c>
      <c r="F413" s="76" t="s">
        <v>920</v>
      </c>
      <c r="G413" s="83">
        <v>284215</v>
      </c>
      <c r="H413" s="72">
        <v>45679</v>
      </c>
      <c r="I413" s="166">
        <v>34500113.789999999</v>
      </c>
      <c r="J413" s="166">
        <v>3450011.38</v>
      </c>
      <c r="K413" s="166">
        <v>2126974.12</v>
      </c>
      <c r="L413" s="166"/>
      <c r="M413" s="185">
        <v>0</v>
      </c>
      <c r="N413" s="166">
        <f t="shared" si="29"/>
        <v>28923128.289999999</v>
      </c>
      <c r="O413" s="36"/>
      <c r="P413" s="36"/>
    </row>
    <row r="414" spans="1:16" ht="135" x14ac:dyDescent="0.25">
      <c r="A414" s="73" t="s">
        <v>23</v>
      </c>
      <c r="B414" s="83">
        <v>901871898</v>
      </c>
      <c r="C414" s="74" t="s">
        <v>614</v>
      </c>
      <c r="D414" s="83" t="s">
        <v>613</v>
      </c>
      <c r="E414" s="75" t="s">
        <v>394</v>
      </c>
      <c r="F414" s="76" t="s">
        <v>921</v>
      </c>
      <c r="G414" s="83">
        <v>284697</v>
      </c>
      <c r="H414" s="72">
        <v>45686</v>
      </c>
      <c r="I414" s="166">
        <v>131614235.09999999</v>
      </c>
      <c r="J414" s="166">
        <v>13161423.51</v>
      </c>
      <c r="K414" s="166">
        <v>8207419.4799999995</v>
      </c>
      <c r="L414" s="166"/>
      <c r="M414" s="185">
        <v>0</v>
      </c>
      <c r="N414" s="166">
        <f t="shared" si="29"/>
        <v>110245392.10999998</v>
      </c>
      <c r="O414" s="36"/>
      <c r="P414" s="36"/>
    </row>
    <row r="415" spans="1:16" ht="135" x14ac:dyDescent="0.25">
      <c r="A415" s="73" t="s">
        <v>23</v>
      </c>
      <c r="B415" s="83">
        <v>901871560</v>
      </c>
      <c r="C415" s="74" t="s">
        <v>616</v>
      </c>
      <c r="D415" s="83" t="s">
        <v>615</v>
      </c>
      <c r="E415" s="75" t="s">
        <v>394</v>
      </c>
      <c r="F415" s="76" t="s">
        <v>922</v>
      </c>
      <c r="G415" s="83">
        <v>284699</v>
      </c>
      <c r="H415" s="72">
        <v>45686</v>
      </c>
      <c r="I415" s="166">
        <v>313626687.22000003</v>
      </c>
      <c r="J415" s="166">
        <v>31362668.719999999</v>
      </c>
      <c r="K415" s="166">
        <v>32581837.050000001</v>
      </c>
      <c r="L415" s="166"/>
      <c r="M415" s="185">
        <v>0</v>
      </c>
      <c r="N415" s="166">
        <f t="shared" si="29"/>
        <v>249682181.44999999</v>
      </c>
      <c r="O415" s="36"/>
      <c r="P415" s="36"/>
    </row>
    <row r="416" spans="1:16" ht="135" x14ac:dyDescent="0.25">
      <c r="A416" s="73" t="s">
        <v>23</v>
      </c>
      <c r="B416" s="83">
        <v>901820483</v>
      </c>
      <c r="C416" s="74" t="s">
        <v>406</v>
      </c>
      <c r="D416" s="83" t="s">
        <v>405</v>
      </c>
      <c r="E416" s="75" t="s">
        <v>394</v>
      </c>
      <c r="F416" s="76" t="s">
        <v>923</v>
      </c>
      <c r="G416" s="83">
        <v>284373</v>
      </c>
      <c r="H416" s="72">
        <v>45685</v>
      </c>
      <c r="I416" s="166">
        <v>18620702.109999999</v>
      </c>
      <c r="J416" s="166">
        <v>1862070.21</v>
      </c>
      <c r="K416" s="166">
        <v>1096637.3</v>
      </c>
      <c r="L416" s="166"/>
      <c r="M416" s="185">
        <v>0</v>
      </c>
      <c r="N416" s="166">
        <f t="shared" si="29"/>
        <v>15661994.599999998</v>
      </c>
      <c r="O416" s="36"/>
      <c r="P416" s="36"/>
    </row>
    <row r="417" spans="1:16" ht="30" x14ac:dyDescent="0.25">
      <c r="A417" s="73" t="s">
        <v>23</v>
      </c>
      <c r="B417" s="83">
        <v>890702040</v>
      </c>
      <c r="C417" s="74" t="s">
        <v>656</v>
      </c>
      <c r="D417" s="83" t="s">
        <v>60</v>
      </c>
      <c r="E417" s="75" t="s">
        <v>378</v>
      </c>
      <c r="F417" s="76" t="s">
        <v>888</v>
      </c>
      <c r="G417" s="83" t="s">
        <v>60</v>
      </c>
      <c r="H417" s="72">
        <v>45660</v>
      </c>
      <c r="I417" s="166">
        <v>184520.4</v>
      </c>
      <c r="J417" s="166"/>
      <c r="K417" s="166">
        <v>0</v>
      </c>
      <c r="L417" s="166"/>
      <c r="M417" s="185">
        <v>479.6</v>
      </c>
      <c r="N417" s="166">
        <f t="shared" ref="N417:N480" si="30">+I417+M417</f>
        <v>185000</v>
      </c>
      <c r="O417" s="36"/>
      <c r="P417" s="36"/>
    </row>
    <row r="418" spans="1:16" x14ac:dyDescent="0.25">
      <c r="A418" s="73" t="s">
        <v>23</v>
      </c>
      <c r="B418" s="83">
        <v>891480022</v>
      </c>
      <c r="C418" s="74" t="s">
        <v>892</v>
      </c>
      <c r="D418" s="83" t="s">
        <v>60</v>
      </c>
      <c r="E418" s="75" t="s">
        <v>378</v>
      </c>
      <c r="F418" s="76" t="s">
        <v>888</v>
      </c>
      <c r="G418" s="83" t="s">
        <v>60</v>
      </c>
      <c r="H418" s="72">
        <v>45660</v>
      </c>
      <c r="I418" s="166">
        <v>193213.81</v>
      </c>
      <c r="J418" s="166"/>
      <c r="K418" s="166">
        <v>0</v>
      </c>
      <c r="L418" s="166"/>
      <c r="M418" s="185">
        <v>-213.81</v>
      </c>
      <c r="N418" s="166">
        <f t="shared" si="30"/>
        <v>193000</v>
      </c>
      <c r="O418" s="36"/>
      <c r="P418" s="36"/>
    </row>
    <row r="419" spans="1:16" ht="30" x14ac:dyDescent="0.25">
      <c r="A419" s="73" t="s">
        <v>23</v>
      </c>
      <c r="B419" s="83">
        <v>800096558</v>
      </c>
      <c r="C419" s="74" t="s">
        <v>701</v>
      </c>
      <c r="D419" s="83" t="s">
        <v>60</v>
      </c>
      <c r="E419" s="75" t="s">
        <v>378</v>
      </c>
      <c r="F419" s="76" t="s">
        <v>888</v>
      </c>
      <c r="G419" s="83" t="s">
        <v>60</v>
      </c>
      <c r="H419" s="72">
        <v>45660</v>
      </c>
      <c r="I419" s="166">
        <v>1350671.13</v>
      </c>
      <c r="J419" s="166"/>
      <c r="K419" s="166">
        <v>0</v>
      </c>
      <c r="L419" s="166"/>
      <c r="M419" s="185">
        <v>328.87</v>
      </c>
      <c r="N419" s="166">
        <f t="shared" si="30"/>
        <v>1351000</v>
      </c>
      <c r="O419" s="36"/>
      <c r="P419" s="36"/>
    </row>
    <row r="420" spans="1:16" ht="30" x14ac:dyDescent="0.25">
      <c r="A420" s="73" t="s">
        <v>23</v>
      </c>
      <c r="B420" s="83">
        <v>892301761</v>
      </c>
      <c r="C420" s="74" t="s">
        <v>805</v>
      </c>
      <c r="D420" s="83" t="s">
        <v>60</v>
      </c>
      <c r="E420" s="75" t="s">
        <v>378</v>
      </c>
      <c r="F420" s="76" t="s">
        <v>888</v>
      </c>
      <c r="G420" s="83" t="s">
        <v>60</v>
      </c>
      <c r="H420" s="72">
        <v>45664</v>
      </c>
      <c r="I420" s="166">
        <v>2595289.9700000002</v>
      </c>
      <c r="J420" s="166"/>
      <c r="K420" s="166">
        <v>0</v>
      </c>
      <c r="L420" s="166"/>
      <c r="M420" s="185">
        <v>-289.97000000000003</v>
      </c>
      <c r="N420" s="166">
        <f t="shared" si="30"/>
        <v>2595000</v>
      </c>
      <c r="O420" s="36"/>
      <c r="P420" s="36"/>
    </row>
    <row r="421" spans="1:16" x14ac:dyDescent="0.25">
      <c r="A421" s="73" t="s">
        <v>23</v>
      </c>
      <c r="B421" s="83">
        <v>800138959</v>
      </c>
      <c r="C421" s="74" t="s">
        <v>700</v>
      </c>
      <c r="D421" s="83" t="s">
        <v>60</v>
      </c>
      <c r="E421" s="75" t="s">
        <v>378</v>
      </c>
      <c r="F421" s="76" t="s">
        <v>888</v>
      </c>
      <c r="G421" s="83" t="s">
        <v>60</v>
      </c>
      <c r="H421" s="72">
        <v>45664</v>
      </c>
      <c r="I421" s="166">
        <v>2618004.98</v>
      </c>
      <c r="J421" s="166"/>
      <c r="K421" s="166">
        <v>0</v>
      </c>
      <c r="L421" s="166"/>
      <c r="M421" s="185">
        <v>-4.9800000000000004</v>
      </c>
      <c r="N421" s="166">
        <f t="shared" si="30"/>
        <v>2618000</v>
      </c>
      <c r="O421" s="36"/>
      <c r="P421" s="36"/>
    </row>
    <row r="422" spans="1:16" x14ac:dyDescent="0.25">
      <c r="A422" s="73" t="s">
        <v>23</v>
      </c>
      <c r="B422" s="83">
        <v>800138959</v>
      </c>
      <c r="C422" s="74" t="s">
        <v>700</v>
      </c>
      <c r="D422" s="83" t="s">
        <v>60</v>
      </c>
      <c r="E422" s="75" t="s">
        <v>378</v>
      </c>
      <c r="F422" s="76" t="s">
        <v>924</v>
      </c>
      <c r="G422" s="83" t="s">
        <v>60</v>
      </c>
      <c r="H422" s="72">
        <v>45664</v>
      </c>
      <c r="I422" s="166">
        <v>392700.74</v>
      </c>
      <c r="J422" s="166"/>
      <c r="K422" s="166">
        <v>0</v>
      </c>
      <c r="L422" s="166"/>
      <c r="M422" s="185">
        <v>299.26</v>
      </c>
      <c r="N422" s="166">
        <f t="shared" si="30"/>
        <v>393000</v>
      </c>
      <c r="O422" s="36"/>
      <c r="P422" s="36"/>
    </row>
    <row r="423" spans="1:16" x14ac:dyDescent="0.25">
      <c r="A423" s="73" t="s">
        <v>23</v>
      </c>
      <c r="B423" s="83">
        <v>800138959</v>
      </c>
      <c r="C423" s="74" t="s">
        <v>700</v>
      </c>
      <c r="D423" s="83" t="s">
        <v>60</v>
      </c>
      <c r="E423" s="75" t="s">
        <v>378</v>
      </c>
      <c r="F423" s="76" t="s">
        <v>802</v>
      </c>
      <c r="G423" s="83" t="s">
        <v>60</v>
      </c>
      <c r="H423" s="72">
        <v>45664</v>
      </c>
      <c r="I423" s="166">
        <v>130900.25</v>
      </c>
      <c r="J423" s="166"/>
      <c r="K423" s="166">
        <v>0</v>
      </c>
      <c r="L423" s="166"/>
      <c r="M423" s="185">
        <v>99.75</v>
      </c>
      <c r="N423" s="166">
        <f t="shared" si="30"/>
        <v>131000</v>
      </c>
      <c r="O423" s="36"/>
      <c r="P423" s="36"/>
    </row>
    <row r="424" spans="1:16" ht="30" x14ac:dyDescent="0.25">
      <c r="A424" s="73" t="s">
        <v>23</v>
      </c>
      <c r="B424" s="83">
        <v>890983814</v>
      </c>
      <c r="C424" s="74" t="s">
        <v>658</v>
      </c>
      <c r="D424" s="83" t="s">
        <v>60</v>
      </c>
      <c r="E424" s="75" t="s">
        <v>378</v>
      </c>
      <c r="F424" s="76" t="s">
        <v>888</v>
      </c>
      <c r="G424" s="83" t="s">
        <v>60</v>
      </c>
      <c r="H424" s="72">
        <v>45665</v>
      </c>
      <c r="I424" s="166">
        <v>46081.56</v>
      </c>
      <c r="J424" s="166"/>
      <c r="K424" s="166">
        <v>0</v>
      </c>
      <c r="L424" s="166"/>
      <c r="M424" s="185">
        <v>-81.56</v>
      </c>
      <c r="N424" s="166">
        <f t="shared" si="30"/>
        <v>46000</v>
      </c>
      <c r="O424" s="36"/>
      <c r="P424" s="36"/>
    </row>
    <row r="425" spans="1:16" x14ac:dyDescent="0.25">
      <c r="A425" s="73" t="s">
        <v>23</v>
      </c>
      <c r="B425" s="83">
        <v>890801141</v>
      </c>
      <c r="C425" s="74" t="s">
        <v>750</v>
      </c>
      <c r="D425" s="83" t="s">
        <v>60</v>
      </c>
      <c r="E425" s="75" t="s">
        <v>378</v>
      </c>
      <c r="F425" s="76" t="s">
        <v>888</v>
      </c>
      <c r="G425" s="83" t="s">
        <v>60</v>
      </c>
      <c r="H425" s="72">
        <v>45665</v>
      </c>
      <c r="I425" s="166">
        <v>972938.98</v>
      </c>
      <c r="J425" s="166"/>
      <c r="K425" s="166">
        <v>0</v>
      </c>
      <c r="L425" s="166"/>
      <c r="M425" s="185">
        <v>61.02</v>
      </c>
      <c r="N425" s="166">
        <f t="shared" si="30"/>
        <v>973000</v>
      </c>
      <c r="O425" s="36"/>
      <c r="P425" s="36"/>
    </row>
    <row r="426" spans="1:16" x14ac:dyDescent="0.25">
      <c r="A426" s="73" t="s">
        <v>23</v>
      </c>
      <c r="B426" s="83">
        <v>891102764</v>
      </c>
      <c r="C426" s="74" t="s">
        <v>750</v>
      </c>
      <c r="D426" s="83" t="s">
        <v>60</v>
      </c>
      <c r="E426" s="75" t="s">
        <v>378</v>
      </c>
      <c r="F426" s="76" t="s">
        <v>888</v>
      </c>
      <c r="G426" s="83" t="s">
        <v>60</v>
      </c>
      <c r="H426" s="72">
        <v>45665</v>
      </c>
      <c r="I426" s="166">
        <v>41512.82</v>
      </c>
      <c r="J426" s="166"/>
      <c r="K426" s="166">
        <v>0</v>
      </c>
      <c r="L426" s="166"/>
      <c r="M426" s="185">
        <v>487.18</v>
      </c>
      <c r="N426" s="166">
        <f t="shared" si="30"/>
        <v>42000</v>
      </c>
      <c r="O426" s="36"/>
      <c r="P426" s="36"/>
    </row>
    <row r="427" spans="1:16" ht="30" x14ac:dyDescent="0.25">
      <c r="A427" s="73" t="s">
        <v>23</v>
      </c>
      <c r="B427" s="83">
        <v>891180205</v>
      </c>
      <c r="C427" s="74" t="s">
        <v>751</v>
      </c>
      <c r="D427" s="83" t="s">
        <v>60</v>
      </c>
      <c r="E427" s="75" t="s">
        <v>378</v>
      </c>
      <c r="F427" s="76" t="s">
        <v>888</v>
      </c>
      <c r="G427" s="83" t="s">
        <v>60</v>
      </c>
      <c r="H427" s="72">
        <v>45665</v>
      </c>
      <c r="I427" s="166">
        <v>476851.84</v>
      </c>
      <c r="J427" s="166"/>
      <c r="K427" s="166">
        <v>0</v>
      </c>
      <c r="L427" s="166"/>
      <c r="M427" s="185">
        <v>148.16</v>
      </c>
      <c r="N427" s="166">
        <f t="shared" si="30"/>
        <v>477000</v>
      </c>
      <c r="O427" s="36"/>
      <c r="P427" s="36"/>
    </row>
    <row r="428" spans="1:16" ht="30" x14ac:dyDescent="0.25">
      <c r="A428" s="73" t="s">
        <v>23</v>
      </c>
      <c r="B428" s="83">
        <v>892115155</v>
      </c>
      <c r="C428" s="74" t="s">
        <v>667</v>
      </c>
      <c r="D428" s="83" t="s">
        <v>60</v>
      </c>
      <c r="E428" s="75" t="s">
        <v>378</v>
      </c>
      <c r="F428" s="76" t="s">
        <v>888</v>
      </c>
      <c r="G428" s="83" t="s">
        <v>60</v>
      </c>
      <c r="H428" s="72">
        <v>45665</v>
      </c>
      <c r="I428" s="166">
        <v>6022627.6200000001</v>
      </c>
      <c r="J428" s="166"/>
      <c r="K428" s="166">
        <v>0</v>
      </c>
      <c r="L428" s="166"/>
      <c r="M428" s="185">
        <v>372.38</v>
      </c>
      <c r="N428" s="166">
        <f t="shared" si="30"/>
        <v>6023000</v>
      </c>
      <c r="O428" s="36"/>
      <c r="P428" s="36"/>
    </row>
    <row r="429" spans="1:16" x14ac:dyDescent="0.25">
      <c r="A429" s="73" t="s">
        <v>23</v>
      </c>
      <c r="B429" s="83">
        <v>891780041</v>
      </c>
      <c r="C429" s="74" t="s">
        <v>754</v>
      </c>
      <c r="D429" s="83" t="s">
        <v>60</v>
      </c>
      <c r="E429" s="75" t="s">
        <v>378</v>
      </c>
      <c r="F429" s="76" t="s">
        <v>888</v>
      </c>
      <c r="G429" s="83" t="s">
        <v>60</v>
      </c>
      <c r="H429" s="72">
        <v>45665</v>
      </c>
      <c r="I429" s="166">
        <v>1830649.05</v>
      </c>
      <c r="J429" s="166"/>
      <c r="K429" s="166">
        <v>0</v>
      </c>
      <c r="L429" s="166"/>
      <c r="M429" s="185">
        <v>350.95</v>
      </c>
      <c r="N429" s="166">
        <f t="shared" si="30"/>
        <v>1831000</v>
      </c>
      <c r="O429" s="36"/>
      <c r="P429" s="36"/>
    </row>
    <row r="430" spans="1:16" x14ac:dyDescent="0.25">
      <c r="A430" s="73" t="s">
        <v>23</v>
      </c>
      <c r="B430" s="83">
        <v>891780041</v>
      </c>
      <c r="C430" s="74" t="s">
        <v>754</v>
      </c>
      <c r="D430" s="83" t="s">
        <v>60</v>
      </c>
      <c r="E430" s="75" t="s">
        <v>378</v>
      </c>
      <c r="F430" s="76" t="s">
        <v>924</v>
      </c>
      <c r="G430" s="83" t="s">
        <v>60</v>
      </c>
      <c r="H430" s="72">
        <v>45665</v>
      </c>
      <c r="I430" s="166">
        <v>274597.34999999998</v>
      </c>
      <c r="J430" s="166"/>
      <c r="K430" s="166">
        <v>0</v>
      </c>
      <c r="L430" s="166"/>
      <c r="M430" s="185">
        <v>402.65</v>
      </c>
      <c r="N430" s="166">
        <f t="shared" si="30"/>
        <v>275000</v>
      </c>
      <c r="O430" s="36"/>
      <c r="P430" s="36"/>
    </row>
    <row r="431" spans="1:16" x14ac:dyDescent="0.25">
      <c r="A431" s="73" t="s">
        <v>23</v>
      </c>
      <c r="B431" s="83">
        <v>891780041</v>
      </c>
      <c r="C431" s="74" t="s">
        <v>754</v>
      </c>
      <c r="D431" s="83" t="s">
        <v>60</v>
      </c>
      <c r="E431" s="75" t="s">
        <v>378</v>
      </c>
      <c r="F431" s="76" t="s">
        <v>802</v>
      </c>
      <c r="G431" s="83" t="s">
        <v>60</v>
      </c>
      <c r="H431" s="72">
        <v>45665</v>
      </c>
      <c r="I431" s="166">
        <v>128145.44</v>
      </c>
      <c r="J431" s="166"/>
      <c r="K431" s="166">
        <v>0</v>
      </c>
      <c r="L431" s="166"/>
      <c r="M431" s="185">
        <v>-145.44</v>
      </c>
      <c r="N431" s="166">
        <f t="shared" si="30"/>
        <v>128000</v>
      </c>
      <c r="O431" s="36"/>
      <c r="P431" s="36"/>
    </row>
    <row r="432" spans="1:16" x14ac:dyDescent="0.25">
      <c r="A432" s="73" t="s">
        <v>23</v>
      </c>
      <c r="B432" s="83">
        <v>800096580</v>
      </c>
      <c r="C432" s="74" t="s">
        <v>545</v>
      </c>
      <c r="D432" s="83" t="s">
        <v>60</v>
      </c>
      <c r="E432" s="75" t="s">
        <v>378</v>
      </c>
      <c r="F432" s="76" t="s">
        <v>888</v>
      </c>
      <c r="G432" s="83" t="s">
        <v>60</v>
      </c>
      <c r="H432" s="72">
        <v>45665</v>
      </c>
      <c r="I432" s="166">
        <v>5888278.1100000003</v>
      </c>
      <c r="J432" s="166"/>
      <c r="K432" s="166">
        <v>0</v>
      </c>
      <c r="L432" s="166"/>
      <c r="M432" s="185">
        <v>-278.11</v>
      </c>
      <c r="N432" s="166">
        <f t="shared" si="30"/>
        <v>5888000</v>
      </c>
      <c r="O432" s="36"/>
      <c r="P432" s="36"/>
    </row>
    <row r="433" spans="1:16" x14ac:dyDescent="0.25">
      <c r="A433" s="73" t="s">
        <v>23</v>
      </c>
      <c r="B433" s="83">
        <v>892200058</v>
      </c>
      <c r="C433" s="74" t="s">
        <v>893</v>
      </c>
      <c r="D433" s="83" t="s">
        <v>60</v>
      </c>
      <c r="E433" s="75" t="s">
        <v>378</v>
      </c>
      <c r="F433" s="76" t="s">
        <v>888</v>
      </c>
      <c r="G433" s="83" t="s">
        <v>60</v>
      </c>
      <c r="H433" s="72">
        <v>45665</v>
      </c>
      <c r="I433" s="166">
        <v>944839.21</v>
      </c>
      <c r="J433" s="166"/>
      <c r="K433" s="166">
        <v>0</v>
      </c>
      <c r="L433" s="166"/>
      <c r="M433" s="185">
        <v>160.79</v>
      </c>
      <c r="N433" s="166">
        <f t="shared" si="30"/>
        <v>945000</v>
      </c>
      <c r="O433" s="36"/>
      <c r="P433" s="36"/>
    </row>
    <row r="434" spans="1:16" x14ac:dyDescent="0.25">
      <c r="A434" s="73" t="s">
        <v>23</v>
      </c>
      <c r="B434" s="83">
        <v>800102801</v>
      </c>
      <c r="C434" s="74" t="s">
        <v>551</v>
      </c>
      <c r="D434" s="83" t="s">
        <v>60</v>
      </c>
      <c r="E434" s="75" t="s">
        <v>378</v>
      </c>
      <c r="F434" s="76" t="s">
        <v>888</v>
      </c>
      <c r="G434" s="83" t="s">
        <v>60</v>
      </c>
      <c r="H434" s="72">
        <v>45665</v>
      </c>
      <c r="I434" s="166">
        <v>2446843.9900000002</v>
      </c>
      <c r="J434" s="166"/>
      <c r="K434" s="166">
        <v>0</v>
      </c>
      <c r="L434" s="166"/>
      <c r="M434" s="185">
        <v>156.01</v>
      </c>
      <c r="N434" s="166">
        <f t="shared" si="30"/>
        <v>2447000</v>
      </c>
      <c r="O434" s="36"/>
      <c r="P434" s="36"/>
    </row>
    <row r="435" spans="1:16" x14ac:dyDescent="0.25">
      <c r="A435" s="73" t="s">
        <v>23</v>
      </c>
      <c r="B435" s="83">
        <v>800099317</v>
      </c>
      <c r="C435" s="74" t="s">
        <v>850</v>
      </c>
      <c r="D435" s="83" t="s">
        <v>60</v>
      </c>
      <c r="E435" s="75" t="s">
        <v>378</v>
      </c>
      <c r="F435" s="76" t="s">
        <v>888</v>
      </c>
      <c r="G435" s="83" t="s">
        <v>60</v>
      </c>
      <c r="H435" s="72">
        <v>45665</v>
      </c>
      <c r="I435" s="166">
        <v>2801182.75</v>
      </c>
      <c r="J435" s="166"/>
      <c r="K435" s="166">
        <v>0</v>
      </c>
      <c r="L435" s="166"/>
      <c r="M435" s="185">
        <v>-182.75</v>
      </c>
      <c r="N435" s="166">
        <f t="shared" si="30"/>
        <v>2801000</v>
      </c>
      <c r="O435" s="36"/>
      <c r="P435" s="36"/>
    </row>
    <row r="436" spans="1:16" ht="30" x14ac:dyDescent="0.25">
      <c r="A436" s="73" t="s">
        <v>23</v>
      </c>
      <c r="B436" s="83">
        <v>891480031</v>
      </c>
      <c r="C436" s="74" t="s">
        <v>894</v>
      </c>
      <c r="D436" s="83" t="s">
        <v>60</v>
      </c>
      <c r="E436" s="75" t="s">
        <v>378</v>
      </c>
      <c r="F436" s="76" t="s">
        <v>888</v>
      </c>
      <c r="G436" s="83" t="s">
        <v>60</v>
      </c>
      <c r="H436" s="72">
        <v>45665</v>
      </c>
      <c r="I436" s="166">
        <v>3675395.49</v>
      </c>
      <c r="J436" s="166"/>
      <c r="K436" s="166">
        <v>0</v>
      </c>
      <c r="L436" s="166"/>
      <c r="M436" s="185">
        <v>-395.49</v>
      </c>
      <c r="N436" s="166">
        <f t="shared" si="30"/>
        <v>3675000</v>
      </c>
      <c r="O436" s="36"/>
      <c r="P436" s="36"/>
    </row>
    <row r="437" spans="1:16" ht="30" x14ac:dyDescent="0.25">
      <c r="A437" s="73" t="s">
        <v>23</v>
      </c>
      <c r="B437" s="83">
        <v>800026685</v>
      </c>
      <c r="C437" s="74" t="s">
        <v>661</v>
      </c>
      <c r="D437" s="83" t="s">
        <v>60</v>
      </c>
      <c r="E437" s="75" t="s">
        <v>378</v>
      </c>
      <c r="F437" s="76" t="s">
        <v>888</v>
      </c>
      <c r="G437" s="83" t="s">
        <v>60</v>
      </c>
      <c r="H437" s="72">
        <v>45665</v>
      </c>
      <c r="I437" s="166">
        <v>1545517.13</v>
      </c>
      <c r="J437" s="166"/>
      <c r="K437" s="166">
        <v>0</v>
      </c>
      <c r="L437" s="166"/>
      <c r="M437" s="185">
        <v>-517.13</v>
      </c>
      <c r="N437" s="166">
        <f t="shared" si="30"/>
        <v>1545000</v>
      </c>
      <c r="O437" s="36"/>
      <c r="P437" s="36"/>
    </row>
    <row r="438" spans="1:16" ht="30" x14ac:dyDescent="0.25">
      <c r="A438" s="73" t="s">
        <v>23</v>
      </c>
      <c r="B438" s="83">
        <v>800108683</v>
      </c>
      <c r="C438" s="74" t="s">
        <v>668</v>
      </c>
      <c r="D438" s="83" t="s">
        <v>60</v>
      </c>
      <c r="E438" s="75" t="s">
        <v>378</v>
      </c>
      <c r="F438" s="76" t="s">
        <v>888</v>
      </c>
      <c r="G438" s="83" t="s">
        <v>60</v>
      </c>
      <c r="H438" s="72">
        <v>45666</v>
      </c>
      <c r="I438" s="166">
        <v>4341654.72</v>
      </c>
      <c r="J438" s="166"/>
      <c r="K438" s="166">
        <v>0</v>
      </c>
      <c r="L438" s="166"/>
      <c r="M438" s="185">
        <v>345.28</v>
      </c>
      <c r="N438" s="166">
        <f t="shared" si="30"/>
        <v>4342000</v>
      </c>
      <c r="O438" s="36"/>
      <c r="P438" s="36"/>
    </row>
    <row r="439" spans="1:16" ht="30" x14ac:dyDescent="0.25">
      <c r="A439" s="73" t="s">
        <v>23</v>
      </c>
      <c r="B439" s="83">
        <v>899999090</v>
      </c>
      <c r="C439" s="74" t="s">
        <v>450</v>
      </c>
      <c r="D439" s="83" t="s">
        <v>60</v>
      </c>
      <c r="E439" s="75" t="s">
        <v>378</v>
      </c>
      <c r="F439" s="76" t="s">
        <v>925</v>
      </c>
      <c r="G439" s="83" t="s">
        <v>60</v>
      </c>
      <c r="H439" s="72">
        <v>45666</v>
      </c>
      <c r="I439" s="166">
        <v>377936054.48000002</v>
      </c>
      <c r="J439" s="166"/>
      <c r="K439" s="166">
        <v>0</v>
      </c>
      <c r="L439" s="166"/>
      <c r="M439" s="185">
        <v>-54.48</v>
      </c>
      <c r="N439" s="166">
        <f t="shared" si="30"/>
        <v>377936000</v>
      </c>
      <c r="O439" s="36"/>
      <c r="P439" s="36"/>
    </row>
    <row r="440" spans="1:16" ht="30" x14ac:dyDescent="0.25">
      <c r="A440" s="73" t="s">
        <v>23</v>
      </c>
      <c r="B440" s="83">
        <v>899999090</v>
      </c>
      <c r="C440" s="74" t="s">
        <v>450</v>
      </c>
      <c r="D440" s="83" t="s">
        <v>60</v>
      </c>
      <c r="E440" s="75" t="s">
        <v>378</v>
      </c>
      <c r="F440" s="76" t="s">
        <v>926</v>
      </c>
      <c r="G440" s="83" t="s">
        <v>60</v>
      </c>
      <c r="H440" s="72">
        <v>45666</v>
      </c>
      <c r="I440" s="166">
        <v>581735020.60000002</v>
      </c>
      <c r="J440" s="166"/>
      <c r="K440" s="166">
        <v>0</v>
      </c>
      <c r="L440" s="166"/>
      <c r="M440" s="185">
        <v>-20.6</v>
      </c>
      <c r="N440" s="166">
        <f t="shared" si="30"/>
        <v>581735000</v>
      </c>
      <c r="O440" s="36"/>
      <c r="P440" s="36"/>
    </row>
    <row r="441" spans="1:16" ht="30" x14ac:dyDescent="0.25">
      <c r="A441" s="73" t="s">
        <v>23</v>
      </c>
      <c r="B441" s="83">
        <v>800070682</v>
      </c>
      <c r="C441" s="74" t="s">
        <v>748</v>
      </c>
      <c r="D441" s="83" t="s">
        <v>60</v>
      </c>
      <c r="E441" s="75" t="s">
        <v>378</v>
      </c>
      <c r="F441" s="76" t="s">
        <v>888</v>
      </c>
      <c r="G441" s="83" t="s">
        <v>60</v>
      </c>
      <c r="H441" s="72">
        <v>45667</v>
      </c>
      <c r="I441" s="166">
        <v>11707136.33</v>
      </c>
      <c r="J441" s="166"/>
      <c r="K441" s="166">
        <v>0</v>
      </c>
      <c r="L441" s="166"/>
      <c r="M441" s="185">
        <v>-136.33000000000001</v>
      </c>
      <c r="N441" s="166">
        <f t="shared" si="30"/>
        <v>11707000</v>
      </c>
      <c r="O441" s="36"/>
      <c r="P441" s="36"/>
    </row>
    <row r="442" spans="1:16" ht="30" x14ac:dyDescent="0.25">
      <c r="A442" s="73" t="s">
        <v>23</v>
      </c>
      <c r="B442" s="83">
        <v>800070682</v>
      </c>
      <c r="C442" s="74" t="s">
        <v>748</v>
      </c>
      <c r="D442" s="83" t="s">
        <v>60</v>
      </c>
      <c r="E442" s="75" t="s">
        <v>378</v>
      </c>
      <c r="F442" s="76" t="s">
        <v>924</v>
      </c>
      <c r="G442" s="83" t="s">
        <v>60</v>
      </c>
      <c r="H442" s="72">
        <v>45667</v>
      </c>
      <c r="I442" s="166">
        <v>1756070.45</v>
      </c>
      <c r="J442" s="166"/>
      <c r="K442" s="166">
        <v>0</v>
      </c>
      <c r="L442" s="166"/>
      <c r="M442" s="185">
        <v>-70.45</v>
      </c>
      <c r="N442" s="166">
        <f t="shared" si="30"/>
        <v>1756000</v>
      </c>
      <c r="O442" s="36"/>
      <c r="P442" s="36"/>
    </row>
    <row r="443" spans="1:16" ht="30" x14ac:dyDescent="0.25">
      <c r="A443" s="73" t="s">
        <v>23</v>
      </c>
      <c r="B443" s="83">
        <v>800070682</v>
      </c>
      <c r="C443" s="74" t="s">
        <v>748</v>
      </c>
      <c r="D443" s="83" t="s">
        <v>60</v>
      </c>
      <c r="E443" s="75" t="s">
        <v>378</v>
      </c>
      <c r="F443" s="76" t="s">
        <v>802</v>
      </c>
      <c r="G443" s="83" t="s">
        <v>60</v>
      </c>
      <c r="H443" s="72">
        <v>45667</v>
      </c>
      <c r="I443" s="166">
        <v>585356.81999999995</v>
      </c>
      <c r="J443" s="166"/>
      <c r="K443" s="166">
        <v>0</v>
      </c>
      <c r="L443" s="166"/>
      <c r="M443" s="185">
        <v>-356.82</v>
      </c>
      <c r="N443" s="166">
        <f t="shared" si="30"/>
        <v>585000</v>
      </c>
      <c r="O443" s="36"/>
      <c r="P443" s="36"/>
    </row>
    <row r="444" spans="1:16" x14ac:dyDescent="0.25">
      <c r="A444" s="73" t="s">
        <v>23</v>
      </c>
      <c r="B444" s="83">
        <v>890985354</v>
      </c>
      <c r="C444" s="74" t="s">
        <v>749</v>
      </c>
      <c r="D444" s="83" t="s">
        <v>60</v>
      </c>
      <c r="E444" s="75" t="s">
        <v>378</v>
      </c>
      <c r="F444" s="76" t="s">
        <v>888</v>
      </c>
      <c r="G444" s="83" t="s">
        <v>60</v>
      </c>
      <c r="H444" s="72">
        <v>45667</v>
      </c>
      <c r="I444" s="166">
        <v>180469.29</v>
      </c>
      <c r="J444" s="166"/>
      <c r="K444" s="166">
        <v>0</v>
      </c>
      <c r="L444" s="166"/>
      <c r="M444" s="185">
        <v>-469.29</v>
      </c>
      <c r="N444" s="166">
        <f t="shared" si="30"/>
        <v>180000</v>
      </c>
      <c r="O444" s="36"/>
      <c r="P444" s="36"/>
    </row>
    <row r="445" spans="1:16" x14ac:dyDescent="0.25">
      <c r="A445" s="73" t="s">
        <v>23</v>
      </c>
      <c r="B445" s="83">
        <v>800117687</v>
      </c>
      <c r="C445" s="74" t="s">
        <v>674</v>
      </c>
      <c r="D445" s="83" t="s">
        <v>60</v>
      </c>
      <c r="E445" s="75" t="s">
        <v>378</v>
      </c>
      <c r="F445" s="76" t="s">
        <v>888</v>
      </c>
      <c r="G445" s="83" t="s">
        <v>60</v>
      </c>
      <c r="H445" s="72">
        <v>45667</v>
      </c>
      <c r="I445" s="166">
        <v>1228095.24</v>
      </c>
      <c r="J445" s="166"/>
      <c r="K445" s="166">
        <v>0</v>
      </c>
      <c r="L445" s="166"/>
      <c r="M445" s="185">
        <v>-95.24</v>
      </c>
      <c r="N445" s="166">
        <f t="shared" si="30"/>
        <v>1228000</v>
      </c>
      <c r="O445" s="36"/>
      <c r="P445" s="36"/>
    </row>
    <row r="446" spans="1:16" x14ac:dyDescent="0.25">
      <c r="A446" s="73" t="s">
        <v>23</v>
      </c>
      <c r="B446" s="83">
        <v>890981391</v>
      </c>
      <c r="C446" s="74" t="s">
        <v>895</v>
      </c>
      <c r="D446" s="83" t="s">
        <v>60</v>
      </c>
      <c r="E446" s="75" t="s">
        <v>378</v>
      </c>
      <c r="F446" s="76" t="s">
        <v>888</v>
      </c>
      <c r="G446" s="83" t="s">
        <v>60</v>
      </c>
      <c r="H446" s="72">
        <v>45667</v>
      </c>
      <c r="I446" s="166">
        <v>74869.440000000002</v>
      </c>
      <c r="J446" s="166"/>
      <c r="K446" s="166">
        <v>0</v>
      </c>
      <c r="L446" s="166"/>
      <c r="M446" s="185">
        <v>130.56</v>
      </c>
      <c r="N446" s="166">
        <f t="shared" si="30"/>
        <v>75000</v>
      </c>
      <c r="O446" s="36"/>
      <c r="P446" s="36"/>
    </row>
    <row r="447" spans="1:16" x14ac:dyDescent="0.25">
      <c r="A447" s="73" t="s">
        <v>23</v>
      </c>
      <c r="B447" s="83">
        <v>800113389</v>
      </c>
      <c r="C447" s="74" t="s">
        <v>747</v>
      </c>
      <c r="D447" s="83" t="s">
        <v>60</v>
      </c>
      <c r="E447" s="75" t="s">
        <v>378</v>
      </c>
      <c r="F447" s="76" t="s">
        <v>802</v>
      </c>
      <c r="G447" s="83" t="s">
        <v>60</v>
      </c>
      <c r="H447" s="72">
        <v>45670</v>
      </c>
      <c r="I447" s="166">
        <v>909314.44</v>
      </c>
      <c r="J447" s="166"/>
      <c r="K447" s="166">
        <v>0</v>
      </c>
      <c r="L447" s="166"/>
      <c r="M447" s="185">
        <v>-0.44</v>
      </c>
      <c r="N447" s="166">
        <f t="shared" si="30"/>
        <v>909314</v>
      </c>
      <c r="O447" s="36"/>
      <c r="P447" s="36"/>
    </row>
    <row r="448" spans="1:16" x14ac:dyDescent="0.25">
      <c r="A448" s="73" t="s">
        <v>23</v>
      </c>
      <c r="B448" s="83">
        <v>800113389</v>
      </c>
      <c r="C448" s="74" t="s">
        <v>747</v>
      </c>
      <c r="D448" s="83" t="s">
        <v>60</v>
      </c>
      <c r="E448" s="75" t="s">
        <v>378</v>
      </c>
      <c r="F448" s="76" t="s">
        <v>888</v>
      </c>
      <c r="G448" s="83" t="s">
        <v>60</v>
      </c>
      <c r="H448" s="72">
        <v>45670</v>
      </c>
      <c r="I448" s="166">
        <v>15155240.66</v>
      </c>
      <c r="J448" s="166"/>
      <c r="K448" s="166">
        <v>0</v>
      </c>
      <c r="L448" s="166"/>
      <c r="M448" s="185">
        <v>-0.66</v>
      </c>
      <c r="N448" s="166">
        <f t="shared" si="30"/>
        <v>15155240</v>
      </c>
      <c r="O448" s="36"/>
      <c r="P448" s="36"/>
    </row>
    <row r="449" spans="1:16" ht="30" x14ac:dyDescent="0.25">
      <c r="A449" s="73" t="s">
        <v>23</v>
      </c>
      <c r="B449" s="83">
        <v>891502307</v>
      </c>
      <c r="C449" s="74" t="s">
        <v>663</v>
      </c>
      <c r="D449" s="83" t="s">
        <v>60</v>
      </c>
      <c r="E449" s="75" t="s">
        <v>378</v>
      </c>
      <c r="F449" s="76" t="s">
        <v>888</v>
      </c>
      <c r="G449" s="83" t="s">
        <v>60</v>
      </c>
      <c r="H449" s="72">
        <v>45670</v>
      </c>
      <c r="I449" s="166">
        <v>298257.88</v>
      </c>
      <c r="J449" s="166"/>
      <c r="K449" s="166">
        <v>0</v>
      </c>
      <c r="L449" s="166"/>
      <c r="M449" s="185">
        <v>-257.88</v>
      </c>
      <c r="N449" s="166">
        <f t="shared" si="30"/>
        <v>298000</v>
      </c>
      <c r="O449" s="36"/>
      <c r="P449" s="36"/>
    </row>
    <row r="450" spans="1:16" ht="30" x14ac:dyDescent="0.25">
      <c r="A450" s="73" t="s">
        <v>23</v>
      </c>
      <c r="B450" s="83">
        <v>800096807</v>
      </c>
      <c r="C450" s="74" t="s">
        <v>659</v>
      </c>
      <c r="D450" s="83" t="s">
        <v>60</v>
      </c>
      <c r="E450" s="75" t="s">
        <v>378</v>
      </c>
      <c r="F450" s="76" t="s">
        <v>888</v>
      </c>
      <c r="G450" s="83" t="s">
        <v>60</v>
      </c>
      <c r="H450" s="72">
        <v>45670</v>
      </c>
      <c r="I450" s="166">
        <v>4621086.92</v>
      </c>
      <c r="J450" s="166"/>
      <c r="K450" s="166">
        <v>0</v>
      </c>
      <c r="L450" s="166"/>
      <c r="M450" s="185">
        <v>-86.92</v>
      </c>
      <c r="N450" s="166">
        <f t="shared" si="30"/>
        <v>4621000</v>
      </c>
      <c r="O450" s="36"/>
      <c r="P450" s="36"/>
    </row>
    <row r="451" spans="1:16" ht="30" x14ac:dyDescent="0.25">
      <c r="A451" s="73" t="s">
        <v>23</v>
      </c>
      <c r="B451" s="83">
        <v>891180155</v>
      </c>
      <c r="C451" s="74" t="s">
        <v>753</v>
      </c>
      <c r="D451" s="83" t="s">
        <v>60</v>
      </c>
      <c r="E451" s="75" t="s">
        <v>378</v>
      </c>
      <c r="F451" s="76" t="s">
        <v>888</v>
      </c>
      <c r="G451" s="83" t="s">
        <v>60</v>
      </c>
      <c r="H451" s="72">
        <v>45671</v>
      </c>
      <c r="I451" s="166">
        <v>3131143.43</v>
      </c>
      <c r="J451" s="166"/>
      <c r="K451" s="166">
        <v>0</v>
      </c>
      <c r="L451" s="166"/>
      <c r="M451" s="185">
        <v>-143.43</v>
      </c>
      <c r="N451" s="166">
        <f t="shared" si="30"/>
        <v>3131000</v>
      </c>
      <c r="O451" s="36"/>
      <c r="P451" s="36"/>
    </row>
    <row r="452" spans="1:16" ht="30" x14ac:dyDescent="0.25">
      <c r="A452" s="73" t="s">
        <v>23</v>
      </c>
      <c r="B452" s="83">
        <v>891480032</v>
      </c>
      <c r="C452" s="74" t="s">
        <v>851</v>
      </c>
      <c r="D452" s="83" t="s">
        <v>60</v>
      </c>
      <c r="E452" s="75" t="s">
        <v>378</v>
      </c>
      <c r="F452" s="76" t="s">
        <v>888</v>
      </c>
      <c r="G452" s="83" t="s">
        <v>60</v>
      </c>
      <c r="H452" s="72">
        <v>45671</v>
      </c>
      <c r="I452" s="166">
        <v>9365.4500000000007</v>
      </c>
      <c r="J452" s="166"/>
      <c r="K452" s="166">
        <v>0</v>
      </c>
      <c r="L452" s="166"/>
      <c r="M452" s="185">
        <v>-365.45</v>
      </c>
      <c r="N452" s="166">
        <f t="shared" si="30"/>
        <v>9000</v>
      </c>
      <c r="O452" s="36"/>
      <c r="P452" s="36"/>
    </row>
    <row r="453" spans="1:16" ht="30" x14ac:dyDescent="0.25">
      <c r="A453" s="73" t="s">
        <v>23</v>
      </c>
      <c r="B453" s="83">
        <v>891500580</v>
      </c>
      <c r="C453" s="74" t="s">
        <v>672</v>
      </c>
      <c r="D453" s="83" t="s">
        <v>60</v>
      </c>
      <c r="E453" s="75" t="s">
        <v>378</v>
      </c>
      <c r="F453" s="76" t="s">
        <v>888</v>
      </c>
      <c r="G453" s="83" t="s">
        <v>60</v>
      </c>
      <c r="H453" s="72">
        <v>45671</v>
      </c>
      <c r="I453" s="166">
        <v>190913.95</v>
      </c>
      <c r="J453" s="166"/>
      <c r="K453" s="166">
        <v>0</v>
      </c>
      <c r="L453" s="166"/>
      <c r="M453" s="185">
        <v>86.05</v>
      </c>
      <c r="N453" s="166">
        <f t="shared" si="30"/>
        <v>191000</v>
      </c>
      <c r="O453" s="36"/>
      <c r="P453" s="36"/>
    </row>
    <row r="454" spans="1:16" ht="30" x14ac:dyDescent="0.25">
      <c r="A454" s="73" t="s">
        <v>23</v>
      </c>
      <c r="B454" s="83">
        <v>800100519</v>
      </c>
      <c r="C454" s="74" t="s">
        <v>666</v>
      </c>
      <c r="D454" s="83" t="s">
        <v>60</v>
      </c>
      <c r="E454" s="75" t="s">
        <v>378</v>
      </c>
      <c r="F454" s="76" t="s">
        <v>888</v>
      </c>
      <c r="G454" s="83" t="s">
        <v>60</v>
      </c>
      <c r="H454" s="72">
        <v>45671</v>
      </c>
      <c r="I454" s="166">
        <v>33152.28</v>
      </c>
      <c r="J454" s="166"/>
      <c r="K454" s="166">
        <v>0</v>
      </c>
      <c r="L454" s="166"/>
      <c r="M454" s="185">
        <v>-152.28</v>
      </c>
      <c r="N454" s="166">
        <f t="shared" si="30"/>
        <v>33000</v>
      </c>
      <c r="O454" s="36"/>
      <c r="P454" s="36"/>
    </row>
    <row r="455" spans="1:16" ht="30" x14ac:dyDescent="0.25">
      <c r="A455" s="73" t="s">
        <v>23</v>
      </c>
      <c r="B455" s="83">
        <v>892301130</v>
      </c>
      <c r="C455" s="74" t="s">
        <v>702</v>
      </c>
      <c r="D455" s="83" t="s">
        <v>60</v>
      </c>
      <c r="E455" s="75" t="s">
        <v>378</v>
      </c>
      <c r="F455" s="76" t="s">
        <v>888</v>
      </c>
      <c r="G455" s="83" t="s">
        <v>60</v>
      </c>
      <c r="H455" s="72">
        <v>45671</v>
      </c>
      <c r="I455" s="166">
        <v>1043376.85</v>
      </c>
      <c r="J455" s="166"/>
      <c r="K455" s="166">
        <v>0</v>
      </c>
      <c r="L455" s="166"/>
      <c r="M455" s="185">
        <v>-376.85</v>
      </c>
      <c r="N455" s="166">
        <f t="shared" si="30"/>
        <v>1043000</v>
      </c>
      <c r="O455" s="36"/>
      <c r="P455" s="36"/>
    </row>
    <row r="456" spans="1:16" x14ac:dyDescent="0.25">
      <c r="A456" s="73" t="s">
        <v>23</v>
      </c>
      <c r="B456" s="83">
        <v>891780045</v>
      </c>
      <c r="C456" s="74" t="s">
        <v>703</v>
      </c>
      <c r="D456" s="83" t="s">
        <v>60</v>
      </c>
      <c r="E456" s="75" t="s">
        <v>378</v>
      </c>
      <c r="F456" s="76" t="s">
        <v>888</v>
      </c>
      <c r="G456" s="83" t="s">
        <v>60</v>
      </c>
      <c r="H456" s="72">
        <v>45673</v>
      </c>
      <c r="I456" s="166">
        <v>1593736.59</v>
      </c>
      <c r="J456" s="166"/>
      <c r="K456" s="166">
        <v>0</v>
      </c>
      <c r="L456" s="166"/>
      <c r="M456" s="185">
        <v>263.41000000000003</v>
      </c>
      <c r="N456" s="166">
        <f t="shared" si="30"/>
        <v>1594000</v>
      </c>
      <c r="O456" s="36"/>
      <c r="P456" s="36"/>
    </row>
    <row r="457" spans="1:16" ht="30" x14ac:dyDescent="0.25">
      <c r="A457" s="73" t="s">
        <v>23</v>
      </c>
      <c r="B457" s="83">
        <v>892115024</v>
      </c>
      <c r="C457" s="74" t="s">
        <v>755</v>
      </c>
      <c r="D457" s="83" t="s">
        <v>60</v>
      </c>
      <c r="E457" s="75" t="s">
        <v>378</v>
      </c>
      <c r="F457" s="76" t="s">
        <v>888</v>
      </c>
      <c r="G457" s="83" t="s">
        <v>60</v>
      </c>
      <c r="H457" s="72">
        <v>45673</v>
      </c>
      <c r="I457" s="166">
        <v>2039542.96</v>
      </c>
      <c r="J457" s="166"/>
      <c r="K457" s="166">
        <v>0</v>
      </c>
      <c r="L457" s="166"/>
      <c r="M457" s="185">
        <v>457.04</v>
      </c>
      <c r="N457" s="166">
        <f t="shared" si="30"/>
        <v>2040000</v>
      </c>
      <c r="O457" s="36"/>
      <c r="P457" s="36"/>
    </row>
    <row r="458" spans="1:16" ht="30" x14ac:dyDescent="0.25">
      <c r="A458" s="73" t="s">
        <v>23</v>
      </c>
      <c r="B458" s="83">
        <v>800096758</v>
      </c>
      <c r="C458" s="74" t="s">
        <v>657</v>
      </c>
      <c r="D458" s="83" t="s">
        <v>60</v>
      </c>
      <c r="E458" s="75" t="s">
        <v>378</v>
      </c>
      <c r="F458" s="76" t="s">
        <v>888</v>
      </c>
      <c r="G458" s="83" t="s">
        <v>60</v>
      </c>
      <c r="H458" s="72">
        <v>45673</v>
      </c>
      <c r="I458" s="166">
        <v>1750762.75</v>
      </c>
      <c r="J458" s="166"/>
      <c r="K458" s="166">
        <v>0</v>
      </c>
      <c r="L458" s="166"/>
      <c r="M458" s="185">
        <v>0</v>
      </c>
      <c r="N458" s="166">
        <f t="shared" si="30"/>
        <v>1750762.75</v>
      </c>
      <c r="O458" s="36"/>
      <c r="P458" s="36"/>
    </row>
    <row r="459" spans="1:16" x14ac:dyDescent="0.25">
      <c r="A459" s="73" t="s">
        <v>23</v>
      </c>
      <c r="B459" s="83">
        <v>891680196</v>
      </c>
      <c r="C459" s="74" t="s">
        <v>654</v>
      </c>
      <c r="D459" s="83" t="s">
        <v>60</v>
      </c>
      <c r="E459" s="75" t="s">
        <v>378</v>
      </c>
      <c r="F459" s="76" t="s">
        <v>888</v>
      </c>
      <c r="G459" s="83" t="s">
        <v>60</v>
      </c>
      <c r="H459" s="72">
        <v>45673</v>
      </c>
      <c r="I459" s="166">
        <v>64044.86</v>
      </c>
      <c r="J459" s="166"/>
      <c r="K459" s="166">
        <v>0</v>
      </c>
      <c r="L459" s="166"/>
      <c r="M459" s="185">
        <v>-44.86</v>
      </c>
      <c r="N459" s="166">
        <f t="shared" si="30"/>
        <v>64000</v>
      </c>
      <c r="O459" s="36"/>
      <c r="P459" s="36"/>
    </row>
    <row r="460" spans="1:16" ht="30" x14ac:dyDescent="0.25">
      <c r="A460" s="73" t="s">
        <v>23</v>
      </c>
      <c r="B460" s="83">
        <v>891500856</v>
      </c>
      <c r="C460" s="74" t="s">
        <v>669</v>
      </c>
      <c r="D460" s="83" t="s">
        <v>60</v>
      </c>
      <c r="E460" s="75" t="s">
        <v>378</v>
      </c>
      <c r="F460" s="76" t="s">
        <v>888</v>
      </c>
      <c r="G460" s="83" t="s">
        <v>60</v>
      </c>
      <c r="H460" s="72">
        <v>45673</v>
      </c>
      <c r="I460" s="166">
        <v>26881.35</v>
      </c>
      <c r="J460" s="166"/>
      <c r="K460" s="166">
        <v>0</v>
      </c>
      <c r="L460" s="166"/>
      <c r="M460" s="185">
        <v>118.65</v>
      </c>
      <c r="N460" s="166">
        <f t="shared" si="30"/>
        <v>27000</v>
      </c>
      <c r="O460" s="36"/>
      <c r="P460" s="36"/>
    </row>
    <row r="461" spans="1:16" ht="30" x14ac:dyDescent="0.25">
      <c r="A461" s="73" t="s">
        <v>23</v>
      </c>
      <c r="B461" s="83">
        <v>800012638</v>
      </c>
      <c r="C461" s="74" t="s">
        <v>662</v>
      </c>
      <c r="D461" s="83" t="s">
        <v>60</v>
      </c>
      <c r="E461" s="75" t="s">
        <v>378</v>
      </c>
      <c r="F461" s="76" t="s">
        <v>888</v>
      </c>
      <c r="G461" s="83" t="s">
        <v>60</v>
      </c>
      <c r="H461" s="72">
        <v>45674</v>
      </c>
      <c r="I461" s="166">
        <v>24574.81</v>
      </c>
      <c r="J461" s="166"/>
      <c r="K461" s="166">
        <v>0</v>
      </c>
      <c r="L461" s="166"/>
      <c r="M461" s="185">
        <v>425.19</v>
      </c>
      <c r="N461" s="166">
        <f t="shared" si="30"/>
        <v>25000</v>
      </c>
      <c r="O461" s="36"/>
      <c r="P461" s="36"/>
    </row>
    <row r="462" spans="1:16" ht="30" x14ac:dyDescent="0.25">
      <c r="A462" s="73" t="s">
        <v>23</v>
      </c>
      <c r="B462" s="83">
        <v>800136069</v>
      </c>
      <c r="C462" s="74" t="s">
        <v>651</v>
      </c>
      <c r="D462" s="83" t="s">
        <v>60</v>
      </c>
      <c r="E462" s="75" t="s">
        <v>378</v>
      </c>
      <c r="F462" s="76" t="s">
        <v>888</v>
      </c>
      <c r="G462" s="83" t="s">
        <v>60</v>
      </c>
      <c r="H462" s="72">
        <v>45674</v>
      </c>
      <c r="I462" s="166">
        <v>2962129</v>
      </c>
      <c r="J462" s="166"/>
      <c r="K462" s="166">
        <v>0</v>
      </c>
      <c r="L462" s="166"/>
      <c r="M462" s="185">
        <v>-129</v>
      </c>
      <c r="N462" s="166">
        <f t="shared" si="30"/>
        <v>2962000</v>
      </c>
      <c r="O462" s="36"/>
      <c r="P462" s="36"/>
    </row>
    <row r="463" spans="1:16" ht="30" x14ac:dyDescent="0.25">
      <c r="A463" s="73" t="s">
        <v>23</v>
      </c>
      <c r="B463" s="83">
        <v>892280054</v>
      </c>
      <c r="C463" s="74" t="s">
        <v>665</v>
      </c>
      <c r="D463" s="83" t="s">
        <v>60</v>
      </c>
      <c r="E463" s="75" t="s">
        <v>378</v>
      </c>
      <c r="F463" s="76" t="s">
        <v>888</v>
      </c>
      <c r="G463" s="83" t="s">
        <v>60</v>
      </c>
      <c r="H463" s="72">
        <v>45674</v>
      </c>
      <c r="I463" s="166">
        <v>62244.63</v>
      </c>
      <c r="J463" s="166"/>
      <c r="K463" s="166">
        <v>0</v>
      </c>
      <c r="L463" s="166"/>
      <c r="M463" s="185">
        <v>-244.63</v>
      </c>
      <c r="N463" s="166">
        <f t="shared" si="30"/>
        <v>62000</v>
      </c>
      <c r="O463" s="36"/>
      <c r="P463" s="36"/>
    </row>
    <row r="464" spans="1:16" ht="30" x14ac:dyDescent="0.25">
      <c r="A464" s="73" t="s">
        <v>23</v>
      </c>
      <c r="B464" s="83">
        <v>892280054</v>
      </c>
      <c r="C464" s="74" t="s">
        <v>665</v>
      </c>
      <c r="D464" s="83" t="s">
        <v>60</v>
      </c>
      <c r="E464" s="75" t="s">
        <v>378</v>
      </c>
      <c r="F464" s="76" t="s">
        <v>888</v>
      </c>
      <c r="G464" s="83" t="s">
        <v>60</v>
      </c>
      <c r="H464" s="72">
        <v>45674</v>
      </c>
      <c r="I464" s="166">
        <v>778057.75</v>
      </c>
      <c r="J464" s="166"/>
      <c r="K464" s="166">
        <v>0</v>
      </c>
      <c r="L464" s="166"/>
      <c r="M464" s="185">
        <v>-57.75</v>
      </c>
      <c r="N464" s="166">
        <f t="shared" si="30"/>
        <v>778000</v>
      </c>
      <c r="O464" s="36"/>
      <c r="P464" s="36"/>
    </row>
    <row r="465" spans="1:16" ht="30" x14ac:dyDescent="0.25">
      <c r="A465" s="73" t="s">
        <v>23</v>
      </c>
      <c r="B465" s="83">
        <v>800136069</v>
      </c>
      <c r="C465" s="74" t="s">
        <v>651</v>
      </c>
      <c r="D465" s="83" t="s">
        <v>60</v>
      </c>
      <c r="E465" s="75" t="s">
        <v>378</v>
      </c>
      <c r="F465" s="76" t="s">
        <v>802</v>
      </c>
      <c r="G465" s="83" t="s">
        <v>60</v>
      </c>
      <c r="H465" s="72">
        <v>45674</v>
      </c>
      <c r="I465" s="166">
        <v>177727.74</v>
      </c>
      <c r="J465" s="166"/>
      <c r="K465" s="166">
        <v>0</v>
      </c>
      <c r="L465" s="166"/>
      <c r="M465" s="185">
        <v>272.26</v>
      </c>
      <c r="N465" s="166">
        <f t="shared" si="30"/>
        <v>178000</v>
      </c>
      <c r="O465" s="36"/>
      <c r="P465" s="36"/>
    </row>
    <row r="466" spans="1:16" ht="30" x14ac:dyDescent="0.25">
      <c r="A466" s="73" t="s">
        <v>23</v>
      </c>
      <c r="B466" s="83">
        <v>892120020</v>
      </c>
      <c r="C466" s="74" t="s">
        <v>756</v>
      </c>
      <c r="D466" s="83" t="s">
        <v>60</v>
      </c>
      <c r="E466" s="75" t="s">
        <v>378</v>
      </c>
      <c r="F466" s="76" t="s">
        <v>888</v>
      </c>
      <c r="G466" s="83" t="s">
        <v>60</v>
      </c>
      <c r="H466" s="72">
        <v>45674</v>
      </c>
      <c r="I466" s="166">
        <v>8397073.9299999997</v>
      </c>
      <c r="J466" s="166"/>
      <c r="K466" s="166">
        <v>0</v>
      </c>
      <c r="L466" s="166"/>
      <c r="M466" s="185">
        <v>-73.930000000000007</v>
      </c>
      <c r="N466" s="166">
        <f t="shared" si="30"/>
        <v>8397000</v>
      </c>
      <c r="O466" s="36"/>
      <c r="P466" s="36"/>
    </row>
    <row r="467" spans="1:16" ht="30" x14ac:dyDescent="0.25">
      <c r="A467" s="73" t="s">
        <v>23</v>
      </c>
      <c r="B467" s="83">
        <v>891500269</v>
      </c>
      <c r="C467" s="74" t="s">
        <v>671</v>
      </c>
      <c r="D467" s="83" t="s">
        <v>60</v>
      </c>
      <c r="E467" s="75" t="s">
        <v>378</v>
      </c>
      <c r="F467" s="76" t="s">
        <v>888</v>
      </c>
      <c r="G467" s="83" t="s">
        <v>60</v>
      </c>
      <c r="H467" s="72">
        <v>45677</v>
      </c>
      <c r="I467" s="166">
        <v>1128701.83</v>
      </c>
      <c r="J467" s="166"/>
      <c r="K467" s="166">
        <v>0</v>
      </c>
      <c r="L467" s="166"/>
      <c r="M467" s="185">
        <v>298.17</v>
      </c>
      <c r="N467" s="166">
        <f t="shared" si="30"/>
        <v>1129000</v>
      </c>
      <c r="O467" s="36"/>
      <c r="P467" s="36"/>
    </row>
    <row r="468" spans="1:16" x14ac:dyDescent="0.25">
      <c r="A468" s="73" t="s">
        <v>23</v>
      </c>
      <c r="B468" s="83">
        <v>891480025</v>
      </c>
      <c r="C468" s="74" t="s">
        <v>896</v>
      </c>
      <c r="D468" s="83" t="s">
        <v>60</v>
      </c>
      <c r="E468" s="75" t="s">
        <v>378</v>
      </c>
      <c r="F468" s="76" t="s">
        <v>888</v>
      </c>
      <c r="G468" s="83" t="s">
        <v>60</v>
      </c>
      <c r="H468" s="72">
        <v>45677</v>
      </c>
      <c r="I468" s="166">
        <v>91908.74</v>
      </c>
      <c r="J468" s="166"/>
      <c r="K468" s="166">
        <v>0</v>
      </c>
      <c r="L468" s="166"/>
      <c r="M468" s="185">
        <v>91.26</v>
      </c>
      <c r="N468" s="166">
        <f t="shared" si="30"/>
        <v>92000</v>
      </c>
      <c r="O468" s="36"/>
      <c r="P468" s="36"/>
    </row>
    <row r="469" spans="1:16" ht="30" x14ac:dyDescent="0.25">
      <c r="A469" s="73" t="s">
        <v>23</v>
      </c>
      <c r="B469" s="83">
        <v>800095589</v>
      </c>
      <c r="C469" s="74" t="s">
        <v>660</v>
      </c>
      <c r="D469" s="83" t="s">
        <v>60</v>
      </c>
      <c r="E469" s="75" t="s">
        <v>378</v>
      </c>
      <c r="F469" s="76" t="s">
        <v>888</v>
      </c>
      <c r="G469" s="83" t="s">
        <v>60</v>
      </c>
      <c r="H469" s="72">
        <v>45677</v>
      </c>
      <c r="I469" s="166">
        <v>2081856.04</v>
      </c>
      <c r="J469" s="166"/>
      <c r="K469" s="166">
        <v>0</v>
      </c>
      <c r="L469" s="166"/>
      <c r="M469" s="185">
        <v>143.96</v>
      </c>
      <c r="N469" s="166">
        <f t="shared" si="30"/>
        <v>2082000</v>
      </c>
      <c r="O469" s="36"/>
      <c r="P469" s="36"/>
    </row>
    <row r="470" spans="1:16" x14ac:dyDescent="0.25">
      <c r="A470" s="73" t="s">
        <v>23</v>
      </c>
      <c r="B470" s="83">
        <v>800028432</v>
      </c>
      <c r="C470" s="74" t="s">
        <v>673</v>
      </c>
      <c r="D470" s="83" t="s">
        <v>60</v>
      </c>
      <c r="E470" s="75" t="s">
        <v>378</v>
      </c>
      <c r="F470" s="76" t="s">
        <v>888</v>
      </c>
      <c r="G470" s="83" t="s">
        <v>60</v>
      </c>
      <c r="H470" s="72">
        <v>45677</v>
      </c>
      <c r="I470" s="166">
        <v>48676.66</v>
      </c>
      <c r="J470" s="166"/>
      <c r="K470" s="166">
        <v>0</v>
      </c>
      <c r="L470" s="166"/>
      <c r="M470" s="185">
        <v>323.33999999999997</v>
      </c>
      <c r="N470" s="166">
        <f t="shared" si="30"/>
        <v>49000</v>
      </c>
      <c r="O470" s="36"/>
      <c r="P470" s="36"/>
    </row>
    <row r="471" spans="1:16" x14ac:dyDescent="0.25">
      <c r="A471" s="73" t="s">
        <v>23</v>
      </c>
      <c r="B471" s="83">
        <v>825000134</v>
      </c>
      <c r="C471" s="74" t="s">
        <v>558</v>
      </c>
      <c r="D471" s="83" t="s">
        <v>60</v>
      </c>
      <c r="E471" s="75" t="s">
        <v>378</v>
      </c>
      <c r="F471" s="76" t="s">
        <v>888</v>
      </c>
      <c r="G471" s="83" t="s">
        <v>60</v>
      </c>
      <c r="H471" s="72">
        <v>45677</v>
      </c>
      <c r="I471" s="166">
        <v>8846019.8200000003</v>
      </c>
      <c r="J471" s="166"/>
      <c r="K471" s="166">
        <v>0</v>
      </c>
      <c r="L471" s="166"/>
      <c r="M471" s="185">
        <v>-19.82</v>
      </c>
      <c r="N471" s="166">
        <f t="shared" si="30"/>
        <v>8846000</v>
      </c>
      <c r="O471" s="36"/>
      <c r="P471" s="36"/>
    </row>
    <row r="472" spans="1:16" x14ac:dyDescent="0.25">
      <c r="A472" s="73" t="s">
        <v>23</v>
      </c>
      <c r="B472" s="83">
        <v>817002675</v>
      </c>
      <c r="C472" s="74" t="s">
        <v>670</v>
      </c>
      <c r="D472" s="83" t="s">
        <v>60</v>
      </c>
      <c r="E472" s="75" t="s">
        <v>378</v>
      </c>
      <c r="F472" s="76" t="s">
        <v>888</v>
      </c>
      <c r="G472" s="83" t="s">
        <v>60</v>
      </c>
      <c r="H472" s="72">
        <v>45677</v>
      </c>
      <c r="I472" s="166">
        <v>4358658.25</v>
      </c>
      <c r="J472" s="166"/>
      <c r="K472" s="166">
        <v>0</v>
      </c>
      <c r="L472" s="166"/>
      <c r="M472" s="185">
        <v>341.75</v>
      </c>
      <c r="N472" s="166">
        <f t="shared" si="30"/>
        <v>4359000</v>
      </c>
      <c r="O472" s="36"/>
      <c r="P472" s="36"/>
    </row>
    <row r="473" spans="1:16" x14ac:dyDescent="0.25">
      <c r="A473" s="73" t="s">
        <v>23</v>
      </c>
      <c r="B473" s="83">
        <v>800031075</v>
      </c>
      <c r="C473" s="74" t="s">
        <v>897</v>
      </c>
      <c r="D473" s="83" t="s">
        <v>60</v>
      </c>
      <c r="E473" s="75" t="s">
        <v>378</v>
      </c>
      <c r="F473" s="76" t="s">
        <v>888</v>
      </c>
      <c r="G473" s="83" t="s">
        <v>60</v>
      </c>
      <c r="H473" s="72">
        <v>45677</v>
      </c>
      <c r="I473" s="166">
        <v>1171464.74</v>
      </c>
      <c r="J473" s="166"/>
      <c r="K473" s="166">
        <v>0</v>
      </c>
      <c r="L473" s="166"/>
      <c r="M473" s="185">
        <v>-464.74</v>
      </c>
      <c r="N473" s="166">
        <f t="shared" si="30"/>
        <v>1171000</v>
      </c>
      <c r="O473" s="36"/>
      <c r="P473" s="36"/>
    </row>
    <row r="474" spans="1:16" ht="30" x14ac:dyDescent="0.25">
      <c r="A474" s="73" t="s">
        <v>23</v>
      </c>
      <c r="B474" s="83">
        <v>891500982</v>
      </c>
      <c r="C474" s="74" t="s">
        <v>453</v>
      </c>
      <c r="D474" s="83" t="s">
        <v>60</v>
      </c>
      <c r="E474" s="75" t="s">
        <v>378</v>
      </c>
      <c r="F474" s="76" t="s">
        <v>888</v>
      </c>
      <c r="G474" s="83" t="s">
        <v>60</v>
      </c>
      <c r="H474" s="72">
        <v>45678</v>
      </c>
      <c r="I474" s="166">
        <v>43010.15</v>
      </c>
      <c r="J474" s="166"/>
      <c r="K474" s="166">
        <v>0</v>
      </c>
      <c r="L474" s="166"/>
      <c r="M474" s="185">
        <v>-10.15</v>
      </c>
      <c r="N474" s="166">
        <f t="shared" si="30"/>
        <v>43000</v>
      </c>
      <c r="O474" s="36"/>
      <c r="P474" s="36"/>
    </row>
    <row r="475" spans="1:16" x14ac:dyDescent="0.25">
      <c r="A475" s="73" t="s">
        <v>23</v>
      </c>
      <c r="B475" s="83">
        <v>800096576</v>
      </c>
      <c r="C475" s="74" t="s">
        <v>452</v>
      </c>
      <c r="D475" s="83" t="s">
        <v>60</v>
      </c>
      <c r="E475" s="75" t="s">
        <v>378</v>
      </c>
      <c r="F475" s="76" t="s">
        <v>888</v>
      </c>
      <c r="G475" s="83" t="s">
        <v>60</v>
      </c>
      <c r="H475" s="72">
        <v>45678</v>
      </c>
      <c r="I475" s="166">
        <v>866972.85</v>
      </c>
      <c r="J475" s="166"/>
      <c r="K475" s="166">
        <v>0</v>
      </c>
      <c r="L475" s="166"/>
      <c r="M475" s="185">
        <v>27.15</v>
      </c>
      <c r="N475" s="166">
        <f t="shared" si="30"/>
        <v>867000</v>
      </c>
      <c r="O475" s="36"/>
      <c r="P475" s="36"/>
    </row>
    <row r="476" spans="1:16" ht="30" x14ac:dyDescent="0.25">
      <c r="A476" s="73" t="s">
        <v>23</v>
      </c>
      <c r="B476" s="83">
        <v>890399045</v>
      </c>
      <c r="C476" s="74" t="s">
        <v>664</v>
      </c>
      <c r="D476" s="83" t="s">
        <v>60</v>
      </c>
      <c r="E476" s="75" t="s">
        <v>378</v>
      </c>
      <c r="F476" s="76" t="s">
        <v>888</v>
      </c>
      <c r="G476" s="83" t="s">
        <v>60</v>
      </c>
      <c r="H476" s="72">
        <v>45679</v>
      </c>
      <c r="I476" s="166">
        <v>2578792.63</v>
      </c>
      <c r="J476" s="166"/>
      <c r="K476" s="166">
        <v>0</v>
      </c>
      <c r="L476" s="166"/>
      <c r="M476" s="185">
        <v>-792.63</v>
      </c>
      <c r="N476" s="166">
        <f t="shared" si="30"/>
        <v>2578000</v>
      </c>
      <c r="O476" s="36"/>
      <c r="P476" s="36"/>
    </row>
    <row r="477" spans="1:16" ht="30" x14ac:dyDescent="0.25">
      <c r="A477" s="73" t="s">
        <v>23</v>
      </c>
      <c r="B477" s="83">
        <v>800096585</v>
      </c>
      <c r="C477" s="74" t="s">
        <v>451</v>
      </c>
      <c r="D477" s="83" t="s">
        <v>60</v>
      </c>
      <c r="E477" s="75" t="s">
        <v>378</v>
      </c>
      <c r="F477" s="76" t="s">
        <v>888</v>
      </c>
      <c r="G477" s="83" t="s">
        <v>60</v>
      </c>
      <c r="H477" s="72">
        <v>45681</v>
      </c>
      <c r="I477" s="166">
        <v>1638162.81</v>
      </c>
      <c r="J477" s="166"/>
      <c r="K477" s="166">
        <v>0</v>
      </c>
      <c r="L477" s="166"/>
      <c r="M477" s="185">
        <v>-162.81</v>
      </c>
      <c r="N477" s="166">
        <f t="shared" si="30"/>
        <v>1638000</v>
      </c>
      <c r="O477" s="36"/>
      <c r="P477" s="36"/>
    </row>
    <row r="478" spans="1:16" ht="45" x14ac:dyDescent="0.25">
      <c r="A478" s="73" t="s">
        <v>23</v>
      </c>
      <c r="B478" s="83">
        <v>800197268</v>
      </c>
      <c r="C478" s="74" t="s">
        <v>449</v>
      </c>
      <c r="D478" s="83" t="s">
        <v>60</v>
      </c>
      <c r="E478" s="75" t="s">
        <v>378</v>
      </c>
      <c r="F478" s="76" t="s">
        <v>927</v>
      </c>
      <c r="G478" s="83" t="s">
        <v>60</v>
      </c>
      <c r="H478" s="72">
        <v>45681</v>
      </c>
      <c r="I478" s="166">
        <v>252337249.65000001</v>
      </c>
      <c r="J478" s="166"/>
      <c r="K478" s="166">
        <v>0</v>
      </c>
      <c r="L478" s="166"/>
      <c r="M478" s="185">
        <v>-249.65</v>
      </c>
      <c r="N478" s="166">
        <f t="shared" si="30"/>
        <v>252337000</v>
      </c>
      <c r="O478" s="36"/>
      <c r="P478" s="36"/>
    </row>
    <row r="479" spans="1:16" x14ac:dyDescent="0.25">
      <c r="A479" s="73" t="s">
        <v>23</v>
      </c>
      <c r="B479" s="83">
        <v>800100053</v>
      </c>
      <c r="C479" s="74" t="s">
        <v>555</v>
      </c>
      <c r="D479" s="83" t="s">
        <v>60</v>
      </c>
      <c r="E479" s="75" t="s">
        <v>378</v>
      </c>
      <c r="F479" s="76" t="s">
        <v>888</v>
      </c>
      <c r="G479" s="83" t="s">
        <v>60</v>
      </c>
      <c r="H479" s="72">
        <v>45685</v>
      </c>
      <c r="I479" s="166">
        <v>14993577.93</v>
      </c>
      <c r="J479" s="166"/>
      <c r="K479" s="166">
        <v>0</v>
      </c>
      <c r="L479" s="166"/>
      <c r="M479" s="185">
        <v>422.07</v>
      </c>
      <c r="N479" s="166">
        <f t="shared" si="30"/>
        <v>14994000</v>
      </c>
      <c r="O479" s="36"/>
      <c r="P479" s="36"/>
    </row>
    <row r="480" spans="1:16" x14ac:dyDescent="0.25">
      <c r="A480" s="73" t="s">
        <v>23</v>
      </c>
      <c r="B480" s="83">
        <v>800098911</v>
      </c>
      <c r="C480" s="74" t="s">
        <v>704</v>
      </c>
      <c r="D480" s="83" t="s">
        <v>60</v>
      </c>
      <c r="E480" s="75" t="s">
        <v>378</v>
      </c>
      <c r="F480" s="76" t="s">
        <v>888</v>
      </c>
      <c r="G480" s="83" t="s">
        <v>60</v>
      </c>
      <c r="H480" s="72">
        <v>45685</v>
      </c>
      <c r="I480" s="166">
        <v>1917602.5</v>
      </c>
      <c r="J480" s="166"/>
      <c r="K480" s="166">
        <v>0</v>
      </c>
      <c r="L480" s="166"/>
      <c r="M480" s="185">
        <v>397.5</v>
      </c>
      <c r="N480" s="166">
        <f t="shared" si="30"/>
        <v>1918000</v>
      </c>
      <c r="O480" s="36"/>
      <c r="P480" s="36"/>
    </row>
    <row r="481" spans="1:16" ht="36.75" customHeight="1" x14ac:dyDescent="0.25">
      <c r="F481" s="107" t="s">
        <v>937</v>
      </c>
      <c r="I481" s="184">
        <f>+SUM(I391:I480)</f>
        <v>7320290063.8099985</v>
      </c>
      <c r="J481" s="184">
        <f t="shared" ref="J481:N481" si="31">+SUM(J391:J480)</f>
        <v>597081329.11000001</v>
      </c>
      <c r="K481" s="184">
        <f t="shared" si="31"/>
        <v>524122718.93000007</v>
      </c>
      <c r="L481" s="184">
        <f t="shared" si="31"/>
        <v>0</v>
      </c>
      <c r="M481" s="184">
        <f t="shared" si="31"/>
        <v>543.93000000000029</v>
      </c>
      <c r="N481" s="184">
        <f t="shared" si="31"/>
        <v>6199086559.6999998</v>
      </c>
      <c r="O481" s="100"/>
      <c r="P481" s="36"/>
    </row>
    <row r="482" spans="1:16" ht="90" x14ac:dyDescent="0.25">
      <c r="A482" s="73" t="s">
        <v>23</v>
      </c>
      <c r="B482" s="83">
        <v>901811721</v>
      </c>
      <c r="C482" s="74" t="s">
        <v>137</v>
      </c>
      <c r="D482" s="83" t="s">
        <v>136</v>
      </c>
      <c r="E482" s="75" t="s">
        <v>394</v>
      </c>
      <c r="F482" s="76" t="s">
        <v>947</v>
      </c>
      <c r="G482" s="83">
        <v>287895</v>
      </c>
      <c r="H482" s="72">
        <v>45715</v>
      </c>
      <c r="I482" s="166">
        <v>1489701881</v>
      </c>
      <c r="J482" s="166">
        <v>148970188</v>
      </c>
      <c r="K482" s="166">
        <v>144485300.60999998</v>
      </c>
      <c r="L482" s="166">
        <v>0</v>
      </c>
      <c r="M482" s="166">
        <v>0</v>
      </c>
      <c r="N482" s="166">
        <f>+I482-J482-K482-L482+M482</f>
        <v>1196246392.3900001</v>
      </c>
      <c r="O482" s="36"/>
      <c r="P482" s="36"/>
    </row>
    <row r="483" spans="1:16" ht="150" x14ac:dyDescent="0.25">
      <c r="A483" s="73" t="s">
        <v>23</v>
      </c>
      <c r="B483" s="83">
        <v>901839812</v>
      </c>
      <c r="C483" s="74" t="s">
        <v>461</v>
      </c>
      <c r="D483" s="83" t="s">
        <v>460</v>
      </c>
      <c r="E483" s="75" t="s">
        <v>394</v>
      </c>
      <c r="F483" s="76" t="s">
        <v>948</v>
      </c>
      <c r="G483" s="83">
        <v>287077</v>
      </c>
      <c r="H483" s="72">
        <v>45715</v>
      </c>
      <c r="I483" s="166">
        <v>40114348.859999999</v>
      </c>
      <c r="J483" s="166">
        <v>4011434.89</v>
      </c>
      <c r="K483" s="166">
        <v>2410939.79</v>
      </c>
      <c r="L483" s="166"/>
      <c r="M483" s="185">
        <v>0</v>
      </c>
      <c r="N483" s="166">
        <f t="shared" ref="N483:N532" si="32">+I483-J483-K483-L483+M483</f>
        <v>33691974.18</v>
      </c>
      <c r="O483" s="36"/>
      <c r="P483" s="36"/>
    </row>
    <row r="484" spans="1:16" ht="135" x14ac:dyDescent="0.25">
      <c r="A484" s="73" t="s">
        <v>23</v>
      </c>
      <c r="B484" s="83">
        <v>813006542</v>
      </c>
      <c r="C484" s="74" t="s">
        <v>489</v>
      </c>
      <c r="D484" s="83" t="s">
        <v>488</v>
      </c>
      <c r="E484" s="75" t="s">
        <v>394</v>
      </c>
      <c r="F484" s="76" t="s">
        <v>949</v>
      </c>
      <c r="G484" s="83">
        <v>287083</v>
      </c>
      <c r="H484" s="72">
        <v>45715</v>
      </c>
      <c r="I484" s="166">
        <v>309687243.38999999</v>
      </c>
      <c r="J484" s="166">
        <v>30968724.34</v>
      </c>
      <c r="K484" s="166">
        <v>26208316.379999999</v>
      </c>
      <c r="L484" s="166">
        <v>0</v>
      </c>
      <c r="M484" s="185">
        <v>0</v>
      </c>
      <c r="N484" s="166">
        <f t="shared" si="32"/>
        <v>252510202.67000002</v>
      </c>
      <c r="O484" s="36"/>
      <c r="P484" s="36"/>
    </row>
    <row r="485" spans="1:16" ht="105" x14ac:dyDescent="0.25">
      <c r="A485" s="73" t="s">
        <v>23</v>
      </c>
      <c r="B485" s="83">
        <v>901808808</v>
      </c>
      <c r="C485" s="74" t="s">
        <v>140</v>
      </c>
      <c r="D485" s="83" t="s">
        <v>139</v>
      </c>
      <c r="E485" s="75" t="s">
        <v>394</v>
      </c>
      <c r="F485" s="76" t="s">
        <v>950</v>
      </c>
      <c r="G485" s="83">
        <v>288398</v>
      </c>
      <c r="H485" s="72">
        <v>45716</v>
      </c>
      <c r="I485" s="166">
        <v>75376755</v>
      </c>
      <c r="J485" s="166">
        <v>7537675</v>
      </c>
      <c r="K485" s="166">
        <v>4419358.1500000004</v>
      </c>
      <c r="L485" s="166">
        <v>0</v>
      </c>
      <c r="M485" s="185">
        <v>0</v>
      </c>
      <c r="N485" s="166">
        <f t="shared" si="32"/>
        <v>63419721.850000001</v>
      </c>
      <c r="O485" s="36"/>
      <c r="P485" s="36"/>
    </row>
    <row r="486" spans="1:16" ht="105" x14ac:dyDescent="0.25">
      <c r="A486" s="73" t="s">
        <v>381</v>
      </c>
      <c r="B486" s="83">
        <v>9050725</v>
      </c>
      <c r="C486" s="74" t="s">
        <v>288</v>
      </c>
      <c r="D486" s="83" t="s">
        <v>287</v>
      </c>
      <c r="E486" s="75" t="s">
        <v>394</v>
      </c>
      <c r="F486" s="76" t="s">
        <v>951</v>
      </c>
      <c r="G486" s="83">
        <v>287087</v>
      </c>
      <c r="H486" s="72">
        <v>45716</v>
      </c>
      <c r="I486" s="166">
        <v>156890615.40000001</v>
      </c>
      <c r="J486" s="166">
        <v>15689062.539999999</v>
      </c>
      <c r="K486" s="166">
        <v>9512317.5600000005</v>
      </c>
      <c r="L486" s="166"/>
      <c r="M486" s="185">
        <v>0</v>
      </c>
      <c r="N486" s="166">
        <f t="shared" si="32"/>
        <v>131689235.30000001</v>
      </c>
      <c r="O486" s="36"/>
      <c r="P486" s="36"/>
    </row>
    <row r="487" spans="1:16" ht="105" x14ac:dyDescent="0.25">
      <c r="A487" s="73" t="s">
        <v>23</v>
      </c>
      <c r="B487" s="83">
        <v>901803620</v>
      </c>
      <c r="C487" s="74" t="s">
        <v>285</v>
      </c>
      <c r="D487" s="83" t="s">
        <v>284</v>
      </c>
      <c r="E487" s="75" t="s">
        <v>394</v>
      </c>
      <c r="F487" s="76" t="s">
        <v>952</v>
      </c>
      <c r="G487" s="83">
        <v>287089</v>
      </c>
      <c r="H487" s="72">
        <v>45716</v>
      </c>
      <c r="I487" s="166">
        <v>363397887.31</v>
      </c>
      <c r="J487" s="166">
        <v>36339788.729999997</v>
      </c>
      <c r="K487" s="166">
        <v>39135946.57</v>
      </c>
      <c r="L487" s="166">
        <v>0</v>
      </c>
      <c r="M487" s="185">
        <v>0</v>
      </c>
      <c r="N487" s="166">
        <f t="shared" si="32"/>
        <v>287922152.00999999</v>
      </c>
      <c r="O487" s="36"/>
      <c r="P487" s="36"/>
    </row>
    <row r="488" spans="1:16" ht="135" x14ac:dyDescent="0.25">
      <c r="A488" s="73" t="s">
        <v>381</v>
      </c>
      <c r="B488" s="83">
        <v>12754374</v>
      </c>
      <c r="C488" s="74" t="s">
        <v>269</v>
      </c>
      <c r="D488" s="83" t="s">
        <v>268</v>
      </c>
      <c r="E488" s="75" t="s">
        <v>394</v>
      </c>
      <c r="F488" s="76" t="s">
        <v>953</v>
      </c>
      <c r="G488" s="83">
        <v>288182</v>
      </c>
      <c r="H488" s="72">
        <v>45715</v>
      </c>
      <c r="I488" s="166">
        <v>41599930.039999999</v>
      </c>
      <c r="J488" s="166">
        <v>4159993</v>
      </c>
      <c r="K488" s="166">
        <v>3594313.42</v>
      </c>
      <c r="L488" s="166">
        <v>0</v>
      </c>
      <c r="M488" s="185">
        <v>0</v>
      </c>
      <c r="N488" s="166">
        <f t="shared" si="32"/>
        <v>33845623.619999997</v>
      </c>
      <c r="O488" s="36"/>
      <c r="P488" s="36"/>
    </row>
    <row r="489" spans="1:16" ht="135" x14ac:dyDescent="0.25">
      <c r="A489" s="73" t="s">
        <v>23</v>
      </c>
      <c r="B489" s="83">
        <v>900185357</v>
      </c>
      <c r="C489" s="74" t="s">
        <v>305</v>
      </c>
      <c r="D489" s="83" t="s">
        <v>304</v>
      </c>
      <c r="E489" s="75" t="s">
        <v>394</v>
      </c>
      <c r="F489" s="76" t="s">
        <v>954</v>
      </c>
      <c r="G489" s="83">
        <v>287383</v>
      </c>
      <c r="H489" s="72">
        <v>45714</v>
      </c>
      <c r="I489" s="166">
        <v>331360923.23000002</v>
      </c>
      <c r="J489" s="166">
        <v>33136092.32</v>
      </c>
      <c r="K489" s="166">
        <v>27425669.590000004</v>
      </c>
      <c r="L489" s="166"/>
      <c r="M489" s="185">
        <v>0</v>
      </c>
      <c r="N489" s="166">
        <f t="shared" si="32"/>
        <v>270799161.32000005</v>
      </c>
      <c r="O489" s="36"/>
      <c r="P489" s="36"/>
    </row>
    <row r="490" spans="1:16" ht="135" x14ac:dyDescent="0.25">
      <c r="A490" s="73" t="s">
        <v>23</v>
      </c>
      <c r="B490" s="83">
        <v>900591185</v>
      </c>
      <c r="C490" s="74" t="s">
        <v>695</v>
      </c>
      <c r="D490" s="83" t="s">
        <v>694</v>
      </c>
      <c r="E490" s="75" t="s">
        <v>394</v>
      </c>
      <c r="F490" s="76" t="s">
        <v>955</v>
      </c>
      <c r="G490" s="83">
        <v>287386</v>
      </c>
      <c r="H490" s="72">
        <v>45715</v>
      </c>
      <c r="I490" s="166">
        <v>334193689.75</v>
      </c>
      <c r="J490" s="166">
        <v>33419368.969999999</v>
      </c>
      <c r="K490" s="166">
        <v>34832905.32</v>
      </c>
      <c r="L490" s="166"/>
      <c r="M490" s="185">
        <v>0</v>
      </c>
      <c r="N490" s="166">
        <f t="shared" si="32"/>
        <v>265941415.45999998</v>
      </c>
      <c r="O490" s="36"/>
      <c r="P490" s="36"/>
    </row>
    <row r="491" spans="1:16" ht="165" x14ac:dyDescent="0.25">
      <c r="A491" s="73" t="s">
        <v>381</v>
      </c>
      <c r="B491" s="83">
        <v>9050725</v>
      </c>
      <c r="C491" s="74" t="s">
        <v>288</v>
      </c>
      <c r="D491" s="83" t="s">
        <v>307</v>
      </c>
      <c r="E491" s="75" t="s">
        <v>394</v>
      </c>
      <c r="F491" s="76" t="s">
        <v>956</v>
      </c>
      <c r="G491" s="83">
        <v>287390</v>
      </c>
      <c r="H491" s="72">
        <v>45715</v>
      </c>
      <c r="I491" s="166">
        <v>69348049.00999999</v>
      </c>
      <c r="J491" s="166">
        <v>6934804.9000000004</v>
      </c>
      <c r="K491" s="166">
        <v>4368710.12</v>
      </c>
      <c r="L491" s="166"/>
      <c r="M491" s="185">
        <v>0</v>
      </c>
      <c r="N491" s="166">
        <f t="shared" si="32"/>
        <v>58044533.989999995</v>
      </c>
      <c r="O491" s="36"/>
      <c r="P491" s="36"/>
    </row>
    <row r="492" spans="1:16" ht="150" x14ac:dyDescent="0.25">
      <c r="A492" s="73" t="s">
        <v>381</v>
      </c>
      <c r="B492" s="83">
        <v>12979612</v>
      </c>
      <c r="C492" s="74" t="s">
        <v>491</v>
      </c>
      <c r="D492" s="83" t="s">
        <v>490</v>
      </c>
      <c r="E492" s="75" t="s">
        <v>394</v>
      </c>
      <c r="F492" s="76" t="s">
        <v>957</v>
      </c>
      <c r="G492" s="83">
        <v>288115</v>
      </c>
      <c r="H492" s="72">
        <v>45716</v>
      </c>
      <c r="I492" s="166">
        <v>48837586.260000005</v>
      </c>
      <c r="J492" s="166">
        <v>4883758.63</v>
      </c>
      <c r="K492" s="166">
        <v>3066631.21</v>
      </c>
      <c r="L492" s="166"/>
      <c r="M492" s="185">
        <v>0</v>
      </c>
      <c r="N492" s="166">
        <f t="shared" si="32"/>
        <v>40887196.420000002</v>
      </c>
      <c r="O492" s="36"/>
      <c r="P492" s="36"/>
    </row>
    <row r="493" spans="1:16" ht="165" x14ac:dyDescent="0.25">
      <c r="A493" s="73" t="s">
        <v>23</v>
      </c>
      <c r="B493" s="83">
        <v>802008390</v>
      </c>
      <c r="C493" s="74" t="s">
        <v>692</v>
      </c>
      <c r="D493" s="83" t="s">
        <v>693</v>
      </c>
      <c r="E493" s="75" t="s">
        <v>394</v>
      </c>
      <c r="F493" s="76" t="s">
        <v>958</v>
      </c>
      <c r="G493" s="83">
        <v>287391</v>
      </c>
      <c r="H493" s="72">
        <v>45715</v>
      </c>
      <c r="I493" s="166">
        <v>132731978.40000001</v>
      </c>
      <c r="J493" s="166">
        <v>13273197.840000002</v>
      </c>
      <c r="K493" s="166">
        <v>8257639.3399999989</v>
      </c>
      <c r="L493" s="166">
        <v>0</v>
      </c>
      <c r="M493" s="185">
        <v>0</v>
      </c>
      <c r="N493" s="166">
        <f t="shared" si="32"/>
        <v>111201141.22</v>
      </c>
      <c r="O493" s="36"/>
      <c r="P493" s="36"/>
    </row>
    <row r="494" spans="1:16" ht="135" x14ac:dyDescent="0.25">
      <c r="A494" s="73" t="s">
        <v>23</v>
      </c>
      <c r="B494" s="83">
        <v>901871898</v>
      </c>
      <c r="C494" s="74" t="s">
        <v>614</v>
      </c>
      <c r="D494" s="83" t="s">
        <v>613</v>
      </c>
      <c r="E494" s="75" t="s">
        <v>394</v>
      </c>
      <c r="F494" s="76" t="s">
        <v>959</v>
      </c>
      <c r="G494" s="83">
        <v>287798</v>
      </c>
      <c r="H494" s="72">
        <v>45716</v>
      </c>
      <c r="I494" s="166">
        <v>24260223.25</v>
      </c>
      <c r="J494" s="166">
        <v>2426022.3199999998</v>
      </c>
      <c r="K494" s="166">
        <v>706604.47000000009</v>
      </c>
      <c r="L494" s="166">
        <v>0</v>
      </c>
      <c r="M494" s="185">
        <v>0</v>
      </c>
      <c r="N494" s="166">
        <f t="shared" si="32"/>
        <v>21127596.460000001</v>
      </c>
      <c r="O494" s="36"/>
      <c r="P494" s="36"/>
    </row>
    <row r="495" spans="1:16" ht="135" x14ac:dyDescent="0.25">
      <c r="A495" s="73" t="s">
        <v>23</v>
      </c>
      <c r="B495" s="83">
        <v>901843292</v>
      </c>
      <c r="C495" s="74" t="s">
        <v>487</v>
      </c>
      <c r="D495" s="83" t="s">
        <v>486</v>
      </c>
      <c r="E495" s="75" t="s">
        <v>394</v>
      </c>
      <c r="F495" s="76" t="s">
        <v>960</v>
      </c>
      <c r="G495" s="83">
        <v>287392</v>
      </c>
      <c r="H495" s="72">
        <v>45716</v>
      </c>
      <c r="I495" s="166">
        <v>129911077</v>
      </c>
      <c r="J495" s="166">
        <v>12991107.699999999</v>
      </c>
      <c r="K495" s="166">
        <v>10967025.880000001</v>
      </c>
      <c r="L495" s="166"/>
      <c r="M495" s="185">
        <v>0</v>
      </c>
      <c r="N495" s="166">
        <f t="shared" si="32"/>
        <v>105952943.42</v>
      </c>
      <c r="O495" s="36"/>
      <c r="P495" s="36"/>
    </row>
    <row r="496" spans="1:16" ht="165" x14ac:dyDescent="0.25">
      <c r="A496" s="73" t="s">
        <v>23</v>
      </c>
      <c r="B496" s="83">
        <v>901870297</v>
      </c>
      <c r="C496" s="74" t="s">
        <v>688</v>
      </c>
      <c r="D496" s="83" t="s">
        <v>689</v>
      </c>
      <c r="E496" s="75" t="s">
        <v>394</v>
      </c>
      <c r="F496" s="76" t="s">
        <v>961</v>
      </c>
      <c r="G496" s="83">
        <v>288020</v>
      </c>
      <c r="H496" s="72">
        <v>45716</v>
      </c>
      <c r="I496" s="166">
        <v>38100000</v>
      </c>
      <c r="J496" s="166">
        <v>3810000</v>
      </c>
      <c r="K496" s="166">
        <v>2369243.69</v>
      </c>
      <c r="L496" s="166"/>
      <c r="M496" s="185">
        <v>0</v>
      </c>
      <c r="N496" s="166">
        <f t="shared" si="32"/>
        <v>31920756.309999999</v>
      </c>
      <c r="O496" s="36"/>
      <c r="P496" s="36"/>
    </row>
    <row r="497" spans="1:16" ht="120" x14ac:dyDescent="0.25">
      <c r="A497" s="73" t="s">
        <v>23</v>
      </c>
      <c r="B497" s="83">
        <v>901867911</v>
      </c>
      <c r="C497" s="74" t="s">
        <v>687</v>
      </c>
      <c r="D497" s="83" t="s">
        <v>686</v>
      </c>
      <c r="E497" s="75" t="s">
        <v>394</v>
      </c>
      <c r="F497" s="76" t="s">
        <v>962</v>
      </c>
      <c r="G497" s="83">
        <v>287803</v>
      </c>
      <c r="H497" s="72">
        <v>45716</v>
      </c>
      <c r="I497" s="166">
        <v>54264000</v>
      </c>
      <c r="J497" s="166">
        <v>5426400</v>
      </c>
      <c r="K497" s="166">
        <v>5654400</v>
      </c>
      <c r="L497" s="166">
        <v>0</v>
      </c>
      <c r="M497" s="185">
        <v>0</v>
      </c>
      <c r="N497" s="166">
        <f t="shared" si="32"/>
        <v>43183200</v>
      </c>
      <c r="O497" s="36"/>
      <c r="P497" s="36"/>
    </row>
    <row r="498" spans="1:16" ht="180" x14ac:dyDescent="0.25">
      <c r="A498" s="73" t="s">
        <v>23</v>
      </c>
      <c r="B498" s="83">
        <v>901840865</v>
      </c>
      <c r="C498" s="74" t="s">
        <v>501</v>
      </c>
      <c r="D498" s="83" t="s">
        <v>500</v>
      </c>
      <c r="E498" s="75" t="s">
        <v>394</v>
      </c>
      <c r="F498" s="76" t="s">
        <v>963</v>
      </c>
      <c r="G498" s="83">
        <v>287805</v>
      </c>
      <c r="H498" s="72">
        <v>45716</v>
      </c>
      <c r="I498" s="166">
        <v>98022041</v>
      </c>
      <c r="J498" s="166">
        <v>9802204.0999999996</v>
      </c>
      <c r="K498" s="166">
        <v>5951338.2100000009</v>
      </c>
      <c r="L498" s="166"/>
      <c r="M498" s="185">
        <v>0</v>
      </c>
      <c r="N498" s="166">
        <f t="shared" si="32"/>
        <v>82268498.689999998</v>
      </c>
      <c r="O498" s="36"/>
      <c r="P498" s="36"/>
    </row>
    <row r="499" spans="1:16" ht="105" x14ac:dyDescent="0.25">
      <c r="A499" s="73" t="s">
        <v>23</v>
      </c>
      <c r="B499" s="83">
        <v>901842060</v>
      </c>
      <c r="C499" s="74" t="s">
        <v>493</v>
      </c>
      <c r="D499" s="83" t="s">
        <v>492</v>
      </c>
      <c r="E499" s="75" t="s">
        <v>394</v>
      </c>
      <c r="F499" s="76" t="s">
        <v>964</v>
      </c>
      <c r="G499" s="83">
        <v>288220</v>
      </c>
      <c r="H499" s="72">
        <v>45716</v>
      </c>
      <c r="I499" s="166">
        <v>1092150391.3300002</v>
      </c>
      <c r="J499" s="166">
        <v>109215039.13</v>
      </c>
      <c r="K499" s="166">
        <v>94523590.730000004</v>
      </c>
      <c r="L499" s="166">
        <v>17088816.66</v>
      </c>
      <c r="M499" s="185">
        <v>0</v>
      </c>
      <c r="N499" s="166">
        <f t="shared" si="32"/>
        <v>871322944.81000018</v>
      </c>
      <c r="O499" s="36"/>
      <c r="P499" s="36"/>
    </row>
    <row r="500" spans="1:16" ht="120" x14ac:dyDescent="0.25">
      <c r="A500" s="73" t="s">
        <v>23</v>
      </c>
      <c r="B500" s="83">
        <v>901841741</v>
      </c>
      <c r="C500" s="74" t="s">
        <v>495</v>
      </c>
      <c r="D500" s="83" t="s">
        <v>494</v>
      </c>
      <c r="E500" s="75" t="s">
        <v>394</v>
      </c>
      <c r="F500" s="76" t="s">
        <v>965</v>
      </c>
      <c r="G500" s="83">
        <v>288007</v>
      </c>
      <c r="H500" s="72">
        <v>45716</v>
      </c>
      <c r="I500" s="166">
        <v>45033007.780000001</v>
      </c>
      <c r="J500" s="166">
        <v>4503300.78</v>
      </c>
      <c r="K500" s="166">
        <v>1193133.71</v>
      </c>
      <c r="L500" s="166">
        <v>0</v>
      </c>
      <c r="M500" s="185">
        <v>0</v>
      </c>
      <c r="N500" s="166">
        <f t="shared" si="32"/>
        <v>39336573.289999999</v>
      </c>
      <c r="O500" s="36"/>
      <c r="P500" s="36"/>
    </row>
    <row r="501" spans="1:16" ht="75" x14ac:dyDescent="0.25">
      <c r="A501" s="73" t="s">
        <v>23</v>
      </c>
      <c r="B501" s="83">
        <v>901792473</v>
      </c>
      <c r="C501" s="74" t="s">
        <v>254</v>
      </c>
      <c r="D501" s="83" t="s">
        <v>253</v>
      </c>
      <c r="E501" s="75" t="s">
        <v>394</v>
      </c>
      <c r="F501" s="76" t="s">
        <v>966</v>
      </c>
      <c r="G501" s="83">
        <v>287396</v>
      </c>
      <c r="H501" s="72">
        <v>45716</v>
      </c>
      <c r="I501" s="166">
        <v>35504293.140000001</v>
      </c>
      <c r="J501" s="166">
        <v>3550429.31</v>
      </c>
      <c r="K501" s="166">
        <v>3101480.6399999997</v>
      </c>
      <c r="L501" s="166">
        <v>0</v>
      </c>
      <c r="M501" s="185">
        <v>0</v>
      </c>
      <c r="N501" s="166">
        <f t="shared" si="32"/>
        <v>28852383.190000001</v>
      </c>
      <c r="O501" s="36"/>
      <c r="P501" s="36"/>
    </row>
    <row r="502" spans="1:16" ht="90" x14ac:dyDescent="0.25">
      <c r="A502" s="73" t="s">
        <v>23</v>
      </c>
      <c r="B502" s="83">
        <v>900503646</v>
      </c>
      <c r="C502" s="74" t="s">
        <v>194</v>
      </c>
      <c r="D502" s="83" t="s">
        <v>193</v>
      </c>
      <c r="E502" s="75" t="s">
        <v>394</v>
      </c>
      <c r="F502" s="76" t="s">
        <v>967</v>
      </c>
      <c r="G502" s="83">
        <v>288403</v>
      </c>
      <c r="H502" s="72">
        <v>45716</v>
      </c>
      <c r="I502" s="166">
        <v>51197264.989999995</v>
      </c>
      <c r="J502" s="166">
        <v>5119726.5</v>
      </c>
      <c r="K502" s="166">
        <v>3159747.06</v>
      </c>
      <c r="L502" s="166"/>
      <c r="M502" s="185">
        <v>0</v>
      </c>
      <c r="N502" s="166">
        <f t="shared" si="32"/>
        <v>42917791.429999992</v>
      </c>
      <c r="O502" s="36"/>
      <c r="P502" s="36"/>
    </row>
    <row r="503" spans="1:16" ht="75" x14ac:dyDescent="0.25">
      <c r="A503" s="73" t="s">
        <v>23</v>
      </c>
      <c r="B503" s="83">
        <v>901794652</v>
      </c>
      <c r="C503" s="74" t="s">
        <v>191</v>
      </c>
      <c r="D503" s="83" t="s">
        <v>190</v>
      </c>
      <c r="E503" s="75" t="s">
        <v>394</v>
      </c>
      <c r="F503" s="76" t="s">
        <v>968</v>
      </c>
      <c r="G503" s="83">
        <v>287398</v>
      </c>
      <c r="H503" s="72">
        <v>45716</v>
      </c>
      <c r="I503" s="166">
        <v>507128714.41999996</v>
      </c>
      <c r="J503" s="166">
        <v>50712871.439999998</v>
      </c>
      <c r="K503" s="166">
        <v>45147030.090000004</v>
      </c>
      <c r="L503" s="166">
        <v>0</v>
      </c>
      <c r="M503" s="185">
        <v>0</v>
      </c>
      <c r="N503" s="166">
        <f t="shared" si="32"/>
        <v>411268812.88999999</v>
      </c>
      <c r="O503" s="36"/>
      <c r="P503" s="36"/>
    </row>
    <row r="504" spans="1:16" ht="135" x14ac:dyDescent="0.25">
      <c r="A504" s="73" t="s">
        <v>23</v>
      </c>
      <c r="B504" s="83">
        <v>900749719</v>
      </c>
      <c r="C504" s="74" t="s">
        <v>463</v>
      </c>
      <c r="D504" s="83" t="s">
        <v>462</v>
      </c>
      <c r="E504" s="75" t="s">
        <v>394</v>
      </c>
      <c r="F504" s="76" t="s">
        <v>969</v>
      </c>
      <c r="G504" s="83">
        <v>288119</v>
      </c>
      <c r="H504" s="72">
        <v>45716</v>
      </c>
      <c r="I504" s="166">
        <v>833585619.04000008</v>
      </c>
      <c r="J504" s="166">
        <v>83358561.900000006</v>
      </c>
      <c r="K504" s="166">
        <v>71999456.430000007</v>
      </c>
      <c r="L504" s="166">
        <v>36106456.490000002</v>
      </c>
      <c r="M504" s="185">
        <v>0</v>
      </c>
      <c r="N504" s="166">
        <f t="shared" si="32"/>
        <v>642121144.22000003</v>
      </c>
      <c r="O504" s="36"/>
      <c r="P504" s="36"/>
    </row>
    <row r="505" spans="1:16" ht="135" x14ac:dyDescent="0.25">
      <c r="A505" s="73" t="s">
        <v>23</v>
      </c>
      <c r="B505" s="83">
        <v>901841724</v>
      </c>
      <c r="C505" s="74" t="s">
        <v>497</v>
      </c>
      <c r="D505" s="83" t="s">
        <v>496</v>
      </c>
      <c r="E505" s="75" t="s">
        <v>394</v>
      </c>
      <c r="F505" s="76" t="s">
        <v>970</v>
      </c>
      <c r="G505" s="83">
        <v>287809</v>
      </c>
      <c r="H505" s="72">
        <v>45716</v>
      </c>
      <c r="I505" s="166">
        <v>52024095.540000007</v>
      </c>
      <c r="J505" s="166">
        <v>5202409.55</v>
      </c>
      <c r="K505" s="166">
        <v>1478817.35</v>
      </c>
      <c r="L505" s="166"/>
      <c r="M505" s="185">
        <v>0</v>
      </c>
      <c r="N505" s="166">
        <f t="shared" si="32"/>
        <v>45342868.640000008</v>
      </c>
      <c r="O505" s="36"/>
      <c r="P505" s="36"/>
    </row>
    <row r="506" spans="1:16" ht="75" x14ac:dyDescent="0.25">
      <c r="A506" s="73" t="s">
        <v>23</v>
      </c>
      <c r="B506" s="83">
        <v>901786131</v>
      </c>
      <c r="C506" s="74" t="s">
        <v>210</v>
      </c>
      <c r="D506" s="83" t="s">
        <v>209</v>
      </c>
      <c r="E506" s="75" t="s">
        <v>394</v>
      </c>
      <c r="F506" s="76" t="s">
        <v>971</v>
      </c>
      <c r="G506" s="83">
        <v>288607</v>
      </c>
      <c r="H506" s="72">
        <v>45716</v>
      </c>
      <c r="I506" s="166">
        <v>94345906.289999992</v>
      </c>
      <c r="J506" s="166">
        <v>9434590.6300000008</v>
      </c>
      <c r="K506" s="166">
        <v>5391194.6400000006</v>
      </c>
      <c r="L506" s="166">
        <v>0</v>
      </c>
      <c r="M506" s="185">
        <v>0</v>
      </c>
      <c r="N506" s="166">
        <f t="shared" si="32"/>
        <v>79520121.019999996</v>
      </c>
      <c r="O506" s="36"/>
      <c r="P506" s="36"/>
    </row>
    <row r="507" spans="1:16" ht="90" x14ac:dyDescent="0.25">
      <c r="A507" s="73" t="s">
        <v>381</v>
      </c>
      <c r="B507" s="83">
        <v>74184643</v>
      </c>
      <c r="C507" s="74" t="s">
        <v>944</v>
      </c>
      <c r="D507" s="83" t="s">
        <v>256</v>
      </c>
      <c r="E507" s="75" t="s">
        <v>394</v>
      </c>
      <c r="F507" s="76" t="s">
        <v>972</v>
      </c>
      <c r="G507" s="83">
        <v>287810</v>
      </c>
      <c r="H507" s="72">
        <v>45715</v>
      </c>
      <c r="I507" s="166">
        <v>14765988.920000002</v>
      </c>
      <c r="J507" s="166">
        <v>1476598.89</v>
      </c>
      <c r="K507" s="166">
        <v>905812.76</v>
      </c>
      <c r="L507" s="166">
        <v>0</v>
      </c>
      <c r="M507" s="185">
        <v>0</v>
      </c>
      <c r="N507" s="166">
        <f t="shared" si="32"/>
        <v>12383577.270000001</v>
      </c>
      <c r="O507" s="36"/>
      <c r="P507" s="36"/>
    </row>
    <row r="508" spans="1:16" ht="90" x14ac:dyDescent="0.25">
      <c r="A508" s="73" t="s">
        <v>381</v>
      </c>
      <c r="B508" s="83">
        <v>85476995</v>
      </c>
      <c r="C508" s="74" t="s">
        <v>945</v>
      </c>
      <c r="D508" s="83" t="s">
        <v>407</v>
      </c>
      <c r="E508" s="75" t="s">
        <v>394</v>
      </c>
      <c r="F508" s="76" t="s">
        <v>973</v>
      </c>
      <c r="G508" s="83">
        <v>288402</v>
      </c>
      <c r="H508" s="72">
        <v>45715</v>
      </c>
      <c r="I508" s="166">
        <v>65903534.870000005</v>
      </c>
      <c r="J508" s="166">
        <v>6590353.4900000002</v>
      </c>
      <c r="K508" s="166">
        <v>3765916.28</v>
      </c>
      <c r="L508" s="166"/>
      <c r="M508" s="185">
        <v>0</v>
      </c>
      <c r="N508" s="166">
        <f t="shared" si="32"/>
        <v>55547265.100000001</v>
      </c>
      <c r="O508" s="36"/>
      <c r="P508" s="36"/>
    </row>
    <row r="509" spans="1:16" ht="120" x14ac:dyDescent="0.25">
      <c r="A509" s="73" t="s">
        <v>23</v>
      </c>
      <c r="B509" s="83">
        <v>901830109</v>
      </c>
      <c r="C509" s="74" t="s">
        <v>849</v>
      </c>
      <c r="D509" s="83" t="s">
        <v>432</v>
      </c>
      <c r="E509" s="75" t="s">
        <v>394</v>
      </c>
      <c r="F509" s="76" t="s">
        <v>974</v>
      </c>
      <c r="G509" s="83">
        <v>287814</v>
      </c>
      <c r="H509" s="72">
        <v>45716</v>
      </c>
      <c r="I509" s="166">
        <v>1310513856.9000001</v>
      </c>
      <c r="J509" s="166">
        <v>131051385.69</v>
      </c>
      <c r="K509" s="166">
        <v>110721779.46000001</v>
      </c>
      <c r="L509" s="166">
        <v>0</v>
      </c>
      <c r="M509" s="185">
        <v>0</v>
      </c>
      <c r="N509" s="166">
        <f t="shared" si="32"/>
        <v>1068740691.75</v>
      </c>
      <c r="O509" s="36"/>
      <c r="P509" s="36"/>
    </row>
    <row r="510" spans="1:16" ht="120" x14ac:dyDescent="0.25">
      <c r="A510" s="73" t="s">
        <v>23</v>
      </c>
      <c r="B510" s="83">
        <v>901870297</v>
      </c>
      <c r="C510" s="74" t="s">
        <v>688</v>
      </c>
      <c r="D510" s="83" t="s">
        <v>689</v>
      </c>
      <c r="E510" s="75" t="s">
        <v>394</v>
      </c>
      <c r="F510" s="76" t="s">
        <v>975</v>
      </c>
      <c r="G510" s="83">
        <v>288005</v>
      </c>
      <c r="H510" s="72">
        <v>45716</v>
      </c>
      <c r="I510" s="166">
        <v>30409462</v>
      </c>
      <c r="J510" s="166">
        <v>3040946</v>
      </c>
      <c r="K510" s="166">
        <v>1891008.58</v>
      </c>
      <c r="L510" s="166"/>
      <c r="M510" s="185">
        <v>0</v>
      </c>
      <c r="N510" s="166">
        <f t="shared" si="32"/>
        <v>25477507.420000002</v>
      </c>
      <c r="O510" s="36"/>
      <c r="P510" s="36"/>
    </row>
    <row r="511" spans="1:16" ht="90" x14ac:dyDescent="0.25">
      <c r="A511" s="73" t="s">
        <v>23</v>
      </c>
      <c r="B511" s="83">
        <v>901785672</v>
      </c>
      <c r="C511" s="74" t="s">
        <v>175</v>
      </c>
      <c r="D511" s="83" t="s">
        <v>174</v>
      </c>
      <c r="E511" s="75" t="s">
        <v>394</v>
      </c>
      <c r="F511" s="76" t="s">
        <v>976</v>
      </c>
      <c r="G511" s="83">
        <v>287900</v>
      </c>
      <c r="H511" s="72">
        <v>45715</v>
      </c>
      <c r="I511" s="166">
        <v>22667002.859999999</v>
      </c>
      <c r="J511" s="166">
        <v>2266700.29</v>
      </c>
      <c r="K511" s="166">
        <v>1390496.81</v>
      </c>
      <c r="L511" s="166"/>
      <c r="M511" s="185">
        <v>0</v>
      </c>
      <c r="N511" s="166">
        <f t="shared" si="32"/>
        <v>19009805.760000002</v>
      </c>
      <c r="O511" s="36"/>
      <c r="P511" s="36"/>
    </row>
    <row r="512" spans="1:16" ht="75" x14ac:dyDescent="0.25">
      <c r="A512" s="73" t="s">
        <v>381</v>
      </c>
      <c r="B512" s="83">
        <v>59312287</v>
      </c>
      <c r="C512" s="74" t="s">
        <v>172</v>
      </c>
      <c r="D512" s="83" t="s">
        <v>171</v>
      </c>
      <c r="E512" s="75" t="s">
        <v>394</v>
      </c>
      <c r="F512" s="76" t="s">
        <v>977</v>
      </c>
      <c r="G512" s="83">
        <v>288608</v>
      </c>
      <c r="H512" s="72">
        <v>45715</v>
      </c>
      <c r="I512" s="166">
        <v>129775302.34999999</v>
      </c>
      <c r="J512" s="166">
        <v>12977530.24</v>
      </c>
      <c r="K512" s="166">
        <v>11370997.77</v>
      </c>
      <c r="L512" s="166">
        <v>0</v>
      </c>
      <c r="M512" s="185">
        <v>0</v>
      </c>
      <c r="N512" s="166">
        <f t="shared" si="32"/>
        <v>105426774.34</v>
      </c>
      <c r="O512" s="36"/>
      <c r="P512" s="36"/>
    </row>
    <row r="513" spans="1:16" ht="135" x14ac:dyDescent="0.25">
      <c r="A513" s="73" t="s">
        <v>381</v>
      </c>
      <c r="B513" s="83">
        <v>74795327</v>
      </c>
      <c r="C513" s="74" t="s">
        <v>499</v>
      </c>
      <c r="D513" s="83" t="s">
        <v>498</v>
      </c>
      <c r="E513" s="75" t="s">
        <v>394</v>
      </c>
      <c r="F513" s="76" t="s">
        <v>978</v>
      </c>
      <c r="G513" s="83">
        <v>287815</v>
      </c>
      <c r="H513" s="72">
        <v>45715</v>
      </c>
      <c r="I513" s="166">
        <v>165410000</v>
      </c>
      <c r="J513" s="166">
        <v>16541000</v>
      </c>
      <c r="K513" s="166">
        <v>17896250</v>
      </c>
      <c r="L513" s="166">
        <v>0</v>
      </c>
      <c r="M513" s="185">
        <v>0</v>
      </c>
      <c r="N513" s="166">
        <f t="shared" si="32"/>
        <v>130972750</v>
      </c>
      <c r="O513" s="36"/>
      <c r="P513" s="36"/>
    </row>
    <row r="514" spans="1:16" ht="120" x14ac:dyDescent="0.25">
      <c r="A514" s="73" t="s">
        <v>23</v>
      </c>
      <c r="B514" s="83">
        <v>901867911</v>
      </c>
      <c r="C514" s="74" t="s">
        <v>687</v>
      </c>
      <c r="D514" s="83" t="s">
        <v>686</v>
      </c>
      <c r="E514" s="75" t="s">
        <v>394</v>
      </c>
      <c r="F514" s="76" t="s">
        <v>979</v>
      </c>
      <c r="G514" s="83">
        <v>288609</v>
      </c>
      <c r="H514" s="72">
        <v>45716</v>
      </c>
      <c r="I514" s="166">
        <v>448306442</v>
      </c>
      <c r="J514" s="166">
        <v>44830644</v>
      </c>
      <c r="K514" s="166">
        <v>40057089.480000004</v>
      </c>
      <c r="L514" s="166">
        <v>0</v>
      </c>
      <c r="M514" s="185">
        <v>0</v>
      </c>
      <c r="N514" s="166">
        <f t="shared" si="32"/>
        <v>363418708.51999998</v>
      </c>
      <c r="O514" s="36"/>
      <c r="P514" s="36"/>
    </row>
    <row r="515" spans="1:16" ht="60" x14ac:dyDescent="0.25">
      <c r="A515" s="73" t="s">
        <v>381</v>
      </c>
      <c r="B515" s="83">
        <v>59312287</v>
      </c>
      <c r="C515" s="74" t="s">
        <v>172</v>
      </c>
      <c r="D515" s="83" t="s">
        <v>171</v>
      </c>
      <c r="E515" s="75" t="s">
        <v>394</v>
      </c>
      <c r="F515" s="76" t="s">
        <v>980</v>
      </c>
      <c r="G515" s="83">
        <v>287905</v>
      </c>
      <c r="H515" s="72">
        <v>45715</v>
      </c>
      <c r="I515" s="166">
        <v>29609580</v>
      </c>
      <c r="J515" s="166">
        <v>2960958</v>
      </c>
      <c r="K515" s="166">
        <v>3184896</v>
      </c>
      <c r="L515" s="166">
        <v>0</v>
      </c>
      <c r="M515" s="185">
        <v>0</v>
      </c>
      <c r="N515" s="166">
        <f t="shared" si="32"/>
        <v>23463726</v>
      </c>
      <c r="O515" s="36"/>
      <c r="P515" s="36"/>
    </row>
    <row r="516" spans="1:16" x14ac:dyDescent="0.25">
      <c r="A516" s="73" t="s">
        <v>23</v>
      </c>
      <c r="B516" s="83">
        <v>891102764</v>
      </c>
      <c r="C516" s="74" t="s">
        <v>750</v>
      </c>
      <c r="D516" s="83" t="s">
        <v>60</v>
      </c>
      <c r="E516" s="75" t="s">
        <v>378</v>
      </c>
      <c r="F516" s="76" t="s">
        <v>888</v>
      </c>
      <c r="G516" s="83" t="s">
        <v>60</v>
      </c>
      <c r="H516" s="72">
        <v>45694</v>
      </c>
      <c r="I516" s="166">
        <v>544585.59</v>
      </c>
      <c r="J516" s="166"/>
      <c r="K516" s="166">
        <v>0</v>
      </c>
      <c r="L516" s="166"/>
      <c r="M516" s="185">
        <v>414.41</v>
      </c>
      <c r="N516" s="166">
        <f t="shared" si="32"/>
        <v>545000</v>
      </c>
      <c r="O516" s="36"/>
      <c r="P516" s="36"/>
    </row>
    <row r="517" spans="1:16" x14ac:dyDescent="0.25">
      <c r="A517" s="73" t="s">
        <v>23</v>
      </c>
      <c r="B517" s="83">
        <v>800070375</v>
      </c>
      <c r="C517" s="74" t="s">
        <v>946</v>
      </c>
      <c r="D517" s="83" t="s">
        <v>60</v>
      </c>
      <c r="E517" s="75" t="s">
        <v>378</v>
      </c>
      <c r="F517" s="76" t="s">
        <v>888</v>
      </c>
      <c r="G517" s="83" t="s">
        <v>60</v>
      </c>
      <c r="H517" s="72">
        <v>45694</v>
      </c>
      <c r="I517" s="166">
        <v>626632.06000000006</v>
      </c>
      <c r="J517" s="166"/>
      <c r="K517" s="166">
        <v>0</v>
      </c>
      <c r="L517" s="166"/>
      <c r="M517" s="185">
        <v>367.94</v>
      </c>
      <c r="N517" s="166">
        <f t="shared" si="32"/>
        <v>627000</v>
      </c>
      <c r="O517" s="36"/>
      <c r="P517" s="36"/>
    </row>
    <row r="518" spans="1:16" ht="30" x14ac:dyDescent="0.25">
      <c r="A518" s="73" t="s">
        <v>23</v>
      </c>
      <c r="B518" s="83">
        <v>899999090</v>
      </c>
      <c r="C518" s="74" t="s">
        <v>450</v>
      </c>
      <c r="D518" s="83" t="s">
        <v>60</v>
      </c>
      <c r="E518" s="75" t="s">
        <v>378</v>
      </c>
      <c r="F518" s="76" t="s">
        <v>981</v>
      </c>
      <c r="G518" s="83" t="s">
        <v>60</v>
      </c>
      <c r="H518" s="72">
        <v>45698</v>
      </c>
      <c r="I518" s="166">
        <v>250867654.80000001</v>
      </c>
      <c r="J518" s="166"/>
      <c r="K518" s="166">
        <v>0</v>
      </c>
      <c r="L518" s="166"/>
      <c r="M518" s="185">
        <v>345.2</v>
      </c>
      <c r="N518" s="166">
        <f t="shared" si="32"/>
        <v>250868000</v>
      </c>
      <c r="O518" s="36"/>
      <c r="P518" s="36"/>
    </row>
    <row r="519" spans="1:16" x14ac:dyDescent="0.25">
      <c r="A519" s="73" t="s">
        <v>23</v>
      </c>
      <c r="B519" s="83">
        <v>800098911</v>
      </c>
      <c r="C519" s="74" t="s">
        <v>704</v>
      </c>
      <c r="D519" s="83" t="s">
        <v>60</v>
      </c>
      <c r="E519" s="75" t="s">
        <v>378</v>
      </c>
      <c r="F519" s="76" t="s">
        <v>888</v>
      </c>
      <c r="G519" s="83" t="s">
        <v>60</v>
      </c>
      <c r="H519" s="72">
        <v>45698</v>
      </c>
      <c r="I519" s="166">
        <v>269812.56</v>
      </c>
      <c r="J519" s="166"/>
      <c r="K519" s="166">
        <v>0</v>
      </c>
      <c r="L519" s="166"/>
      <c r="M519" s="185">
        <v>187.44</v>
      </c>
      <c r="N519" s="166">
        <f t="shared" si="32"/>
        <v>270000</v>
      </c>
      <c r="O519" s="36"/>
      <c r="P519" s="36"/>
    </row>
    <row r="520" spans="1:16" ht="45" x14ac:dyDescent="0.25">
      <c r="A520" s="73" t="s">
        <v>23</v>
      </c>
      <c r="B520" s="83">
        <v>892115007</v>
      </c>
      <c r="C520" s="74" t="s">
        <v>705</v>
      </c>
      <c r="D520" s="83" t="s">
        <v>60</v>
      </c>
      <c r="E520" s="75" t="s">
        <v>378</v>
      </c>
      <c r="F520" s="76" t="s">
        <v>888</v>
      </c>
      <c r="G520" s="83" t="s">
        <v>60</v>
      </c>
      <c r="H520" s="72">
        <v>45698</v>
      </c>
      <c r="I520" s="166">
        <v>122653.8</v>
      </c>
      <c r="J520" s="166"/>
      <c r="K520" s="166">
        <v>0</v>
      </c>
      <c r="L520" s="166"/>
      <c r="M520" s="185">
        <v>346.2</v>
      </c>
      <c r="N520" s="166">
        <f t="shared" si="32"/>
        <v>123000</v>
      </c>
      <c r="O520" s="36"/>
      <c r="P520" s="36"/>
    </row>
    <row r="521" spans="1:16" ht="30" x14ac:dyDescent="0.25">
      <c r="A521" s="73" t="s">
        <v>23</v>
      </c>
      <c r="B521" s="83">
        <v>800096585</v>
      </c>
      <c r="C521" s="74" t="s">
        <v>451</v>
      </c>
      <c r="D521" s="83" t="s">
        <v>60</v>
      </c>
      <c r="E521" s="75" t="s">
        <v>378</v>
      </c>
      <c r="F521" s="76" t="s">
        <v>888</v>
      </c>
      <c r="G521" s="83" t="s">
        <v>60</v>
      </c>
      <c r="H521" s="72">
        <v>45698</v>
      </c>
      <c r="I521" s="166">
        <v>1619610.39</v>
      </c>
      <c r="J521" s="166"/>
      <c r="K521" s="166">
        <v>0</v>
      </c>
      <c r="L521" s="166"/>
      <c r="M521" s="185">
        <v>389.61</v>
      </c>
      <c r="N521" s="166">
        <f t="shared" si="32"/>
        <v>1620000</v>
      </c>
      <c r="O521" s="36"/>
      <c r="P521" s="36"/>
    </row>
    <row r="522" spans="1:16" x14ac:dyDescent="0.25">
      <c r="A522" s="73" t="s">
        <v>23</v>
      </c>
      <c r="B522" s="83">
        <v>800138959</v>
      </c>
      <c r="C522" s="74" t="s">
        <v>700</v>
      </c>
      <c r="D522" s="83" t="s">
        <v>60</v>
      </c>
      <c r="E522" s="75" t="s">
        <v>378</v>
      </c>
      <c r="F522" s="76" t="s">
        <v>802</v>
      </c>
      <c r="G522" s="83" t="s">
        <v>60</v>
      </c>
      <c r="H522" s="72">
        <v>45698</v>
      </c>
      <c r="I522" s="166">
        <v>105258.59</v>
      </c>
      <c r="J522" s="166"/>
      <c r="K522" s="166">
        <v>0</v>
      </c>
      <c r="L522" s="166"/>
      <c r="M522" s="185">
        <v>-258.58999999999997</v>
      </c>
      <c r="N522" s="166">
        <f t="shared" si="32"/>
        <v>105000</v>
      </c>
      <c r="O522" s="36"/>
      <c r="P522" s="36"/>
    </row>
    <row r="523" spans="1:16" x14ac:dyDescent="0.25">
      <c r="A523" s="73" t="s">
        <v>23</v>
      </c>
      <c r="B523" s="83">
        <v>800138959</v>
      </c>
      <c r="C523" s="74" t="s">
        <v>700</v>
      </c>
      <c r="D523" s="83" t="s">
        <v>60</v>
      </c>
      <c r="E523" s="75" t="s">
        <v>378</v>
      </c>
      <c r="F523" s="76" t="s">
        <v>801</v>
      </c>
      <c r="G523" s="83" t="s">
        <v>60</v>
      </c>
      <c r="H523" s="72">
        <v>45698</v>
      </c>
      <c r="I523" s="166">
        <v>315775.76</v>
      </c>
      <c r="J523" s="166"/>
      <c r="K523" s="166">
        <v>0</v>
      </c>
      <c r="L523" s="166"/>
      <c r="M523" s="185">
        <v>224.24</v>
      </c>
      <c r="N523" s="166">
        <f t="shared" si="32"/>
        <v>316000</v>
      </c>
      <c r="O523" s="36"/>
      <c r="P523" s="36"/>
    </row>
    <row r="524" spans="1:16" ht="30" x14ac:dyDescent="0.25">
      <c r="A524" s="73" t="s">
        <v>23</v>
      </c>
      <c r="B524" s="83">
        <v>892120020</v>
      </c>
      <c r="C524" s="74" t="s">
        <v>756</v>
      </c>
      <c r="D524" s="83" t="s">
        <v>60</v>
      </c>
      <c r="E524" s="75" t="s">
        <v>378</v>
      </c>
      <c r="F524" s="76" t="s">
        <v>888</v>
      </c>
      <c r="G524" s="83" t="s">
        <v>60</v>
      </c>
      <c r="H524" s="72">
        <v>45698</v>
      </c>
      <c r="I524" s="166">
        <v>12322.52</v>
      </c>
      <c r="J524" s="166"/>
      <c r="K524" s="166">
        <v>0</v>
      </c>
      <c r="L524" s="166"/>
      <c r="M524" s="185">
        <v>-322.52</v>
      </c>
      <c r="N524" s="166">
        <f t="shared" si="32"/>
        <v>12000</v>
      </c>
      <c r="O524" s="36"/>
      <c r="P524" s="36"/>
    </row>
    <row r="525" spans="1:16" x14ac:dyDescent="0.25">
      <c r="A525" s="73" t="s">
        <v>23</v>
      </c>
      <c r="B525" s="83">
        <v>800138959</v>
      </c>
      <c r="C525" s="74" t="s">
        <v>700</v>
      </c>
      <c r="D525" s="83" t="s">
        <v>60</v>
      </c>
      <c r="E525" s="75" t="s">
        <v>378</v>
      </c>
      <c r="F525" s="76" t="s">
        <v>888</v>
      </c>
      <c r="G525" s="83" t="s">
        <v>60</v>
      </c>
      <c r="H525" s="72">
        <v>45698</v>
      </c>
      <c r="I525" s="166">
        <v>2105171.75</v>
      </c>
      <c r="J525" s="166"/>
      <c r="K525" s="166">
        <v>0</v>
      </c>
      <c r="L525" s="166"/>
      <c r="M525" s="185">
        <v>-171.75</v>
      </c>
      <c r="N525" s="166">
        <f t="shared" si="32"/>
        <v>2105000</v>
      </c>
      <c r="O525" s="36"/>
      <c r="P525" s="36"/>
    </row>
    <row r="526" spans="1:16" x14ac:dyDescent="0.25">
      <c r="A526" s="73" t="s">
        <v>23</v>
      </c>
      <c r="B526" s="83">
        <v>800099317</v>
      </c>
      <c r="C526" s="74" t="s">
        <v>850</v>
      </c>
      <c r="D526" s="83" t="s">
        <v>60</v>
      </c>
      <c r="E526" s="75" t="s">
        <v>378</v>
      </c>
      <c r="F526" s="76" t="s">
        <v>888</v>
      </c>
      <c r="G526" s="83" t="s">
        <v>60</v>
      </c>
      <c r="H526" s="72">
        <v>45699</v>
      </c>
      <c r="I526" s="166">
        <v>3082152.22</v>
      </c>
      <c r="J526" s="166"/>
      <c r="K526" s="166">
        <v>0</v>
      </c>
      <c r="L526" s="166"/>
      <c r="M526" s="185">
        <v>-152.22</v>
      </c>
      <c r="N526" s="166">
        <f t="shared" si="32"/>
        <v>3082000</v>
      </c>
      <c r="O526" s="36"/>
      <c r="P526" s="36"/>
    </row>
    <row r="527" spans="1:16" ht="30" x14ac:dyDescent="0.25">
      <c r="A527" s="73" t="s">
        <v>23</v>
      </c>
      <c r="B527" s="83">
        <v>891500580</v>
      </c>
      <c r="C527" s="74" t="s">
        <v>672</v>
      </c>
      <c r="D527" s="83" t="s">
        <v>60</v>
      </c>
      <c r="E527" s="75" t="s">
        <v>378</v>
      </c>
      <c r="F527" s="76" t="s">
        <v>888</v>
      </c>
      <c r="G527" s="83" t="s">
        <v>60</v>
      </c>
      <c r="H527" s="72">
        <v>45699</v>
      </c>
      <c r="I527" s="166">
        <v>87208.26</v>
      </c>
      <c r="J527" s="166"/>
      <c r="K527" s="166">
        <v>0</v>
      </c>
      <c r="L527" s="166"/>
      <c r="M527" s="185">
        <v>-208.26</v>
      </c>
      <c r="N527" s="166">
        <f t="shared" si="32"/>
        <v>87000</v>
      </c>
      <c r="O527" s="36"/>
      <c r="P527" s="36"/>
    </row>
    <row r="528" spans="1:16" x14ac:dyDescent="0.25">
      <c r="A528" s="73" t="s">
        <v>23</v>
      </c>
      <c r="B528" s="83">
        <v>800117687</v>
      </c>
      <c r="C528" s="74" t="s">
        <v>674</v>
      </c>
      <c r="D528" s="83" t="s">
        <v>60</v>
      </c>
      <c r="E528" s="75" t="s">
        <v>378</v>
      </c>
      <c r="F528" s="76" t="s">
        <v>888</v>
      </c>
      <c r="G528" s="83" t="s">
        <v>60</v>
      </c>
      <c r="H528" s="72">
        <v>45699</v>
      </c>
      <c r="I528" s="166">
        <v>903907.41</v>
      </c>
      <c r="J528" s="166"/>
      <c r="K528" s="166">
        <v>0</v>
      </c>
      <c r="L528" s="166"/>
      <c r="M528" s="185">
        <v>92.59</v>
      </c>
      <c r="N528" s="166">
        <f t="shared" si="32"/>
        <v>904000</v>
      </c>
      <c r="O528" s="36"/>
      <c r="P528" s="36"/>
    </row>
    <row r="529" spans="1:16" ht="30" x14ac:dyDescent="0.25">
      <c r="A529" s="73" t="s">
        <v>23</v>
      </c>
      <c r="B529" s="83">
        <v>800100519</v>
      </c>
      <c r="C529" s="74" t="s">
        <v>666</v>
      </c>
      <c r="D529" s="83" t="s">
        <v>60</v>
      </c>
      <c r="E529" s="75" t="s">
        <v>378</v>
      </c>
      <c r="F529" s="76" t="s">
        <v>888</v>
      </c>
      <c r="G529" s="83" t="s">
        <v>60</v>
      </c>
      <c r="H529" s="72">
        <v>45699</v>
      </c>
      <c r="I529" s="166">
        <v>87208.26</v>
      </c>
      <c r="J529" s="166"/>
      <c r="K529" s="166">
        <v>0</v>
      </c>
      <c r="L529" s="166"/>
      <c r="M529" s="185">
        <v>-208.26</v>
      </c>
      <c r="N529" s="166">
        <f t="shared" si="32"/>
        <v>87000</v>
      </c>
      <c r="O529" s="36"/>
      <c r="P529" s="36"/>
    </row>
    <row r="530" spans="1:16" ht="30" x14ac:dyDescent="0.25">
      <c r="A530" s="73" t="s">
        <v>23</v>
      </c>
      <c r="B530" s="83">
        <v>891480032</v>
      </c>
      <c r="C530" s="74" t="s">
        <v>851</v>
      </c>
      <c r="D530" s="83" t="s">
        <v>60</v>
      </c>
      <c r="E530" s="75" t="s">
        <v>378</v>
      </c>
      <c r="F530" s="76" t="s">
        <v>888</v>
      </c>
      <c r="G530" s="83" t="s">
        <v>60</v>
      </c>
      <c r="H530" s="72">
        <v>45699</v>
      </c>
      <c r="I530" s="166">
        <v>284919.58</v>
      </c>
      <c r="J530" s="166"/>
      <c r="K530" s="166">
        <v>0</v>
      </c>
      <c r="L530" s="166"/>
      <c r="M530" s="185">
        <v>80.42</v>
      </c>
      <c r="N530" s="166">
        <f t="shared" si="32"/>
        <v>285000</v>
      </c>
      <c r="O530" s="36"/>
      <c r="P530" s="36"/>
    </row>
    <row r="531" spans="1:16" x14ac:dyDescent="0.25">
      <c r="A531" s="73" t="s">
        <v>23</v>
      </c>
      <c r="B531" s="83">
        <v>800096576</v>
      </c>
      <c r="C531" s="74" t="s">
        <v>452</v>
      </c>
      <c r="D531" s="83" t="s">
        <v>60</v>
      </c>
      <c r="E531" s="75" t="s">
        <v>378</v>
      </c>
      <c r="F531" s="76" t="s">
        <v>888</v>
      </c>
      <c r="G531" s="83" t="s">
        <v>60</v>
      </c>
      <c r="H531" s="72">
        <v>45700</v>
      </c>
      <c r="I531" s="166">
        <v>1117076.3600000001</v>
      </c>
      <c r="J531" s="166"/>
      <c r="K531" s="166">
        <v>0</v>
      </c>
      <c r="L531" s="166"/>
      <c r="M531" s="185">
        <v>-76.36</v>
      </c>
      <c r="N531" s="166">
        <f t="shared" si="32"/>
        <v>1117000</v>
      </c>
      <c r="O531" s="36"/>
      <c r="P531" s="36"/>
    </row>
    <row r="532" spans="1:16" ht="45" x14ac:dyDescent="0.25">
      <c r="A532" s="73" t="s">
        <v>23</v>
      </c>
      <c r="B532" s="83">
        <v>800197268</v>
      </c>
      <c r="C532" s="74" t="s">
        <v>449</v>
      </c>
      <c r="D532" s="83" t="s">
        <v>60</v>
      </c>
      <c r="E532" s="75" t="s">
        <v>378</v>
      </c>
      <c r="F532" s="76" t="s">
        <v>982</v>
      </c>
      <c r="G532" s="83" t="s">
        <v>60</v>
      </c>
      <c r="H532" s="72">
        <v>45708</v>
      </c>
      <c r="I532" s="166">
        <v>161103585.71000001</v>
      </c>
      <c r="J532" s="166"/>
      <c r="K532" s="166">
        <v>0</v>
      </c>
      <c r="L532" s="166"/>
      <c r="M532" s="185">
        <v>414.29</v>
      </c>
      <c r="N532" s="166">
        <f t="shared" si="32"/>
        <v>161104000</v>
      </c>
      <c r="O532" s="36"/>
      <c r="P532" s="36"/>
    </row>
    <row r="533" spans="1:16" ht="36.75" customHeight="1" x14ac:dyDescent="0.25">
      <c r="F533" s="107" t="s">
        <v>991</v>
      </c>
      <c r="I533" s="184">
        <f>+SUM(I482:I532)</f>
        <v>9089384226.9499989</v>
      </c>
      <c r="J533" s="184">
        <f t="shared" ref="J533:N533" si="33">+SUM(J482:J532)</f>
        <v>866612869.11999965</v>
      </c>
      <c r="K533" s="184">
        <f t="shared" si="33"/>
        <v>750545358.10000002</v>
      </c>
      <c r="L533" s="184">
        <f t="shared" si="33"/>
        <v>53195273.150000006</v>
      </c>
      <c r="M533" s="184">
        <f t="shared" si="33"/>
        <v>1464.3800000000003</v>
      </c>
      <c r="N533" s="184">
        <f t="shared" si="33"/>
        <v>7419032190.9600029</v>
      </c>
      <c r="O533" s="100"/>
      <c r="P533" s="36"/>
    </row>
    <row r="534" spans="1:16" ht="135" x14ac:dyDescent="0.25">
      <c r="A534" s="73" t="s">
        <v>23</v>
      </c>
      <c r="B534" s="83">
        <v>901839812</v>
      </c>
      <c r="C534" s="74" t="s">
        <v>461</v>
      </c>
      <c r="D534" s="83" t="s">
        <v>460</v>
      </c>
      <c r="E534" s="75" t="s">
        <v>394</v>
      </c>
      <c r="F534" s="76" t="s">
        <v>1024</v>
      </c>
      <c r="G534" s="83">
        <v>290164</v>
      </c>
      <c r="H534" s="72">
        <v>45733</v>
      </c>
      <c r="I534" s="166">
        <v>8147515.7300000004</v>
      </c>
      <c r="J534" s="166">
        <v>814751.57</v>
      </c>
      <c r="K534" s="166">
        <v>489679.38</v>
      </c>
      <c r="L534" s="166">
        <v>0</v>
      </c>
      <c r="M534" s="185">
        <v>0</v>
      </c>
      <c r="N534" s="166">
        <f>+I534-J534-K534-L534+M534</f>
        <v>6843084.7800000003</v>
      </c>
      <c r="O534" s="36"/>
      <c r="P534" s="36"/>
    </row>
    <row r="535" spans="1:16" ht="105" x14ac:dyDescent="0.25">
      <c r="A535" s="73" t="s">
        <v>23</v>
      </c>
      <c r="B535" s="83">
        <v>901808808</v>
      </c>
      <c r="C535" s="74" t="s">
        <v>140</v>
      </c>
      <c r="D535" s="83" t="s">
        <v>139</v>
      </c>
      <c r="E535" s="75" t="s">
        <v>394</v>
      </c>
      <c r="F535" s="76" t="s">
        <v>1025</v>
      </c>
      <c r="G535" s="83">
        <v>291712</v>
      </c>
      <c r="H535" s="72">
        <v>45744</v>
      </c>
      <c r="I535" s="166">
        <v>97216881</v>
      </c>
      <c r="J535" s="166">
        <v>9721688</v>
      </c>
      <c r="K535" s="166">
        <v>5699850.2400000012</v>
      </c>
      <c r="L535" s="166">
        <v>0</v>
      </c>
      <c r="M535" s="185">
        <v>0</v>
      </c>
      <c r="N535" s="166">
        <f t="shared" ref="N535:N597" si="34">+I535-J535-K535-L535+M535</f>
        <v>81795342.760000005</v>
      </c>
      <c r="O535" s="36"/>
      <c r="P535" s="36"/>
    </row>
    <row r="536" spans="1:16" ht="90" x14ac:dyDescent="0.25">
      <c r="A536" s="73" t="s">
        <v>23</v>
      </c>
      <c r="B536" s="83">
        <v>901811721</v>
      </c>
      <c r="C536" s="74" t="s">
        <v>137</v>
      </c>
      <c r="D536" s="83" t="s">
        <v>136</v>
      </c>
      <c r="E536" s="75" t="s">
        <v>394</v>
      </c>
      <c r="F536" s="76" t="s">
        <v>1026</v>
      </c>
      <c r="G536" s="83">
        <v>291675</v>
      </c>
      <c r="H536" s="72">
        <v>45744</v>
      </c>
      <c r="I536" s="166">
        <v>2392530927</v>
      </c>
      <c r="J536" s="166">
        <v>239253093</v>
      </c>
      <c r="K536" s="166">
        <v>232050153.52000001</v>
      </c>
      <c r="L536" s="166">
        <v>0</v>
      </c>
      <c r="M536" s="185">
        <v>0</v>
      </c>
      <c r="N536" s="166">
        <f t="shared" si="34"/>
        <v>1921227680.48</v>
      </c>
      <c r="O536" s="36"/>
      <c r="P536" s="36"/>
    </row>
    <row r="537" spans="1:16" ht="75" x14ac:dyDescent="0.25">
      <c r="A537" s="73" t="s">
        <v>23</v>
      </c>
      <c r="B537" s="83">
        <v>901811721</v>
      </c>
      <c r="C537" s="74" t="s">
        <v>137</v>
      </c>
      <c r="D537" s="83" t="s">
        <v>990</v>
      </c>
      <c r="E537" s="75" t="s">
        <v>394</v>
      </c>
      <c r="F537" s="76" t="s">
        <v>1027</v>
      </c>
      <c r="G537" s="83">
        <v>291785</v>
      </c>
      <c r="H537" s="72">
        <v>45742</v>
      </c>
      <c r="I537" s="166">
        <v>18255573.02</v>
      </c>
      <c r="J537" s="166">
        <v>0</v>
      </c>
      <c r="K537" s="166">
        <v>0</v>
      </c>
      <c r="L537" s="166">
        <v>0</v>
      </c>
      <c r="M537" s="185">
        <v>0</v>
      </c>
      <c r="N537" s="166">
        <f t="shared" si="34"/>
        <v>18255573.02</v>
      </c>
      <c r="O537" s="36"/>
      <c r="P537" s="36"/>
    </row>
    <row r="538" spans="1:16" ht="75" x14ac:dyDescent="0.25">
      <c r="A538" s="73" t="s">
        <v>23</v>
      </c>
      <c r="B538" s="83">
        <v>901794652</v>
      </c>
      <c r="C538" s="74" t="s">
        <v>191</v>
      </c>
      <c r="D538" s="83" t="s">
        <v>190</v>
      </c>
      <c r="E538" s="75" t="s">
        <v>394</v>
      </c>
      <c r="F538" s="76" t="s">
        <v>1028</v>
      </c>
      <c r="G538" s="83">
        <v>290413</v>
      </c>
      <c r="H538" s="72">
        <v>45734</v>
      </c>
      <c r="I538" s="166">
        <v>178171596.41</v>
      </c>
      <c r="J538" s="166">
        <v>17817159.640000001</v>
      </c>
      <c r="K538" s="166">
        <v>15678108.65</v>
      </c>
      <c r="L538" s="166">
        <v>0</v>
      </c>
      <c r="M538" s="185">
        <v>0</v>
      </c>
      <c r="N538" s="166">
        <f t="shared" si="34"/>
        <v>144676328.11999997</v>
      </c>
      <c r="O538" s="36"/>
      <c r="P538" s="36"/>
    </row>
    <row r="539" spans="1:16" ht="90" x14ac:dyDescent="0.25">
      <c r="A539" s="73" t="s">
        <v>23</v>
      </c>
      <c r="B539" s="83">
        <v>900503646</v>
      </c>
      <c r="C539" s="74" t="s">
        <v>194</v>
      </c>
      <c r="D539" s="83" t="s">
        <v>193</v>
      </c>
      <c r="E539" s="75" t="s">
        <v>394</v>
      </c>
      <c r="F539" s="76" t="s">
        <v>1029</v>
      </c>
      <c r="G539" s="83">
        <v>290832</v>
      </c>
      <c r="H539" s="72">
        <v>45743</v>
      </c>
      <c r="I539" s="166">
        <v>38167374.920000002</v>
      </c>
      <c r="J539" s="166">
        <v>3816737.49</v>
      </c>
      <c r="K539" s="166">
        <v>2316553.8000000003</v>
      </c>
      <c r="L539" s="166">
        <v>0</v>
      </c>
      <c r="M539" s="185">
        <v>0</v>
      </c>
      <c r="N539" s="166">
        <f t="shared" si="34"/>
        <v>32034083.629999999</v>
      </c>
      <c r="O539" s="36"/>
      <c r="P539" s="36"/>
    </row>
    <row r="540" spans="1:16" ht="105" x14ac:dyDescent="0.25">
      <c r="A540" s="73" t="s">
        <v>23</v>
      </c>
      <c r="B540" s="83">
        <v>901842060</v>
      </c>
      <c r="C540" s="74" t="s">
        <v>493</v>
      </c>
      <c r="D540" s="83" t="s">
        <v>492</v>
      </c>
      <c r="E540" s="75" t="s">
        <v>394</v>
      </c>
      <c r="F540" s="76" t="s">
        <v>1030</v>
      </c>
      <c r="G540" s="83">
        <v>290833</v>
      </c>
      <c r="H540" s="72">
        <v>45742</v>
      </c>
      <c r="I540" s="166">
        <v>1111921556.99</v>
      </c>
      <c r="J540" s="166">
        <v>111192155.7</v>
      </c>
      <c r="K540" s="166">
        <v>96690626.24000001</v>
      </c>
      <c r="L540" s="166">
        <v>0</v>
      </c>
      <c r="M540" s="185">
        <v>0</v>
      </c>
      <c r="N540" s="166">
        <f t="shared" si="34"/>
        <v>904038775.04999995</v>
      </c>
      <c r="O540" s="36"/>
      <c r="P540" s="36"/>
    </row>
    <row r="541" spans="1:16" ht="135" x14ac:dyDescent="0.25">
      <c r="A541" s="73" t="s">
        <v>23</v>
      </c>
      <c r="B541" s="83">
        <v>901841724</v>
      </c>
      <c r="C541" s="74" t="s">
        <v>497</v>
      </c>
      <c r="D541" s="83" t="s">
        <v>496</v>
      </c>
      <c r="E541" s="75" t="s">
        <v>394</v>
      </c>
      <c r="F541" s="76" t="s">
        <v>1031</v>
      </c>
      <c r="G541" s="83">
        <v>290561</v>
      </c>
      <c r="H541" s="72">
        <v>45737</v>
      </c>
      <c r="I541" s="166">
        <v>64713649.5</v>
      </c>
      <c r="J541" s="166">
        <v>6471364.9500000002</v>
      </c>
      <c r="K541" s="166">
        <v>4005756.4499999997</v>
      </c>
      <c r="L541" s="166">
        <v>0</v>
      </c>
      <c r="M541" s="185">
        <v>0</v>
      </c>
      <c r="N541" s="166">
        <f t="shared" si="34"/>
        <v>54236528.099999994</v>
      </c>
      <c r="O541" s="36"/>
      <c r="P541" s="36"/>
    </row>
    <row r="542" spans="1:16" ht="135" x14ac:dyDescent="0.25">
      <c r="A542" s="73" t="s">
        <v>23</v>
      </c>
      <c r="B542" s="83">
        <v>900749719</v>
      </c>
      <c r="C542" s="74" t="s">
        <v>463</v>
      </c>
      <c r="D542" s="83" t="s">
        <v>462</v>
      </c>
      <c r="E542" s="75" t="s">
        <v>394</v>
      </c>
      <c r="F542" s="76" t="s">
        <v>1032</v>
      </c>
      <c r="G542" s="83">
        <v>290563</v>
      </c>
      <c r="H542" s="72">
        <v>45736</v>
      </c>
      <c r="I542" s="166">
        <v>1498120709.0699999</v>
      </c>
      <c r="J542" s="166">
        <v>149812070.91</v>
      </c>
      <c r="K542" s="166">
        <v>129173338.34</v>
      </c>
      <c r="L542" s="166">
        <v>54159684.75</v>
      </c>
      <c r="M542" s="185">
        <v>0</v>
      </c>
      <c r="N542" s="166">
        <f t="shared" si="34"/>
        <v>1164975615.0699999</v>
      </c>
      <c r="O542" s="36"/>
      <c r="P542" s="36"/>
    </row>
    <row r="543" spans="1:16" ht="105" x14ac:dyDescent="0.25">
      <c r="A543" s="73" t="s">
        <v>23</v>
      </c>
      <c r="B543" s="83">
        <v>900206662</v>
      </c>
      <c r="C543" s="74" t="s">
        <v>699</v>
      </c>
      <c r="D543" s="83" t="s">
        <v>160</v>
      </c>
      <c r="E543" s="75" t="s">
        <v>394</v>
      </c>
      <c r="F543" s="76" t="s">
        <v>1033</v>
      </c>
      <c r="G543" s="83">
        <v>290182</v>
      </c>
      <c r="H543" s="72">
        <v>45727</v>
      </c>
      <c r="I543" s="166">
        <v>1217645424.5599999</v>
      </c>
      <c r="J543" s="166">
        <v>121764542.45</v>
      </c>
      <c r="K543" s="166">
        <v>107498920.49000001</v>
      </c>
      <c r="L543" s="166">
        <v>0</v>
      </c>
      <c r="M543" s="185">
        <v>0</v>
      </c>
      <c r="N543" s="166">
        <f t="shared" si="34"/>
        <v>988381961.61999989</v>
      </c>
      <c r="O543" s="36"/>
      <c r="P543" s="36"/>
    </row>
    <row r="544" spans="1:16" ht="150" x14ac:dyDescent="0.25">
      <c r="A544" s="73" t="s">
        <v>23</v>
      </c>
      <c r="B544" s="83">
        <v>901800251</v>
      </c>
      <c r="C544" s="74" t="s">
        <v>243</v>
      </c>
      <c r="D544" s="83" t="s">
        <v>242</v>
      </c>
      <c r="E544" s="75" t="s">
        <v>394</v>
      </c>
      <c r="F544" s="76" t="s">
        <v>1034</v>
      </c>
      <c r="G544" s="83">
        <v>290949</v>
      </c>
      <c r="H544" s="72">
        <v>45744</v>
      </c>
      <c r="I544" s="166">
        <v>29510994.09</v>
      </c>
      <c r="J544" s="166">
        <v>2951099.41</v>
      </c>
      <c r="K544" s="166">
        <v>1746921.67</v>
      </c>
      <c r="L544" s="166">
        <v>0</v>
      </c>
      <c r="M544" s="185">
        <v>0</v>
      </c>
      <c r="N544" s="166">
        <f t="shared" si="34"/>
        <v>24812973.009999998</v>
      </c>
      <c r="O544" s="36"/>
      <c r="P544" s="36"/>
    </row>
    <row r="545" spans="1:16" ht="180" x14ac:dyDescent="0.25">
      <c r="A545" s="73" t="s">
        <v>23</v>
      </c>
      <c r="B545" s="83">
        <v>901840865</v>
      </c>
      <c r="C545" s="74" t="s">
        <v>501</v>
      </c>
      <c r="D545" s="83" t="s">
        <v>500</v>
      </c>
      <c r="E545" s="75" t="s">
        <v>394</v>
      </c>
      <c r="F545" s="76" t="s">
        <v>1035</v>
      </c>
      <c r="G545" s="83">
        <v>290564</v>
      </c>
      <c r="H545" s="72">
        <v>45736</v>
      </c>
      <c r="I545" s="166">
        <v>115686940.5</v>
      </c>
      <c r="J545" s="166">
        <v>11568694.050000001</v>
      </c>
      <c r="K545" s="166">
        <v>6999545.9800000004</v>
      </c>
      <c r="L545" s="166"/>
      <c r="M545" s="185">
        <v>0</v>
      </c>
      <c r="N545" s="166">
        <f t="shared" si="34"/>
        <v>97118700.469999999</v>
      </c>
      <c r="O545" s="36"/>
      <c r="P545" s="36"/>
    </row>
    <row r="546" spans="1:16" ht="120" x14ac:dyDescent="0.25">
      <c r="A546" s="73" t="s">
        <v>23</v>
      </c>
      <c r="B546" s="83">
        <v>901835722</v>
      </c>
      <c r="C546" s="74" t="s">
        <v>459</v>
      </c>
      <c r="D546" s="83" t="s">
        <v>458</v>
      </c>
      <c r="E546" s="75" t="s">
        <v>394</v>
      </c>
      <c r="F546" s="76" t="s">
        <v>1036</v>
      </c>
      <c r="G546" s="83">
        <v>290834</v>
      </c>
      <c r="H546" s="72">
        <v>45741</v>
      </c>
      <c r="I546" s="166">
        <v>1479560225.99</v>
      </c>
      <c r="J546" s="166">
        <v>147956022.59999999</v>
      </c>
      <c r="K546" s="166">
        <v>119446728.31999999</v>
      </c>
      <c r="L546" s="166">
        <v>0</v>
      </c>
      <c r="M546" s="185">
        <v>0</v>
      </c>
      <c r="N546" s="166">
        <f t="shared" si="34"/>
        <v>1212157475.0700002</v>
      </c>
      <c r="O546" s="36"/>
      <c r="P546" s="36"/>
    </row>
    <row r="547" spans="1:16" ht="120" x14ac:dyDescent="0.25">
      <c r="A547" s="73" t="s">
        <v>23</v>
      </c>
      <c r="B547" s="83">
        <v>901841741</v>
      </c>
      <c r="C547" s="74" t="s">
        <v>495</v>
      </c>
      <c r="D547" s="83" t="s">
        <v>494</v>
      </c>
      <c r="E547" s="75" t="s">
        <v>394</v>
      </c>
      <c r="F547" s="76" t="s">
        <v>1037</v>
      </c>
      <c r="G547" s="83">
        <v>290836</v>
      </c>
      <c r="H547" s="72">
        <v>45743</v>
      </c>
      <c r="I547" s="166">
        <v>72192441.109999999</v>
      </c>
      <c r="J547" s="166">
        <v>7219244.1100000003</v>
      </c>
      <c r="K547" s="166">
        <v>1911557.9300000002</v>
      </c>
      <c r="L547" s="166">
        <v>0</v>
      </c>
      <c r="M547" s="185">
        <v>0</v>
      </c>
      <c r="N547" s="166">
        <f t="shared" si="34"/>
        <v>63061639.07</v>
      </c>
      <c r="O547" s="36"/>
      <c r="P547" s="36"/>
    </row>
    <row r="548" spans="1:16" ht="105" x14ac:dyDescent="0.25">
      <c r="A548" s="73" t="s">
        <v>23</v>
      </c>
      <c r="B548" s="83">
        <v>901831256</v>
      </c>
      <c r="C548" s="74" t="s">
        <v>485</v>
      </c>
      <c r="D548" s="83" t="s">
        <v>484</v>
      </c>
      <c r="E548" s="75" t="s">
        <v>394</v>
      </c>
      <c r="F548" s="76" t="s">
        <v>1038</v>
      </c>
      <c r="G548" s="83">
        <v>291846</v>
      </c>
      <c r="H548" s="72">
        <v>45744</v>
      </c>
      <c r="I548" s="166">
        <v>19213077.789999999</v>
      </c>
      <c r="J548" s="166">
        <v>1921307.78</v>
      </c>
      <c r="K548" s="166">
        <v>1210908.27</v>
      </c>
      <c r="L548" s="166"/>
      <c r="M548" s="185">
        <v>0</v>
      </c>
      <c r="N548" s="166">
        <f t="shared" si="34"/>
        <v>16080861.739999998</v>
      </c>
      <c r="O548" s="36"/>
      <c r="P548" s="36"/>
    </row>
    <row r="549" spans="1:16" ht="120" x14ac:dyDescent="0.25">
      <c r="A549" s="73" t="s">
        <v>23</v>
      </c>
      <c r="B549" s="83">
        <v>901867911</v>
      </c>
      <c r="C549" s="74" t="s">
        <v>687</v>
      </c>
      <c r="D549" s="83" t="s">
        <v>686</v>
      </c>
      <c r="E549" s="75" t="s">
        <v>394</v>
      </c>
      <c r="F549" s="76" t="s">
        <v>1039</v>
      </c>
      <c r="G549" s="83">
        <v>290837</v>
      </c>
      <c r="H549" s="72">
        <v>45742</v>
      </c>
      <c r="I549" s="166">
        <v>883322340</v>
      </c>
      <c r="J549" s="166">
        <v>88332234</v>
      </c>
      <c r="K549" s="166">
        <v>73528971.950000003</v>
      </c>
      <c r="L549" s="166"/>
      <c r="M549" s="185">
        <v>0</v>
      </c>
      <c r="N549" s="166">
        <f t="shared" si="34"/>
        <v>721461134.04999995</v>
      </c>
      <c r="O549" s="36"/>
      <c r="P549" s="36"/>
    </row>
    <row r="550" spans="1:16" ht="150" x14ac:dyDescent="0.25">
      <c r="A550" s="73" t="s">
        <v>23</v>
      </c>
      <c r="B550" s="83">
        <v>901870297</v>
      </c>
      <c r="C550" s="74" t="s">
        <v>688</v>
      </c>
      <c r="D550" s="83" t="s">
        <v>689</v>
      </c>
      <c r="E550" s="75" t="s">
        <v>394</v>
      </c>
      <c r="F550" s="76" t="s">
        <v>1040</v>
      </c>
      <c r="G550" s="83">
        <v>291111</v>
      </c>
      <c r="H550" s="72">
        <v>45743</v>
      </c>
      <c r="I550" s="166">
        <v>43033245</v>
      </c>
      <c r="J550" s="166">
        <v>4303325</v>
      </c>
      <c r="K550" s="166">
        <v>2676016.94</v>
      </c>
      <c r="L550" s="166">
        <v>0</v>
      </c>
      <c r="M550" s="185">
        <v>0</v>
      </c>
      <c r="N550" s="166">
        <f t="shared" si="34"/>
        <v>36053903.060000002</v>
      </c>
      <c r="O550" s="36"/>
      <c r="P550" s="36"/>
    </row>
    <row r="551" spans="1:16" ht="90" x14ac:dyDescent="0.25">
      <c r="A551" s="73" t="s">
        <v>23</v>
      </c>
      <c r="B551" s="83">
        <v>900084333</v>
      </c>
      <c r="C551" s="74" t="s">
        <v>698</v>
      </c>
      <c r="D551" s="83" t="s">
        <v>241</v>
      </c>
      <c r="E551" s="75" t="s">
        <v>394</v>
      </c>
      <c r="F551" s="76" t="s">
        <v>1041</v>
      </c>
      <c r="G551" s="83">
        <v>292238</v>
      </c>
      <c r="H551" s="72">
        <v>45744</v>
      </c>
      <c r="I551" s="166">
        <v>741907188</v>
      </c>
      <c r="J551" s="166">
        <v>0</v>
      </c>
      <c r="K551" s="166">
        <v>66271070.339999996</v>
      </c>
      <c r="L551" s="166">
        <v>80000000</v>
      </c>
      <c r="M551" s="185">
        <v>0</v>
      </c>
      <c r="N551" s="166">
        <f t="shared" si="34"/>
        <v>595636117.65999997</v>
      </c>
      <c r="O551" s="36"/>
      <c r="P551" s="36"/>
    </row>
    <row r="552" spans="1:16" ht="120" x14ac:dyDescent="0.25">
      <c r="A552" s="73" t="s">
        <v>23</v>
      </c>
      <c r="B552" s="83">
        <v>901830109</v>
      </c>
      <c r="C552" s="74" t="s">
        <v>849</v>
      </c>
      <c r="D552" s="83" t="s">
        <v>432</v>
      </c>
      <c r="E552" s="75" t="s">
        <v>394</v>
      </c>
      <c r="F552" s="76" t="s">
        <v>1042</v>
      </c>
      <c r="G552" s="83">
        <v>290839</v>
      </c>
      <c r="H552" s="72">
        <v>45742</v>
      </c>
      <c r="I552" s="166">
        <v>1018157875.51</v>
      </c>
      <c r="J552" s="166">
        <v>101815787.55</v>
      </c>
      <c r="K552" s="166">
        <v>86021411.5</v>
      </c>
      <c r="L552" s="166">
        <v>20000000</v>
      </c>
      <c r="M552" s="185">
        <v>0</v>
      </c>
      <c r="N552" s="166">
        <f t="shared" si="34"/>
        <v>810320676.46000004</v>
      </c>
      <c r="O552" s="36"/>
      <c r="P552" s="36"/>
    </row>
    <row r="553" spans="1:16" ht="135" x14ac:dyDescent="0.25">
      <c r="A553" s="73" t="s">
        <v>381</v>
      </c>
      <c r="B553" s="83">
        <v>9050725</v>
      </c>
      <c r="C553" s="74" t="s">
        <v>288</v>
      </c>
      <c r="D553" s="83" t="s">
        <v>307</v>
      </c>
      <c r="E553" s="75" t="s">
        <v>394</v>
      </c>
      <c r="F553" s="76" t="s">
        <v>1043</v>
      </c>
      <c r="G553" s="83">
        <v>290856</v>
      </c>
      <c r="H553" s="72">
        <v>45743</v>
      </c>
      <c r="I553" s="166">
        <v>23289689.07</v>
      </c>
      <c r="J553" s="166">
        <v>2328968.91</v>
      </c>
      <c r="K553" s="166">
        <v>1467013.81</v>
      </c>
      <c r="L553" s="166"/>
      <c r="M553" s="185">
        <v>0</v>
      </c>
      <c r="N553" s="166">
        <f t="shared" si="34"/>
        <v>19493706.350000001</v>
      </c>
      <c r="O553" s="36"/>
      <c r="P553" s="36"/>
    </row>
    <row r="554" spans="1:16" ht="135" x14ac:dyDescent="0.25">
      <c r="A554" s="73" t="s">
        <v>23</v>
      </c>
      <c r="B554" s="83">
        <v>901820483</v>
      </c>
      <c r="C554" s="74" t="s">
        <v>406</v>
      </c>
      <c r="D554" s="83" t="s">
        <v>405</v>
      </c>
      <c r="E554" s="75" t="s">
        <v>394</v>
      </c>
      <c r="F554" s="76" t="s">
        <v>1044</v>
      </c>
      <c r="G554" s="83">
        <v>290952</v>
      </c>
      <c r="H554" s="72">
        <v>45744</v>
      </c>
      <c r="I554" s="166">
        <v>18620701.939999998</v>
      </c>
      <c r="J554" s="166">
        <v>1862070.19</v>
      </c>
      <c r="K554" s="166">
        <v>1114625.82</v>
      </c>
      <c r="L554" s="166"/>
      <c r="M554" s="185">
        <v>0</v>
      </c>
      <c r="N554" s="166">
        <f t="shared" si="34"/>
        <v>15644005.929999998</v>
      </c>
      <c r="O554" s="36"/>
      <c r="P554" s="36"/>
    </row>
    <row r="555" spans="1:16" ht="150" x14ac:dyDescent="0.25">
      <c r="A555" s="73" t="s">
        <v>23</v>
      </c>
      <c r="B555" s="83">
        <v>901808735</v>
      </c>
      <c r="C555" s="74" t="s">
        <v>272</v>
      </c>
      <c r="D555" s="83" t="s">
        <v>271</v>
      </c>
      <c r="E555" s="75" t="s">
        <v>394</v>
      </c>
      <c r="F555" s="76" t="s">
        <v>1045</v>
      </c>
      <c r="G555" s="83">
        <v>291334</v>
      </c>
      <c r="H555" s="72">
        <v>45743</v>
      </c>
      <c r="I555" s="166">
        <v>51623730.899999999</v>
      </c>
      <c r="J555" s="166">
        <v>5162373.09</v>
      </c>
      <c r="K555" s="166">
        <v>3140073.2800000003</v>
      </c>
      <c r="L555" s="166"/>
      <c r="M555" s="185">
        <v>0</v>
      </c>
      <c r="N555" s="166">
        <f t="shared" si="34"/>
        <v>43321284.530000001</v>
      </c>
      <c r="O555" s="36"/>
      <c r="P555" s="36"/>
    </row>
    <row r="556" spans="1:16" ht="105" x14ac:dyDescent="0.25">
      <c r="A556" s="73" t="s">
        <v>23</v>
      </c>
      <c r="B556" s="83">
        <v>901803620</v>
      </c>
      <c r="C556" s="74" t="s">
        <v>285</v>
      </c>
      <c r="D556" s="83" t="s">
        <v>284</v>
      </c>
      <c r="E556" s="75" t="s">
        <v>394</v>
      </c>
      <c r="F556" s="76" t="s">
        <v>1046</v>
      </c>
      <c r="G556" s="83">
        <v>290857</v>
      </c>
      <c r="H556" s="72">
        <v>45743</v>
      </c>
      <c r="I556" s="166">
        <v>726694013.17999995</v>
      </c>
      <c r="J556" s="166">
        <v>72669401.319999993</v>
      </c>
      <c r="K556" s="166">
        <v>64133143.969999999</v>
      </c>
      <c r="L556" s="166"/>
      <c r="M556" s="185">
        <v>0</v>
      </c>
      <c r="N556" s="166">
        <f t="shared" si="34"/>
        <v>589891467.88999987</v>
      </c>
      <c r="O556" s="36"/>
      <c r="P556" s="36"/>
    </row>
    <row r="557" spans="1:16" ht="120" x14ac:dyDescent="0.25">
      <c r="A557" s="73" t="s">
        <v>23</v>
      </c>
      <c r="B557" s="83">
        <v>901819116</v>
      </c>
      <c r="C557" s="74" t="s">
        <v>431</v>
      </c>
      <c r="D557" s="83" t="s">
        <v>430</v>
      </c>
      <c r="E557" s="75" t="s">
        <v>394</v>
      </c>
      <c r="F557" s="76" t="s">
        <v>1047</v>
      </c>
      <c r="G557" s="83">
        <v>291172</v>
      </c>
      <c r="H557" s="72">
        <v>45744</v>
      </c>
      <c r="I557" s="166">
        <v>17683206.050000001</v>
      </c>
      <c r="J557" s="166">
        <v>1768320.61</v>
      </c>
      <c r="K557" s="166">
        <v>1440156.46</v>
      </c>
      <c r="L557" s="166"/>
      <c r="M557" s="185">
        <v>0</v>
      </c>
      <c r="N557" s="166">
        <f t="shared" si="34"/>
        <v>14474728.98</v>
      </c>
      <c r="O557" s="36"/>
      <c r="P557" s="36"/>
    </row>
    <row r="558" spans="1:16" ht="120" x14ac:dyDescent="0.25">
      <c r="A558" s="73" t="s">
        <v>381</v>
      </c>
      <c r="B558" s="83">
        <v>9050725</v>
      </c>
      <c r="C558" s="74" t="s">
        <v>288</v>
      </c>
      <c r="D558" s="83" t="s">
        <v>287</v>
      </c>
      <c r="E558" s="75" t="s">
        <v>394</v>
      </c>
      <c r="F558" s="76" t="s">
        <v>1048</v>
      </c>
      <c r="G558" s="83">
        <v>291614</v>
      </c>
      <c r="H558" s="72">
        <v>45743</v>
      </c>
      <c r="I558" s="166">
        <v>101521208.53</v>
      </c>
      <c r="J558" s="166">
        <v>10152120.85</v>
      </c>
      <c r="K558" s="166">
        <v>6184574.9600000009</v>
      </c>
      <c r="L558" s="166">
        <v>0</v>
      </c>
      <c r="M558" s="185">
        <v>0</v>
      </c>
      <c r="N558" s="166">
        <f t="shared" si="34"/>
        <v>85184512.719999999</v>
      </c>
      <c r="O558" s="36"/>
      <c r="P558" s="36"/>
    </row>
    <row r="559" spans="1:16" ht="135" x14ac:dyDescent="0.25">
      <c r="A559" s="73" t="s">
        <v>23</v>
      </c>
      <c r="B559" s="83">
        <v>900591185</v>
      </c>
      <c r="C559" s="74" t="s">
        <v>695</v>
      </c>
      <c r="D559" s="83" t="s">
        <v>694</v>
      </c>
      <c r="E559" s="75" t="s">
        <v>394</v>
      </c>
      <c r="F559" s="76" t="s">
        <v>1049</v>
      </c>
      <c r="G559" s="83">
        <v>291326</v>
      </c>
      <c r="H559" s="72">
        <v>45744</v>
      </c>
      <c r="I559" s="166">
        <v>205059711</v>
      </c>
      <c r="J559" s="166">
        <v>20505971</v>
      </c>
      <c r="K559" s="166">
        <v>16411765.170000002</v>
      </c>
      <c r="L559" s="166"/>
      <c r="M559" s="185">
        <v>0</v>
      </c>
      <c r="N559" s="166">
        <f t="shared" si="34"/>
        <v>168141974.82999998</v>
      </c>
      <c r="O559" s="36"/>
      <c r="P559" s="36"/>
    </row>
    <row r="560" spans="1:16" ht="135" x14ac:dyDescent="0.25">
      <c r="A560" s="73" t="s">
        <v>381</v>
      </c>
      <c r="B560" s="83">
        <v>12754374</v>
      </c>
      <c r="C560" s="74" t="s">
        <v>269</v>
      </c>
      <c r="D560" s="83" t="s">
        <v>268</v>
      </c>
      <c r="E560" s="75" t="s">
        <v>394</v>
      </c>
      <c r="F560" s="76" t="s">
        <v>1050</v>
      </c>
      <c r="G560" s="83">
        <v>290978</v>
      </c>
      <c r="H560" s="72">
        <v>45744</v>
      </c>
      <c r="I560" s="166">
        <v>142911587.86000001</v>
      </c>
      <c r="J560" s="166">
        <v>14291158.789999999</v>
      </c>
      <c r="K560" s="166">
        <v>12391185.07</v>
      </c>
      <c r="L560" s="166"/>
      <c r="M560" s="185">
        <v>0</v>
      </c>
      <c r="N560" s="166">
        <f t="shared" si="34"/>
        <v>116229244.00000003</v>
      </c>
      <c r="O560" s="36"/>
      <c r="P560" s="36"/>
    </row>
    <row r="561" spans="1:16" ht="150" x14ac:dyDescent="0.25">
      <c r="A561" s="73" t="s">
        <v>381</v>
      </c>
      <c r="B561" s="83">
        <v>12979612</v>
      </c>
      <c r="C561" s="74" t="s">
        <v>491</v>
      </c>
      <c r="D561" s="83" t="s">
        <v>490</v>
      </c>
      <c r="E561" s="75" t="s">
        <v>394</v>
      </c>
      <c r="F561" s="76" t="s">
        <v>1051</v>
      </c>
      <c r="G561" s="83">
        <v>291328</v>
      </c>
      <c r="H561" s="72">
        <v>45744</v>
      </c>
      <c r="I561" s="166">
        <v>50448439.909999996</v>
      </c>
      <c r="J561" s="166">
        <v>5044843.9899999993</v>
      </c>
      <c r="K561" s="166">
        <v>3170778.9499999997</v>
      </c>
      <c r="L561" s="166"/>
      <c r="M561" s="185">
        <v>0</v>
      </c>
      <c r="N561" s="166">
        <f t="shared" si="34"/>
        <v>42232816.969999991</v>
      </c>
      <c r="O561" s="36"/>
      <c r="P561" s="36"/>
    </row>
    <row r="562" spans="1:16" ht="135" x14ac:dyDescent="0.25">
      <c r="A562" s="73" t="s">
        <v>23</v>
      </c>
      <c r="B562" s="83">
        <v>901843292</v>
      </c>
      <c r="C562" s="74" t="s">
        <v>487</v>
      </c>
      <c r="D562" s="83" t="s">
        <v>486</v>
      </c>
      <c r="E562" s="75" t="s">
        <v>394</v>
      </c>
      <c r="F562" s="76" t="s">
        <v>1052</v>
      </c>
      <c r="G562" s="83">
        <v>291336</v>
      </c>
      <c r="H562" s="72">
        <v>45743</v>
      </c>
      <c r="I562" s="166">
        <v>302477531.56</v>
      </c>
      <c r="J562" s="166">
        <v>30247753.16</v>
      </c>
      <c r="K562" s="166">
        <v>25534996.649999999</v>
      </c>
      <c r="L562" s="166"/>
      <c r="M562" s="185">
        <v>0</v>
      </c>
      <c r="N562" s="166">
        <f t="shared" si="34"/>
        <v>246694781.74999997</v>
      </c>
      <c r="O562" s="36"/>
      <c r="P562" s="36"/>
    </row>
    <row r="563" spans="1:16" ht="30" x14ac:dyDescent="0.25">
      <c r="A563" s="73" t="s">
        <v>23</v>
      </c>
      <c r="B563" s="83">
        <v>891480022</v>
      </c>
      <c r="C563" s="74" t="s">
        <v>892</v>
      </c>
      <c r="D563" s="83" t="s">
        <v>60</v>
      </c>
      <c r="E563" s="75" t="s">
        <v>378</v>
      </c>
      <c r="F563" s="76" t="s">
        <v>1053</v>
      </c>
      <c r="G563" s="83" t="s">
        <v>60</v>
      </c>
      <c r="H563" s="72">
        <v>45720</v>
      </c>
      <c r="I563" s="166">
        <v>1175334.1499999999</v>
      </c>
      <c r="J563" s="166"/>
      <c r="K563" s="166">
        <v>0</v>
      </c>
      <c r="L563" s="166"/>
      <c r="M563" s="185">
        <v>-334.15</v>
      </c>
      <c r="N563" s="166">
        <f t="shared" si="34"/>
        <v>1175000</v>
      </c>
      <c r="O563" s="36"/>
      <c r="P563" s="36"/>
    </row>
    <row r="564" spans="1:16" x14ac:dyDescent="0.25">
      <c r="A564" s="73" t="s">
        <v>23</v>
      </c>
      <c r="B564" s="83">
        <v>890982278</v>
      </c>
      <c r="C564" s="74" t="s">
        <v>994</v>
      </c>
      <c r="D564" s="83" t="s">
        <v>60</v>
      </c>
      <c r="E564" s="75" t="s">
        <v>378</v>
      </c>
      <c r="F564" s="76" t="s">
        <v>1054</v>
      </c>
      <c r="G564" s="83" t="s">
        <v>60</v>
      </c>
      <c r="H564" s="72">
        <v>45721</v>
      </c>
      <c r="I564" s="166">
        <v>56839.67</v>
      </c>
      <c r="J564" s="166"/>
      <c r="K564" s="166">
        <v>0</v>
      </c>
      <c r="L564" s="166"/>
      <c r="M564" s="185">
        <v>160.33000000000001</v>
      </c>
      <c r="N564" s="166">
        <f t="shared" si="34"/>
        <v>57000</v>
      </c>
      <c r="O564" s="36"/>
      <c r="P564" s="36"/>
    </row>
    <row r="565" spans="1:16" ht="30" x14ac:dyDescent="0.25">
      <c r="A565" s="73" t="s">
        <v>23</v>
      </c>
      <c r="B565" s="83">
        <v>890985354</v>
      </c>
      <c r="C565" s="74" t="s">
        <v>749</v>
      </c>
      <c r="D565" s="83" t="s">
        <v>60</v>
      </c>
      <c r="E565" s="75" t="s">
        <v>378</v>
      </c>
      <c r="F565" s="76" t="s">
        <v>1055</v>
      </c>
      <c r="G565" s="83" t="s">
        <v>60</v>
      </c>
      <c r="H565" s="72">
        <v>45721</v>
      </c>
      <c r="I565" s="166">
        <v>7644083.9100000001</v>
      </c>
      <c r="J565" s="166"/>
      <c r="K565" s="166">
        <v>0</v>
      </c>
      <c r="L565" s="166"/>
      <c r="M565" s="185">
        <v>-83.91</v>
      </c>
      <c r="N565" s="166">
        <f t="shared" si="34"/>
        <v>7644000</v>
      </c>
      <c r="O565" s="36"/>
      <c r="P565" s="36"/>
    </row>
    <row r="566" spans="1:16" ht="30" x14ac:dyDescent="0.25">
      <c r="A566" s="73" t="s">
        <v>23</v>
      </c>
      <c r="B566" s="83">
        <v>800070682</v>
      </c>
      <c r="C566" s="74" t="s">
        <v>995</v>
      </c>
      <c r="D566" s="83" t="s">
        <v>60</v>
      </c>
      <c r="E566" s="75" t="s">
        <v>378</v>
      </c>
      <c r="F566" s="76" t="s">
        <v>1056</v>
      </c>
      <c r="G566" s="83" t="s">
        <v>60</v>
      </c>
      <c r="H566" s="72">
        <v>45721</v>
      </c>
      <c r="I566" s="166">
        <v>471204.58</v>
      </c>
      <c r="J566" s="166"/>
      <c r="K566" s="166">
        <v>0</v>
      </c>
      <c r="L566" s="166"/>
      <c r="M566" s="185">
        <v>-204.58</v>
      </c>
      <c r="N566" s="166">
        <f t="shared" si="34"/>
        <v>471000</v>
      </c>
      <c r="O566" s="36"/>
      <c r="P566" s="36"/>
    </row>
    <row r="567" spans="1:16" x14ac:dyDescent="0.25">
      <c r="A567" s="73" t="s">
        <v>23</v>
      </c>
      <c r="B567" s="83">
        <v>891680067</v>
      </c>
      <c r="C567" s="74" t="s">
        <v>996</v>
      </c>
      <c r="D567" s="83" t="s">
        <v>60</v>
      </c>
      <c r="E567" s="75" t="s">
        <v>378</v>
      </c>
      <c r="F567" s="76" t="s">
        <v>1057</v>
      </c>
      <c r="G567" s="83" t="s">
        <v>60</v>
      </c>
      <c r="H567" s="72">
        <v>45721</v>
      </c>
      <c r="I567" s="166">
        <v>653957.52</v>
      </c>
      <c r="J567" s="166"/>
      <c r="K567" s="166">
        <v>0</v>
      </c>
      <c r="L567" s="166"/>
      <c r="M567" s="185">
        <v>42.48</v>
      </c>
      <c r="N567" s="166">
        <f t="shared" si="34"/>
        <v>654000</v>
      </c>
      <c r="O567" s="36"/>
      <c r="P567" s="36"/>
    </row>
    <row r="568" spans="1:16" ht="30" x14ac:dyDescent="0.25">
      <c r="A568" s="73" t="s">
        <v>23</v>
      </c>
      <c r="B568" s="83">
        <v>800070682</v>
      </c>
      <c r="C568" s="74" t="s">
        <v>995</v>
      </c>
      <c r="D568" s="83" t="s">
        <v>60</v>
      </c>
      <c r="E568" s="75" t="s">
        <v>378</v>
      </c>
      <c r="F568" s="76" t="s">
        <v>1058</v>
      </c>
      <c r="G568" s="83" t="s">
        <v>60</v>
      </c>
      <c r="H568" s="72">
        <v>45721</v>
      </c>
      <c r="I568" s="166">
        <v>3141363.92</v>
      </c>
      <c r="J568" s="166"/>
      <c r="K568" s="166">
        <v>0</v>
      </c>
      <c r="L568" s="166"/>
      <c r="M568" s="185">
        <v>-363.92</v>
      </c>
      <c r="N568" s="166">
        <f t="shared" si="34"/>
        <v>3141000</v>
      </c>
      <c r="O568" s="36"/>
      <c r="P568" s="36"/>
    </row>
    <row r="569" spans="1:16" ht="30" x14ac:dyDescent="0.25">
      <c r="A569" s="73" t="s">
        <v>23</v>
      </c>
      <c r="B569" s="83">
        <v>800128428</v>
      </c>
      <c r="C569" s="74" t="s">
        <v>997</v>
      </c>
      <c r="D569" s="83" t="s">
        <v>60</v>
      </c>
      <c r="E569" s="75" t="s">
        <v>378</v>
      </c>
      <c r="F569" s="76" t="s">
        <v>1059</v>
      </c>
      <c r="G569" s="83" t="s">
        <v>60</v>
      </c>
      <c r="H569" s="72">
        <v>45721</v>
      </c>
      <c r="I569" s="166">
        <v>138357.16</v>
      </c>
      <c r="J569" s="166"/>
      <c r="K569" s="166">
        <v>0</v>
      </c>
      <c r="L569" s="166"/>
      <c r="M569" s="185">
        <v>-357.16</v>
      </c>
      <c r="N569" s="166">
        <f t="shared" si="34"/>
        <v>138000</v>
      </c>
      <c r="O569" s="36"/>
      <c r="P569" s="36"/>
    </row>
    <row r="570" spans="1:16" ht="30" x14ac:dyDescent="0.25">
      <c r="A570" s="73" t="s">
        <v>23</v>
      </c>
      <c r="B570" s="83">
        <v>818000961</v>
      </c>
      <c r="C570" s="74" t="s">
        <v>998</v>
      </c>
      <c r="D570" s="83" t="s">
        <v>60</v>
      </c>
      <c r="E570" s="75" t="s">
        <v>378</v>
      </c>
      <c r="F570" s="76" t="s">
        <v>1060</v>
      </c>
      <c r="G570" s="83" t="s">
        <v>60</v>
      </c>
      <c r="H570" s="72">
        <v>45721</v>
      </c>
      <c r="I570" s="166">
        <v>653957.52</v>
      </c>
      <c r="J570" s="166"/>
      <c r="K570" s="166">
        <v>0</v>
      </c>
      <c r="L570" s="166"/>
      <c r="M570" s="185">
        <v>42.48</v>
      </c>
      <c r="N570" s="166">
        <f t="shared" si="34"/>
        <v>654000</v>
      </c>
      <c r="O570" s="36"/>
      <c r="P570" s="36"/>
    </row>
    <row r="571" spans="1:16" ht="45" x14ac:dyDescent="0.25">
      <c r="A571" s="73" t="s">
        <v>23</v>
      </c>
      <c r="B571" s="83">
        <v>891480031</v>
      </c>
      <c r="C571" s="74" t="s">
        <v>999</v>
      </c>
      <c r="D571" s="83" t="s">
        <v>60</v>
      </c>
      <c r="E571" s="75" t="s">
        <v>378</v>
      </c>
      <c r="F571" s="76" t="s">
        <v>1061</v>
      </c>
      <c r="G571" s="83" t="s">
        <v>60</v>
      </c>
      <c r="H571" s="72">
        <v>45721</v>
      </c>
      <c r="I571" s="166">
        <v>10504476.74</v>
      </c>
      <c r="J571" s="166"/>
      <c r="K571" s="166">
        <v>0</v>
      </c>
      <c r="L571" s="166"/>
      <c r="M571" s="185">
        <v>-476.74</v>
      </c>
      <c r="N571" s="166">
        <f t="shared" si="34"/>
        <v>10504000</v>
      </c>
      <c r="O571" s="36"/>
      <c r="P571" s="36"/>
    </row>
    <row r="572" spans="1:16" ht="30" x14ac:dyDescent="0.25">
      <c r="A572" s="73" t="s">
        <v>23</v>
      </c>
      <c r="B572" s="83">
        <v>800070375</v>
      </c>
      <c r="C572" s="74" t="s">
        <v>946</v>
      </c>
      <c r="D572" s="83" t="s">
        <v>60</v>
      </c>
      <c r="E572" s="75" t="s">
        <v>378</v>
      </c>
      <c r="F572" s="76" t="s">
        <v>1062</v>
      </c>
      <c r="G572" s="83" t="s">
        <v>60</v>
      </c>
      <c r="H572" s="72">
        <v>45722</v>
      </c>
      <c r="I572" s="166">
        <v>36696.14</v>
      </c>
      <c r="J572" s="166"/>
      <c r="K572" s="166">
        <v>0</v>
      </c>
      <c r="L572" s="166"/>
      <c r="M572" s="185">
        <v>303.86</v>
      </c>
      <c r="N572" s="166">
        <f t="shared" si="34"/>
        <v>37000</v>
      </c>
      <c r="O572" s="36"/>
      <c r="P572" s="36"/>
    </row>
    <row r="573" spans="1:16" ht="30" x14ac:dyDescent="0.25">
      <c r="A573" s="73" t="s">
        <v>23</v>
      </c>
      <c r="B573" s="83">
        <v>800191431</v>
      </c>
      <c r="C573" s="74" t="s">
        <v>1000</v>
      </c>
      <c r="D573" s="83" t="s">
        <v>60</v>
      </c>
      <c r="E573" s="75" t="s">
        <v>378</v>
      </c>
      <c r="F573" s="76" t="s">
        <v>1063</v>
      </c>
      <c r="G573" s="83" t="s">
        <v>60</v>
      </c>
      <c r="H573" s="72">
        <v>45722</v>
      </c>
      <c r="I573" s="166">
        <v>249042.9</v>
      </c>
      <c r="J573" s="166"/>
      <c r="K573" s="166">
        <v>0</v>
      </c>
      <c r="L573" s="166"/>
      <c r="M573" s="185">
        <v>-42.9</v>
      </c>
      <c r="N573" s="166">
        <f t="shared" si="34"/>
        <v>249000</v>
      </c>
      <c r="O573" s="36"/>
      <c r="P573" s="36"/>
    </row>
    <row r="574" spans="1:16" x14ac:dyDescent="0.25">
      <c r="A574" s="73" t="s">
        <v>23</v>
      </c>
      <c r="B574" s="83">
        <v>890981391</v>
      </c>
      <c r="C574" s="74" t="s">
        <v>895</v>
      </c>
      <c r="D574" s="83" t="s">
        <v>60</v>
      </c>
      <c r="E574" s="75" t="s">
        <v>378</v>
      </c>
      <c r="F574" s="76" t="s">
        <v>1064</v>
      </c>
      <c r="G574" s="83" t="s">
        <v>60</v>
      </c>
      <c r="H574" s="72">
        <v>45722</v>
      </c>
      <c r="I574" s="166">
        <v>89283.09</v>
      </c>
      <c r="J574" s="166"/>
      <c r="K574" s="166">
        <v>0</v>
      </c>
      <c r="L574" s="166"/>
      <c r="M574" s="185">
        <v>-283.08999999999997</v>
      </c>
      <c r="N574" s="166">
        <f t="shared" si="34"/>
        <v>89000</v>
      </c>
      <c r="O574" s="36"/>
      <c r="P574" s="36"/>
    </row>
    <row r="575" spans="1:16" ht="45" x14ac:dyDescent="0.25">
      <c r="A575" s="73" t="s">
        <v>23</v>
      </c>
      <c r="B575" s="83">
        <v>899999090</v>
      </c>
      <c r="C575" s="74" t="s">
        <v>1001</v>
      </c>
      <c r="D575" s="83" t="s">
        <v>60</v>
      </c>
      <c r="E575" s="75" t="s">
        <v>378</v>
      </c>
      <c r="F575" s="76" t="s">
        <v>1065</v>
      </c>
      <c r="G575" s="83" t="s">
        <v>60</v>
      </c>
      <c r="H575" s="72">
        <v>45722</v>
      </c>
      <c r="I575" s="166">
        <v>330906330.81</v>
      </c>
      <c r="J575" s="166"/>
      <c r="K575" s="166">
        <v>0</v>
      </c>
      <c r="L575" s="166"/>
      <c r="M575" s="185">
        <v>-330.81</v>
      </c>
      <c r="N575" s="166">
        <f t="shared" si="34"/>
        <v>330906000</v>
      </c>
      <c r="O575" s="36"/>
      <c r="P575" s="36"/>
    </row>
    <row r="576" spans="1:16" ht="30" x14ac:dyDescent="0.25">
      <c r="A576" s="73" t="s">
        <v>23</v>
      </c>
      <c r="B576" s="83">
        <v>890981106</v>
      </c>
      <c r="C576" s="74" t="s">
        <v>1002</v>
      </c>
      <c r="D576" s="83" t="s">
        <v>60</v>
      </c>
      <c r="E576" s="75" t="s">
        <v>378</v>
      </c>
      <c r="F576" s="76" t="s">
        <v>1066</v>
      </c>
      <c r="G576" s="83" t="s">
        <v>60</v>
      </c>
      <c r="H576" s="72">
        <v>45722</v>
      </c>
      <c r="I576" s="166">
        <v>45471.73</v>
      </c>
      <c r="J576" s="166"/>
      <c r="K576" s="166">
        <v>0</v>
      </c>
      <c r="L576" s="166"/>
      <c r="M576" s="185">
        <v>-471.73</v>
      </c>
      <c r="N576" s="166">
        <f t="shared" si="34"/>
        <v>45000</v>
      </c>
      <c r="O576" s="36"/>
      <c r="P576" s="36"/>
    </row>
    <row r="577" spans="1:16" ht="30" x14ac:dyDescent="0.25">
      <c r="A577" s="73" t="s">
        <v>23</v>
      </c>
      <c r="B577" s="83">
        <v>892115155</v>
      </c>
      <c r="C577" s="74" t="s">
        <v>667</v>
      </c>
      <c r="D577" s="83" t="s">
        <v>60</v>
      </c>
      <c r="E577" s="75" t="s">
        <v>378</v>
      </c>
      <c r="F577" s="76" t="s">
        <v>1067</v>
      </c>
      <c r="G577" s="83" t="s">
        <v>60</v>
      </c>
      <c r="H577" s="72">
        <v>45722</v>
      </c>
      <c r="I577" s="166">
        <v>20986.63</v>
      </c>
      <c r="J577" s="166"/>
      <c r="K577" s="166">
        <v>0</v>
      </c>
      <c r="L577" s="166"/>
      <c r="M577" s="185">
        <v>13.37</v>
      </c>
      <c r="N577" s="166">
        <f t="shared" si="34"/>
        <v>21000</v>
      </c>
      <c r="O577" s="36"/>
      <c r="P577" s="36"/>
    </row>
    <row r="578" spans="1:16" ht="30" x14ac:dyDescent="0.25">
      <c r="A578" s="73" t="s">
        <v>23</v>
      </c>
      <c r="B578" s="83">
        <v>800096807</v>
      </c>
      <c r="C578" s="74" t="s">
        <v>659</v>
      </c>
      <c r="D578" s="83" t="s">
        <v>60</v>
      </c>
      <c r="E578" s="75" t="s">
        <v>378</v>
      </c>
      <c r="F578" s="76" t="s">
        <v>1068</v>
      </c>
      <c r="G578" s="83" t="s">
        <v>60</v>
      </c>
      <c r="H578" s="72">
        <v>45722</v>
      </c>
      <c r="I578" s="166">
        <v>237846.82</v>
      </c>
      <c r="J578" s="166"/>
      <c r="K578" s="166">
        <v>0</v>
      </c>
      <c r="L578" s="166"/>
      <c r="M578" s="185">
        <v>153.18</v>
      </c>
      <c r="N578" s="166">
        <f t="shared" si="34"/>
        <v>238000</v>
      </c>
      <c r="O578" s="36"/>
      <c r="P578" s="36"/>
    </row>
    <row r="579" spans="1:16" ht="30" x14ac:dyDescent="0.25">
      <c r="A579" s="73" t="s">
        <v>23</v>
      </c>
      <c r="B579" s="83">
        <v>891102764</v>
      </c>
      <c r="C579" s="74" t="s">
        <v>750</v>
      </c>
      <c r="D579" s="83" t="s">
        <v>60</v>
      </c>
      <c r="E579" s="75" t="s">
        <v>378</v>
      </c>
      <c r="F579" s="76" t="s">
        <v>1069</v>
      </c>
      <c r="G579" s="83" t="s">
        <v>60</v>
      </c>
      <c r="H579" s="72">
        <v>45722</v>
      </c>
      <c r="I579" s="166">
        <v>112022.06</v>
      </c>
      <c r="J579" s="166"/>
      <c r="K579" s="166">
        <v>0</v>
      </c>
      <c r="L579" s="166"/>
      <c r="M579" s="185">
        <v>-22.06</v>
      </c>
      <c r="N579" s="166">
        <f t="shared" si="34"/>
        <v>112000</v>
      </c>
      <c r="O579" s="36"/>
      <c r="P579" s="36"/>
    </row>
    <row r="580" spans="1:16" ht="30" x14ac:dyDescent="0.25">
      <c r="A580" s="73" t="s">
        <v>23</v>
      </c>
      <c r="B580" s="83">
        <v>892301130</v>
      </c>
      <c r="C580" s="74" t="s">
        <v>702</v>
      </c>
      <c r="D580" s="83" t="s">
        <v>60</v>
      </c>
      <c r="E580" s="75" t="s">
        <v>378</v>
      </c>
      <c r="F580" s="76" t="s">
        <v>1070</v>
      </c>
      <c r="G580" s="83" t="s">
        <v>60</v>
      </c>
      <c r="H580" s="72">
        <v>45722</v>
      </c>
      <c r="I580" s="166">
        <v>884420.37</v>
      </c>
      <c r="J580" s="166"/>
      <c r="K580" s="166">
        <v>0</v>
      </c>
      <c r="L580" s="166"/>
      <c r="M580" s="185">
        <v>-420.37</v>
      </c>
      <c r="N580" s="166">
        <f t="shared" si="34"/>
        <v>884000</v>
      </c>
      <c r="O580" s="36"/>
      <c r="P580" s="36"/>
    </row>
    <row r="581" spans="1:16" ht="30" x14ac:dyDescent="0.25">
      <c r="A581" s="73" t="s">
        <v>23</v>
      </c>
      <c r="B581" s="83">
        <v>891180155</v>
      </c>
      <c r="C581" s="74" t="s">
        <v>753</v>
      </c>
      <c r="D581" s="83" t="s">
        <v>60</v>
      </c>
      <c r="E581" s="75" t="s">
        <v>378</v>
      </c>
      <c r="F581" s="76" t="s">
        <v>1071</v>
      </c>
      <c r="G581" s="83" t="s">
        <v>60</v>
      </c>
      <c r="H581" s="72">
        <v>45723</v>
      </c>
      <c r="I581" s="166">
        <v>4289803.37</v>
      </c>
      <c r="J581" s="166"/>
      <c r="K581" s="166">
        <v>0</v>
      </c>
      <c r="L581" s="166"/>
      <c r="M581" s="185">
        <v>196.63</v>
      </c>
      <c r="N581" s="166">
        <f t="shared" si="34"/>
        <v>4290000</v>
      </c>
      <c r="O581" s="36"/>
      <c r="P581" s="36"/>
    </row>
    <row r="582" spans="1:16" ht="30" x14ac:dyDescent="0.25">
      <c r="A582" s="73" t="s">
        <v>23</v>
      </c>
      <c r="B582" s="83">
        <v>891480032</v>
      </c>
      <c r="C582" s="74" t="s">
        <v>851</v>
      </c>
      <c r="D582" s="83" t="s">
        <v>60</v>
      </c>
      <c r="E582" s="75" t="s">
        <v>378</v>
      </c>
      <c r="F582" s="76" t="s">
        <v>1072</v>
      </c>
      <c r="G582" s="83" t="s">
        <v>60</v>
      </c>
      <c r="H582" s="72">
        <v>45723</v>
      </c>
      <c r="I582" s="166">
        <v>764629.65</v>
      </c>
      <c r="J582" s="166"/>
      <c r="K582" s="166">
        <v>0</v>
      </c>
      <c r="L582" s="166"/>
      <c r="M582" s="185">
        <v>370.35</v>
      </c>
      <c r="N582" s="166">
        <f t="shared" si="34"/>
        <v>765000</v>
      </c>
      <c r="O582" s="36"/>
      <c r="P582" s="36"/>
    </row>
    <row r="583" spans="1:16" ht="30" x14ac:dyDescent="0.25">
      <c r="A583" s="73" t="s">
        <v>23</v>
      </c>
      <c r="B583" s="83">
        <v>891180205</v>
      </c>
      <c r="C583" s="74" t="s">
        <v>751</v>
      </c>
      <c r="D583" s="83" t="s">
        <v>60</v>
      </c>
      <c r="E583" s="75" t="s">
        <v>378</v>
      </c>
      <c r="F583" s="76" t="s">
        <v>1073</v>
      </c>
      <c r="G583" s="83" t="s">
        <v>60</v>
      </c>
      <c r="H583" s="72">
        <v>45723</v>
      </c>
      <c r="I583" s="166">
        <v>795586.25</v>
      </c>
      <c r="J583" s="166"/>
      <c r="K583" s="166">
        <v>0</v>
      </c>
      <c r="L583" s="166"/>
      <c r="M583" s="185">
        <v>413.75</v>
      </c>
      <c r="N583" s="166">
        <f t="shared" si="34"/>
        <v>796000</v>
      </c>
      <c r="O583" s="36"/>
      <c r="P583" s="36"/>
    </row>
    <row r="584" spans="1:16" ht="30" x14ac:dyDescent="0.25">
      <c r="A584" s="73" t="s">
        <v>23</v>
      </c>
      <c r="B584" s="83">
        <v>890801143</v>
      </c>
      <c r="C584" s="74" t="s">
        <v>1003</v>
      </c>
      <c r="D584" s="83" t="s">
        <v>60</v>
      </c>
      <c r="E584" s="75" t="s">
        <v>378</v>
      </c>
      <c r="F584" s="76" t="s">
        <v>1074</v>
      </c>
      <c r="G584" s="83" t="s">
        <v>60</v>
      </c>
      <c r="H584" s="72">
        <v>45726</v>
      </c>
      <c r="I584" s="166">
        <v>376719.4</v>
      </c>
      <c r="J584" s="166"/>
      <c r="K584" s="166">
        <v>0</v>
      </c>
      <c r="L584" s="166"/>
      <c r="M584" s="185">
        <v>280.60000000000002</v>
      </c>
      <c r="N584" s="166">
        <f t="shared" si="34"/>
        <v>377000</v>
      </c>
      <c r="O584" s="36"/>
      <c r="P584" s="36"/>
    </row>
    <row r="585" spans="1:16" ht="30" x14ac:dyDescent="0.25">
      <c r="A585" s="73" t="s">
        <v>23</v>
      </c>
      <c r="B585" s="83">
        <v>890980344</v>
      </c>
      <c r="C585" s="74" t="s">
        <v>1004</v>
      </c>
      <c r="D585" s="83" t="s">
        <v>60</v>
      </c>
      <c r="E585" s="75" t="s">
        <v>378</v>
      </c>
      <c r="F585" s="76" t="s">
        <v>1075</v>
      </c>
      <c r="G585" s="83" t="s">
        <v>60</v>
      </c>
      <c r="H585" s="72">
        <v>45726</v>
      </c>
      <c r="I585" s="166">
        <v>994489.7</v>
      </c>
      <c r="J585" s="166"/>
      <c r="K585" s="166">
        <v>0</v>
      </c>
      <c r="L585" s="166"/>
      <c r="M585" s="185">
        <v>-489.7</v>
      </c>
      <c r="N585" s="166">
        <f t="shared" si="34"/>
        <v>994000</v>
      </c>
      <c r="O585" s="36"/>
      <c r="P585" s="36"/>
    </row>
    <row r="586" spans="1:16" x14ac:dyDescent="0.25">
      <c r="A586" s="73" t="s">
        <v>23</v>
      </c>
      <c r="B586" s="83">
        <v>800253526</v>
      </c>
      <c r="C586" s="74" t="s">
        <v>1005</v>
      </c>
      <c r="D586" s="83" t="s">
        <v>60</v>
      </c>
      <c r="E586" s="75" t="s">
        <v>378</v>
      </c>
      <c r="F586" s="76" t="s">
        <v>1076</v>
      </c>
      <c r="G586" s="83" t="s">
        <v>60</v>
      </c>
      <c r="H586" s="72">
        <v>45726</v>
      </c>
      <c r="I586" s="166">
        <v>56839.67</v>
      </c>
      <c r="J586" s="166"/>
      <c r="K586" s="166">
        <v>0</v>
      </c>
      <c r="L586" s="166"/>
      <c r="M586" s="185">
        <v>160.33000000000001</v>
      </c>
      <c r="N586" s="166">
        <f t="shared" si="34"/>
        <v>57000</v>
      </c>
      <c r="O586" s="36"/>
      <c r="P586" s="36"/>
    </row>
    <row r="587" spans="1:16" ht="30" x14ac:dyDescent="0.25">
      <c r="A587" s="73" t="s">
        <v>23</v>
      </c>
      <c r="B587" s="83">
        <v>800096558</v>
      </c>
      <c r="C587" s="74" t="s">
        <v>701</v>
      </c>
      <c r="D587" s="83" t="s">
        <v>60</v>
      </c>
      <c r="E587" s="75" t="s">
        <v>378</v>
      </c>
      <c r="F587" s="76" t="s">
        <v>1077</v>
      </c>
      <c r="G587" s="83" t="s">
        <v>60</v>
      </c>
      <c r="H587" s="72">
        <v>45726</v>
      </c>
      <c r="I587" s="166">
        <v>425763.06</v>
      </c>
      <c r="J587" s="166"/>
      <c r="K587" s="166">
        <v>0</v>
      </c>
      <c r="L587" s="166"/>
      <c r="M587" s="185">
        <v>236.94</v>
      </c>
      <c r="N587" s="166">
        <f t="shared" si="34"/>
        <v>426000</v>
      </c>
      <c r="O587" s="36"/>
      <c r="P587" s="36"/>
    </row>
    <row r="588" spans="1:16" x14ac:dyDescent="0.25">
      <c r="A588" s="73" t="s">
        <v>23</v>
      </c>
      <c r="B588" s="83">
        <v>818000907</v>
      </c>
      <c r="C588" s="74" t="s">
        <v>1006</v>
      </c>
      <c r="D588" s="83" t="s">
        <v>60</v>
      </c>
      <c r="E588" s="75" t="s">
        <v>378</v>
      </c>
      <c r="F588" s="76" t="s">
        <v>1078</v>
      </c>
      <c r="G588" s="83" t="s">
        <v>60</v>
      </c>
      <c r="H588" s="72">
        <v>45726</v>
      </c>
      <c r="I588" s="166">
        <v>588561.77</v>
      </c>
      <c r="J588" s="166"/>
      <c r="K588" s="166">
        <v>0</v>
      </c>
      <c r="L588" s="166"/>
      <c r="M588" s="185">
        <v>438.23</v>
      </c>
      <c r="N588" s="166">
        <f t="shared" si="34"/>
        <v>589000</v>
      </c>
      <c r="O588" s="36"/>
      <c r="P588" s="36"/>
    </row>
    <row r="589" spans="1:16" ht="30" x14ac:dyDescent="0.25">
      <c r="A589" s="73" t="s">
        <v>23</v>
      </c>
      <c r="B589" s="83">
        <v>800113389</v>
      </c>
      <c r="C589" s="74" t="s">
        <v>747</v>
      </c>
      <c r="D589" s="83" t="s">
        <v>60</v>
      </c>
      <c r="E589" s="75" t="s">
        <v>378</v>
      </c>
      <c r="F589" s="76" t="s">
        <v>1079</v>
      </c>
      <c r="G589" s="83" t="s">
        <v>60</v>
      </c>
      <c r="H589" s="72">
        <v>45726</v>
      </c>
      <c r="I589" s="166">
        <v>18170755.399999999</v>
      </c>
      <c r="J589" s="166"/>
      <c r="K589" s="166">
        <v>0</v>
      </c>
      <c r="L589" s="166"/>
      <c r="M589" s="185">
        <v>-0.4</v>
      </c>
      <c r="N589" s="166">
        <f t="shared" si="34"/>
        <v>18170755</v>
      </c>
      <c r="O589" s="36"/>
      <c r="P589" s="36"/>
    </row>
    <row r="590" spans="1:16" ht="30" x14ac:dyDescent="0.25">
      <c r="A590" s="73" t="s">
        <v>23</v>
      </c>
      <c r="B590" s="83">
        <v>800113389</v>
      </c>
      <c r="C590" s="74" t="s">
        <v>747</v>
      </c>
      <c r="D590" s="83" t="s">
        <v>60</v>
      </c>
      <c r="E590" s="75" t="s">
        <v>378</v>
      </c>
      <c r="F590" s="76" t="s">
        <v>1080</v>
      </c>
      <c r="G590" s="83" t="s">
        <v>60</v>
      </c>
      <c r="H590" s="72">
        <v>45726</v>
      </c>
      <c r="I590" s="166">
        <v>1090245.32</v>
      </c>
      <c r="J590" s="166"/>
      <c r="K590" s="166">
        <v>0</v>
      </c>
      <c r="L590" s="166"/>
      <c r="M590" s="185">
        <v>0.68</v>
      </c>
      <c r="N590" s="166">
        <f t="shared" si="34"/>
        <v>1090246</v>
      </c>
      <c r="O590" s="36"/>
      <c r="P590" s="36"/>
    </row>
    <row r="591" spans="1:16" ht="45" x14ac:dyDescent="0.25">
      <c r="A591" s="73" t="s">
        <v>23</v>
      </c>
      <c r="B591" s="83">
        <v>892301761</v>
      </c>
      <c r="C591" s="74" t="s">
        <v>1007</v>
      </c>
      <c r="D591" s="83" t="s">
        <v>60</v>
      </c>
      <c r="E591" s="75" t="s">
        <v>378</v>
      </c>
      <c r="F591" s="76" t="s">
        <v>1081</v>
      </c>
      <c r="G591" s="83" t="s">
        <v>60</v>
      </c>
      <c r="H591" s="72">
        <v>45726</v>
      </c>
      <c r="I591" s="166">
        <v>994939.92</v>
      </c>
      <c r="J591" s="166"/>
      <c r="K591" s="166">
        <v>0</v>
      </c>
      <c r="L591" s="166"/>
      <c r="M591" s="185">
        <v>60.08</v>
      </c>
      <c r="N591" s="166">
        <f t="shared" si="34"/>
        <v>995000</v>
      </c>
      <c r="O591" s="36"/>
      <c r="P591" s="36"/>
    </row>
    <row r="592" spans="1:16" ht="30" x14ac:dyDescent="0.25">
      <c r="A592" s="73" t="s">
        <v>23</v>
      </c>
      <c r="B592" s="83">
        <v>800117687</v>
      </c>
      <c r="C592" s="74" t="s">
        <v>674</v>
      </c>
      <c r="D592" s="83" t="s">
        <v>60</v>
      </c>
      <c r="E592" s="75" t="s">
        <v>378</v>
      </c>
      <c r="F592" s="76" t="s">
        <v>1082</v>
      </c>
      <c r="G592" s="83" t="s">
        <v>60</v>
      </c>
      <c r="H592" s="72">
        <v>45727</v>
      </c>
      <c r="I592" s="166">
        <v>4966642.5999999996</v>
      </c>
      <c r="J592" s="166"/>
      <c r="K592" s="166">
        <v>0</v>
      </c>
      <c r="L592" s="166"/>
      <c r="M592" s="185">
        <v>357.4</v>
      </c>
      <c r="N592" s="166">
        <f t="shared" si="34"/>
        <v>4967000</v>
      </c>
      <c r="O592" s="36"/>
      <c r="P592" s="36"/>
    </row>
    <row r="593" spans="1:16" ht="30" x14ac:dyDescent="0.25">
      <c r="A593" s="73" t="s">
        <v>23</v>
      </c>
      <c r="B593" s="83">
        <v>800108683</v>
      </c>
      <c r="C593" s="74" t="s">
        <v>668</v>
      </c>
      <c r="D593" s="83" t="s">
        <v>60</v>
      </c>
      <c r="E593" s="75" t="s">
        <v>378</v>
      </c>
      <c r="F593" s="76" t="s">
        <v>1083</v>
      </c>
      <c r="G593" s="83" t="s">
        <v>60</v>
      </c>
      <c r="H593" s="72">
        <v>45728</v>
      </c>
      <c r="I593" s="166">
        <v>1532412.12</v>
      </c>
      <c r="J593" s="166"/>
      <c r="K593" s="166">
        <v>0</v>
      </c>
      <c r="L593" s="166"/>
      <c r="M593" s="185">
        <v>-412.12</v>
      </c>
      <c r="N593" s="166">
        <f t="shared" si="34"/>
        <v>1532000</v>
      </c>
      <c r="O593" s="36"/>
      <c r="P593" s="36"/>
    </row>
    <row r="594" spans="1:16" x14ac:dyDescent="0.25">
      <c r="A594" s="73" t="s">
        <v>23</v>
      </c>
      <c r="B594" s="83">
        <v>818000899</v>
      </c>
      <c r="C594" s="74" t="s">
        <v>1008</v>
      </c>
      <c r="D594" s="83" t="s">
        <v>60</v>
      </c>
      <c r="E594" s="75" t="s">
        <v>378</v>
      </c>
      <c r="F594" s="76" t="s">
        <v>1084</v>
      </c>
      <c r="G594" s="83" t="s">
        <v>60</v>
      </c>
      <c r="H594" s="72">
        <v>45728</v>
      </c>
      <c r="I594" s="166">
        <v>782316.18</v>
      </c>
      <c r="J594" s="166"/>
      <c r="K594" s="166">
        <v>0</v>
      </c>
      <c r="L594" s="166"/>
      <c r="M594" s="185">
        <v>-316.18</v>
      </c>
      <c r="N594" s="166">
        <f t="shared" si="34"/>
        <v>782000</v>
      </c>
      <c r="O594" s="36"/>
      <c r="P594" s="36"/>
    </row>
    <row r="595" spans="1:16" ht="30" x14ac:dyDescent="0.25">
      <c r="A595" s="73" t="s">
        <v>23</v>
      </c>
      <c r="B595" s="83">
        <v>892200592</v>
      </c>
      <c r="C595" s="74" t="s">
        <v>1009</v>
      </c>
      <c r="D595" s="83" t="s">
        <v>60</v>
      </c>
      <c r="E595" s="75" t="s">
        <v>378</v>
      </c>
      <c r="F595" s="76" t="s">
        <v>1085</v>
      </c>
      <c r="G595" s="83" t="s">
        <v>60</v>
      </c>
      <c r="H595" s="72">
        <v>45728</v>
      </c>
      <c r="I595" s="166">
        <v>500357.03</v>
      </c>
      <c r="J595" s="166"/>
      <c r="K595" s="166">
        <v>0</v>
      </c>
      <c r="L595" s="166"/>
      <c r="M595" s="185">
        <v>-357.03</v>
      </c>
      <c r="N595" s="166">
        <f t="shared" si="34"/>
        <v>500000</v>
      </c>
      <c r="O595" s="36"/>
      <c r="P595" s="36"/>
    </row>
    <row r="596" spans="1:16" ht="30" x14ac:dyDescent="0.25">
      <c r="A596" s="73" t="s">
        <v>23</v>
      </c>
      <c r="B596" s="83">
        <v>890399045</v>
      </c>
      <c r="C596" s="74" t="s">
        <v>664</v>
      </c>
      <c r="D596" s="83" t="s">
        <v>60</v>
      </c>
      <c r="E596" s="75" t="s">
        <v>378</v>
      </c>
      <c r="F596" s="76" t="s">
        <v>1086</v>
      </c>
      <c r="G596" s="83" t="s">
        <v>60</v>
      </c>
      <c r="H596" s="72">
        <v>45728</v>
      </c>
      <c r="I596" s="166">
        <v>289154.71999999997</v>
      </c>
      <c r="J596" s="166"/>
      <c r="K596" s="166">
        <v>0</v>
      </c>
      <c r="L596" s="166"/>
      <c r="M596" s="185">
        <v>-154.72</v>
      </c>
      <c r="N596" s="166">
        <f t="shared" si="34"/>
        <v>289000</v>
      </c>
      <c r="O596" s="36"/>
      <c r="P596" s="36"/>
    </row>
    <row r="597" spans="1:16" ht="45" x14ac:dyDescent="0.25">
      <c r="A597" s="73" t="s">
        <v>23</v>
      </c>
      <c r="B597" s="83">
        <v>800095589</v>
      </c>
      <c r="C597" s="74" t="s">
        <v>1010</v>
      </c>
      <c r="D597" s="83" t="s">
        <v>60</v>
      </c>
      <c r="E597" s="75" t="s">
        <v>378</v>
      </c>
      <c r="F597" s="76" t="s">
        <v>1087</v>
      </c>
      <c r="G597" s="83" t="s">
        <v>60</v>
      </c>
      <c r="H597" s="72">
        <v>45729</v>
      </c>
      <c r="I597" s="166">
        <v>891487.35</v>
      </c>
      <c r="J597" s="166"/>
      <c r="K597" s="166">
        <v>0</v>
      </c>
      <c r="L597" s="166"/>
      <c r="M597" s="185">
        <v>-487.35</v>
      </c>
      <c r="N597" s="166">
        <f t="shared" si="34"/>
        <v>891000</v>
      </c>
      <c r="O597" s="36"/>
      <c r="P597" s="36"/>
    </row>
    <row r="598" spans="1:16" ht="30" x14ac:dyDescent="0.25">
      <c r="A598" s="73" t="s">
        <v>23</v>
      </c>
      <c r="B598" s="83">
        <v>891502307</v>
      </c>
      <c r="C598" s="74" t="s">
        <v>663</v>
      </c>
      <c r="D598" s="83" t="s">
        <v>60</v>
      </c>
      <c r="E598" s="75" t="s">
        <v>378</v>
      </c>
      <c r="F598" s="76" t="s">
        <v>1088</v>
      </c>
      <c r="G598" s="83" t="s">
        <v>60</v>
      </c>
      <c r="H598" s="72">
        <v>45729</v>
      </c>
      <c r="I598" s="166">
        <v>482450.52</v>
      </c>
      <c r="J598" s="166"/>
      <c r="K598" s="166">
        <v>0</v>
      </c>
      <c r="L598" s="166"/>
      <c r="M598" s="185">
        <v>-450.52</v>
      </c>
      <c r="N598" s="166">
        <f t="shared" ref="N598:N628" si="35">+I598-J598-K598-L598+M598</f>
        <v>482000</v>
      </c>
      <c r="O598" s="36"/>
      <c r="P598" s="36"/>
    </row>
    <row r="599" spans="1:16" ht="30" x14ac:dyDescent="0.25">
      <c r="A599" s="73" t="s">
        <v>23</v>
      </c>
      <c r="B599" s="83">
        <v>817002675</v>
      </c>
      <c r="C599" s="74" t="s">
        <v>670</v>
      </c>
      <c r="D599" s="83" t="s">
        <v>60</v>
      </c>
      <c r="E599" s="75" t="s">
        <v>378</v>
      </c>
      <c r="F599" s="76" t="s">
        <v>1089</v>
      </c>
      <c r="G599" s="83" t="s">
        <v>60</v>
      </c>
      <c r="H599" s="72">
        <v>45729</v>
      </c>
      <c r="I599" s="166">
        <v>4036744.19</v>
      </c>
      <c r="J599" s="166"/>
      <c r="K599" s="166">
        <v>0</v>
      </c>
      <c r="L599" s="166"/>
      <c r="M599" s="185">
        <v>255.81</v>
      </c>
      <c r="N599" s="166">
        <f t="shared" si="35"/>
        <v>4037000</v>
      </c>
      <c r="O599" s="36"/>
      <c r="P599" s="36"/>
    </row>
    <row r="600" spans="1:16" x14ac:dyDescent="0.25">
      <c r="A600" s="73" t="s">
        <v>23</v>
      </c>
      <c r="B600" s="83">
        <v>818000941</v>
      </c>
      <c r="C600" s="74" t="s">
        <v>1011</v>
      </c>
      <c r="D600" s="83" t="s">
        <v>60</v>
      </c>
      <c r="E600" s="75" t="s">
        <v>378</v>
      </c>
      <c r="F600" s="76" t="s">
        <v>1090</v>
      </c>
      <c r="G600" s="83" t="s">
        <v>60</v>
      </c>
      <c r="H600" s="72">
        <v>45729</v>
      </c>
      <c r="I600" s="166">
        <v>639096.22</v>
      </c>
      <c r="J600" s="166"/>
      <c r="K600" s="166">
        <v>0</v>
      </c>
      <c r="L600" s="166"/>
      <c r="M600" s="185">
        <v>-96.22</v>
      </c>
      <c r="N600" s="166">
        <f t="shared" si="35"/>
        <v>639000</v>
      </c>
      <c r="O600" s="36"/>
      <c r="P600" s="36"/>
    </row>
    <row r="601" spans="1:16" ht="45" x14ac:dyDescent="0.25">
      <c r="A601" s="73" t="s">
        <v>23</v>
      </c>
      <c r="B601" s="83">
        <v>890480022</v>
      </c>
      <c r="C601" s="74" t="s">
        <v>1012</v>
      </c>
      <c r="D601" s="83" t="s">
        <v>60</v>
      </c>
      <c r="E601" s="75" t="s">
        <v>378</v>
      </c>
      <c r="F601" s="76" t="s">
        <v>1091</v>
      </c>
      <c r="G601" s="83" t="s">
        <v>60</v>
      </c>
      <c r="H601" s="72">
        <v>45729</v>
      </c>
      <c r="I601" s="166">
        <v>599899.19999999995</v>
      </c>
      <c r="J601" s="166"/>
      <c r="K601" s="166">
        <v>0</v>
      </c>
      <c r="L601" s="166"/>
      <c r="M601" s="185">
        <v>100.8</v>
      </c>
      <c r="N601" s="166">
        <f t="shared" si="35"/>
        <v>600000</v>
      </c>
      <c r="O601" s="36"/>
      <c r="P601" s="36"/>
    </row>
    <row r="602" spans="1:16" ht="30" x14ac:dyDescent="0.25">
      <c r="A602" s="73" t="s">
        <v>23</v>
      </c>
      <c r="B602" s="83">
        <v>800099317</v>
      </c>
      <c r="C602" s="74" t="s">
        <v>850</v>
      </c>
      <c r="D602" s="83" t="s">
        <v>60</v>
      </c>
      <c r="E602" s="75" t="s">
        <v>378</v>
      </c>
      <c r="F602" s="76" t="s">
        <v>1092</v>
      </c>
      <c r="G602" s="83" t="s">
        <v>60</v>
      </c>
      <c r="H602" s="72">
        <v>45729</v>
      </c>
      <c r="I602" s="166">
        <v>3636140.84</v>
      </c>
      <c r="J602" s="166"/>
      <c r="K602" s="166">
        <v>0</v>
      </c>
      <c r="L602" s="166"/>
      <c r="M602" s="185">
        <v>-140.84</v>
      </c>
      <c r="N602" s="166">
        <f t="shared" si="35"/>
        <v>3636000</v>
      </c>
      <c r="O602" s="36"/>
      <c r="P602" s="36"/>
    </row>
    <row r="603" spans="1:16" ht="30" x14ac:dyDescent="0.25">
      <c r="A603" s="73" t="s">
        <v>23</v>
      </c>
      <c r="B603" s="83">
        <v>890201190</v>
      </c>
      <c r="C603" s="74" t="s">
        <v>1013</v>
      </c>
      <c r="D603" s="83" t="s">
        <v>60</v>
      </c>
      <c r="E603" s="75" t="s">
        <v>378</v>
      </c>
      <c r="F603" s="76" t="s">
        <v>1093</v>
      </c>
      <c r="G603" s="83" t="s">
        <v>60</v>
      </c>
      <c r="H603" s="72">
        <v>45729</v>
      </c>
      <c r="I603" s="166">
        <v>478789.86</v>
      </c>
      <c r="J603" s="166"/>
      <c r="K603" s="166">
        <v>0</v>
      </c>
      <c r="L603" s="166"/>
      <c r="M603" s="185">
        <v>210.14</v>
      </c>
      <c r="N603" s="166">
        <f t="shared" si="35"/>
        <v>479000</v>
      </c>
      <c r="O603" s="36"/>
      <c r="P603" s="36"/>
    </row>
    <row r="604" spans="1:16" ht="30" x14ac:dyDescent="0.25">
      <c r="A604" s="73" t="s">
        <v>23</v>
      </c>
      <c r="B604" s="83">
        <v>800096580</v>
      </c>
      <c r="C604" s="74" t="s">
        <v>545</v>
      </c>
      <c r="D604" s="83" t="s">
        <v>60</v>
      </c>
      <c r="E604" s="75" t="s">
        <v>378</v>
      </c>
      <c r="F604" s="76" t="s">
        <v>1094</v>
      </c>
      <c r="G604" s="83" t="s">
        <v>60</v>
      </c>
      <c r="H604" s="72">
        <v>45729</v>
      </c>
      <c r="I604" s="166">
        <v>3185557.28</v>
      </c>
      <c r="J604" s="166"/>
      <c r="K604" s="166">
        <v>0</v>
      </c>
      <c r="L604" s="166"/>
      <c r="M604" s="185">
        <v>442.72</v>
      </c>
      <c r="N604" s="166">
        <f t="shared" si="35"/>
        <v>3186000</v>
      </c>
      <c r="O604" s="36"/>
      <c r="P604" s="36"/>
    </row>
    <row r="605" spans="1:16" ht="30" x14ac:dyDescent="0.25">
      <c r="A605" s="73" t="s">
        <v>23</v>
      </c>
      <c r="B605" s="83">
        <v>892115024</v>
      </c>
      <c r="C605" s="74" t="s">
        <v>755</v>
      </c>
      <c r="D605" s="83" t="s">
        <v>60</v>
      </c>
      <c r="E605" s="75" t="s">
        <v>378</v>
      </c>
      <c r="F605" s="76" t="s">
        <v>1095</v>
      </c>
      <c r="G605" s="83" t="s">
        <v>60</v>
      </c>
      <c r="H605" s="72">
        <v>45729</v>
      </c>
      <c r="I605" s="166">
        <v>36058.44</v>
      </c>
      <c r="J605" s="166"/>
      <c r="K605" s="166">
        <v>0</v>
      </c>
      <c r="L605" s="166"/>
      <c r="M605" s="185">
        <v>-58.44</v>
      </c>
      <c r="N605" s="166">
        <f t="shared" si="35"/>
        <v>36000</v>
      </c>
      <c r="O605" s="36"/>
      <c r="P605" s="36"/>
    </row>
    <row r="606" spans="1:16" ht="30" x14ac:dyDescent="0.25">
      <c r="A606" s="73" t="s">
        <v>23</v>
      </c>
      <c r="B606" s="83">
        <v>891680081</v>
      </c>
      <c r="C606" s="74" t="s">
        <v>1014</v>
      </c>
      <c r="D606" s="83" t="s">
        <v>60</v>
      </c>
      <c r="E606" s="75" t="s">
        <v>378</v>
      </c>
      <c r="F606" s="76" t="s">
        <v>1096</v>
      </c>
      <c r="G606" s="83" t="s">
        <v>60</v>
      </c>
      <c r="H606" s="72">
        <v>45730</v>
      </c>
      <c r="I606" s="166">
        <v>653957.52</v>
      </c>
      <c r="J606" s="166"/>
      <c r="K606" s="166">
        <v>0</v>
      </c>
      <c r="L606" s="166"/>
      <c r="M606" s="185">
        <v>42.48</v>
      </c>
      <c r="N606" s="166">
        <f t="shared" si="35"/>
        <v>654000</v>
      </c>
      <c r="O606" s="36"/>
      <c r="P606" s="36"/>
    </row>
    <row r="607" spans="1:16" ht="30" x14ac:dyDescent="0.25">
      <c r="A607" s="73" t="s">
        <v>23</v>
      </c>
      <c r="B607" s="83">
        <v>891680081</v>
      </c>
      <c r="C607" s="74" t="s">
        <v>1014</v>
      </c>
      <c r="D607" s="83" t="s">
        <v>60</v>
      </c>
      <c r="E607" s="75" t="s">
        <v>378</v>
      </c>
      <c r="F607" s="76" t="s">
        <v>1097</v>
      </c>
      <c r="G607" s="83" t="s">
        <v>60</v>
      </c>
      <c r="H607" s="72">
        <v>45730</v>
      </c>
      <c r="I607" s="166">
        <v>98093.63</v>
      </c>
      <c r="J607" s="166"/>
      <c r="K607" s="166">
        <v>0</v>
      </c>
      <c r="L607" s="166"/>
      <c r="M607" s="185">
        <v>-93.63</v>
      </c>
      <c r="N607" s="166">
        <f t="shared" si="35"/>
        <v>98000</v>
      </c>
      <c r="O607" s="36"/>
      <c r="P607" s="36"/>
    </row>
    <row r="608" spans="1:16" ht="30" x14ac:dyDescent="0.25">
      <c r="A608" s="73" t="s">
        <v>23</v>
      </c>
      <c r="B608" s="83">
        <v>891680081</v>
      </c>
      <c r="C608" s="74" t="s">
        <v>1014</v>
      </c>
      <c r="D608" s="83" t="s">
        <v>60</v>
      </c>
      <c r="E608" s="75" t="s">
        <v>378</v>
      </c>
      <c r="F608" s="76" t="s">
        <v>1098</v>
      </c>
      <c r="G608" s="83" t="s">
        <v>60</v>
      </c>
      <c r="H608" s="72">
        <v>45730</v>
      </c>
      <c r="I608" s="166">
        <v>13079.15</v>
      </c>
      <c r="J608" s="166"/>
      <c r="K608" s="166">
        <v>0</v>
      </c>
      <c r="L608" s="166"/>
      <c r="M608" s="185">
        <v>-79.150000000000006</v>
      </c>
      <c r="N608" s="166">
        <f t="shared" si="35"/>
        <v>13000</v>
      </c>
      <c r="O608" s="36"/>
      <c r="P608" s="36"/>
    </row>
    <row r="609" spans="1:16" ht="30" x14ac:dyDescent="0.25">
      <c r="A609" s="73" t="s">
        <v>23</v>
      </c>
      <c r="B609" s="83">
        <v>825000134</v>
      </c>
      <c r="C609" s="74" t="s">
        <v>558</v>
      </c>
      <c r="D609" s="83" t="s">
        <v>60</v>
      </c>
      <c r="E609" s="75" t="s">
        <v>378</v>
      </c>
      <c r="F609" s="76" t="s">
        <v>1099</v>
      </c>
      <c r="G609" s="83" t="s">
        <v>60</v>
      </c>
      <c r="H609" s="72">
        <v>45730</v>
      </c>
      <c r="I609" s="166">
        <v>381219.94</v>
      </c>
      <c r="J609" s="166"/>
      <c r="K609" s="166">
        <v>0</v>
      </c>
      <c r="L609" s="166"/>
      <c r="M609" s="185">
        <v>-219.94</v>
      </c>
      <c r="N609" s="166">
        <f t="shared" si="35"/>
        <v>381000</v>
      </c>
      <c r="O609" s="36"/>
      <c r="P609" s="36"/>
    </row>
    <row r="610" spans="1:16" ht="30" x14ac:dyDescent="0.25">
      <c r="A610" s="73" t="s">
        <v>23</v>
      </c>
      <c r="B610" s="83">
        <v>891780041</v>
      </c>
      <c r="C610" s="74" t="s">
        <v>754</v>
      </c>
      <c r="D610" s="83" t="s">
        <v>60</v>
      </c>
      <c r="E610" s="75" t="s">
        <v>378</v>
      </c>
      <c r="F610" s="76" t="s">
        <v>1100</v>
      </c>
      <c r="G610" s="83" t="s">
        <v>60</v>
      </c>
      <c r="H610" s="72">
        <v>45730</v>
      </c>
      <c r="I610" s="166">
        <v>179516.26</v>
      </c>
      <c r="J610" s="166"/>
      <c r="K610" s="166">
        <v>0</v>
      </c>
      <c r="L610" s="166"/>
      <c r="M610" s="185">
        <v>483.74</v>
      </c>
      <c r="N610" s="166">
        <f t="shared" si="35"/>
        <v>180000</v>
      </c>
      <c r="O610" s="36"/>
      <c r="P610" s="36"/>
    </row>
    <row r="611" spans="1:16" ht="30" x14ac:dyDescent="0.25">
      <c r="A611" s="73" t="s">
        <v>23</v>
      </c>
      <c r="B611" s="83">
        <v>891780041</v>
      </c>
      <c r="C611" s="74" t="s">
        <v>754</v>
      </c>
      <c r="D611" s="83" t="s">
        <v>60</v>
      </c>
      <c r="E611" s="75" t="s">
        <v>378</v>
      </c>
      <c r="F611" s="76" t="s">
        <v>1101</v>
      </c>
      <c r="G611" s="83" t="s">
        <v>60</v>
      </c>
      <c r="H611" s="72">
        <v>45730</v>
      </c>
      <c r="I611" s="166">
        <v>26927.43</v>
      </c>
      <c r="J611" s="166"/>
      <c r="K611" s="166">
        <v>0</v>
      </c>
      <c r="L611" s="166"/>
      <c r="M611" s="185">
        <v>72.569999999999993</v>
      </c>
      <c r="N611" s="166">
        <f t="shared" si="35"/>
        <v>27000</v>
      </c>
      <c r="O611" s="36"/>
      <c r="P611" s="36"/>
    </row>
    <row r="612" spans="1:16" ht="30" x14ac:dyDescent="0.25">
      <c r="A612" s="73" t="s">
        <v>23</v>
      </c>
      <c r="B612" s="83">
        <v>891780041</v>
      </c>
      <c r="C612" s="74" t="s">
        <v>754</v>
      </c>
      <c r="D612" s="83" t="s">
        <v>60</v>
      </c>
      <c r="E612" s="75" t="s">
        <v>378</v>
      </c>
      <c r="F612" s="76" t="s">
        <v>1102</v>
      </c>
      <c r="G612" s="83" t="s">
        <v>60</v>
      </c>
      <c r="H612" s="72">
        <v>45730</v>
      </c>
      <c r="I612" s="166">
        <v>12566.14</v>
      </c>
      <c r="J612" s="166"/>
      <c r="K612" s="166">
        <v>0</v>
      </c>
      <c r="L612" s="166"/>
      <c r="M612" s="185">
        <v>433.86</v>
      </c>
      <c r="N612" s="166">
        <f t="shared" si="35"/>
        <v>13000</v>
      </c>
      <c r="O612" s="36"/>
      <c r="P612" s="36"/>
    </row>
    <row r="613" spans="1:16" ht="45" x14ac:dyDescent="0.25">
      <c r="A613" s="73" t="s">
        <v>23</v>
      </c>
      <c r="B613" s="83">
        <v>891500269</v>
      </c>
      <c r="C613" s="74" t="s">
        <v>1015</v>
      </c>
      <c r="D613" s="83" t="s">
        <v>60</v>
      </c>
      <c r="E613" s="75" t="s">
        <v>378</v>
      </c>
      <c r="F613" s="76" t="s">
        <v>1103</v>
      </c>
      <c r="G613" s="83" t="s">
        <v>60</v>
      </c>
      <c r="H613" s="72">
        <v>45733</v>
      </c>
      <c r="I613" s="166">
        <v>1081473.6200000001</v>
      </c>
      <c r="J613" s="166"/>
      <c r="K613" s="166">
        <v>0</v>
      </c>
      <c r="L613" s="166"/>
      <c r="M613" s="185">
        <v>-473.62</v>
      </c>
      <c r="N613" s="166">
        <f t="shared" si="35"/>
        <v>1081000</v>
      </c>
      <c r="O613" s="36"/>
      <c r="P613" s="36"/>
    </row>
    <row r="614" spans="1:16" ht="30" x14ac:dyDescent="0.25">
      <c r="A614" s="73" t="s">
        <v>23</v>
      </c>
      <c r="B614" s="83">
        <v>891480024</v>
      </c>
      <c r="C614" s="74" t="s">
        <v>1016</v>
      </c>
      <c r="D614" s="83" t="s">
        <v>60</v>
      </c>
      <c r="E614" s="75" t="s">
        <v>378</v>
      </c>
      <c r="F614" s="76" t="s">
        <v>1104</v>
      </c>
      <c r="G614" s="83" t="s">
        <v>60</v>
      </c>
      <c r="H614" s="72">
        <v>45733</v>
      </c>
      <c r="I614" s="166">
        <v>198273.37</v>
      </c>
      <c r="J614" s="166"/>
      <c r="K614" s="166">
        <v>0</v>
      </c>
      <c r="L614" s="166"/>
      <c r="M614" s="185">
        <v>-273.37</v>
      </c>
      <c r="N614" s="166">
        <f t="shared" si="35"/>
        <v>198000</v>
      </c>
      <c r="O614" s="36"/>
      <c r="P614" s="36"/>
    </row>
    <row r="615" spans="1:16" ht="30" x14ac:dyDescent="0.25">
      <c r="A615" s="73" t="s">
        <v>23</v>
      </c>
      <c r="B615" s="83">
        <v>891680011</v>
      </c>
      <c r="C615" s="74" t="s">
        <v>1017</v>
      </c>
      <c r="D615" s="83" t="s">
        <v>60</v>
      </c>
      <c r="E615" s="75" t="s">
        <v>378</v>
      </c>
      <c r="F615" s="76" t="s">
        <v>1105</v>
      </c>
      <c r="G615" s="83" t="s">
        <v>60</v>
      </c>
      <c r="H615" s="72">
        <v>45733</v>
      </c>
      <c r="I615" s="166">
        <v>516616.05</v>
      </c>
      <c r="J615" s="166"/>
      <c r="K615" s="166">
        <v>0</v>
      </c>
      <c r="L615" s="166"/>
      <c r="M615" s="185">
        <v>383.95</v>
      </c>
      <c r="N615" s="166">
        <f t="shared" si="35"/>
        <v>517000</v>
      </c>
      <c r="O615" s="36"/>
      <c r="P615" s="36"/>
    </row>
    <row r="616" spans="1:16" ht="30" x14ac:dyDescent="0.25">
      <c r="A616" s="73" t="s">
        <v>23</v>
      </c>
      <c r="B616" s="83">
        <v>800103180</v>
      </c>
      <c r="C616" s="74" t="s">
        <v>1018</v>
      </c>
      <c r="D616" s="83" t="s">
        <v>60</v>
      </c>
      <c r="E616" s="75" t="s">
        <v>378</v>
      </c>
      <c r="F616" s="76" t="s">
        <v>1106</v>
      </c>
      <c r="G616" s="83" t="s">
        <v>60</v>
      </c>
      <c r="H616" s="72">
        <v>45733</v>
      </c>
      <c r="I616" s="166">
        <v>761928.66</v>
      </c>
      <c r="J616" s="166"/>
      <c r="K616" s="166">
        <v>0</v>
      </c>
      <c r="L616" s="166"/>
      <c r="M616" s="185">
        <v>71.34</v>
      </c>
      <c r="N616" s="166">
        <f t="shared" si="35"/>
        <v>762000</v>
      </c>
      <c r="O616" s="36"/>
      <c r="P616" s="36"/>
    </row>
    <row r="617" spans="1:16" ht="30" x14ac:dyDescent="0.25">
      <c r="A617" s="73" t="s">
        <v>23</v>
      </c>
      <c r="B617" s="83">
        <v>818001203</v>
      </c>
      <c r="C617" s="74" t="s">
        <v>1019</v>
      </c>
      <c r="D617" s="83" t="s">
        <v>60</v>
      </c>
      <c r="E617" s="75" t="s">
        <v>378</v>
      </c>
      <c r="F617" s="76" t="s">
        <v>1107</v>
      </c>
      <c r="G617" s="83" t="s">
        <v>60</v>
      </c>
      <c r="H617" s="72">
        <v>45733</v>
      </c>
      <c r="I617" s="166">
        <v>653957.52</v>
      </c>
      <c r="J617" s="166"/>
      <c r="K617" s="166">
        <v>0</v>
      </c>
      <c r="L617" s="166"/>
      <c r="M617" s="185">
        <v>42.48</v>
      </c>
      <c r="N617" s="166">
        <f t="shared" si="35"/>
        <v>654000</v>
      </c>
      <c r="O617" s="36"/>
      <c r="P617" s="36"/>
    </row>
    <row r="618" spans="1:16" ht="30" x14ac:dyDescent="0.25">
      <c r="A618" s="73" t="s">
        <v>23</v>
      </c>
      <c r="B618" s="83">
        <v>891500982</v>
      </c>
      <c r="C618" s="74" t="s">
        <v>453</v>
      </c>
      <c r="D618" s="83" t="s">
        <v>60</v>
      </c>
      <c r="E618" s="75" t="s">
        <v>378</v>
      </c>
      <c r="F618" s="76" t="s">
        <v>1108</v>
      </c>
      <c r="G618" s="83" t="s">
        <v>60</v>
      </c>
      <c r="H618" s="72">
        <v>45733</v>
      </c>
      <c r="I618" s="166">
        <v>14789.22</v>
      </c>
      <c r="J618" s="166"/>
      <c r="K618" s="166">
        <v>0</v>
      </c>
      <c r="L618" s="166"/>
      <c r="M618" s="185">
        <v>210.78</v>
      </c>
      <c r="N618" s="166">
        <f t="shared" si="35"/>
        <v>15000</v>
      </c>
      <c r="O618" s="36"/>
      <c r="P618" s="36"/>
    </row>
    <row r="619" spans="1:16" x14ac:dyDescent="0.25">
      <c r="A619" s="73" t="s">
        <v>23</v>
      </c>
      <c r="B619" s="83">
        <v>891680057</v>
      </c>
      <c r="C619" s="74" t="s">
        <v>1020</v>
      </c>
      <c r="D619" s="83" t="s">
        <v>60</v>
      </c>
      <c r="E619" s="75" t="s">
        <v>378</v>
      </c>
      <c r="F619" s="76" t="s">
        <v>1109</v>
      </c>
      <c r="G619" s="83" t="s">
        <v>60</v>
      </c>
      <c r="H619" s="72">
        <v>45733</v>
      </c>
      <c r="I619" s="166">
        <v>228885.14</v>
      </c>
      <c r="J619" s="166"/>
      <c r="K619" s="166">
        <v>0</v>
      </c>
      <c r="L619" s="166"/>
      <c r="M619" s="185">
        <v>114.86</v>
      </c>
      <c r="N619" s="166">
        <f t="shared" si="35"/>
        <v>229000</v>
      </c>
      <c r="O619" s="36"/>
      <c r="P619" s="36"/>
    </row>
    <row r="620" spans="1:16" ht="45" x14ac:dyDescent="0.25">
      <c r="A620" s="73" t="s">
        <v>23</v>
      </c>
      <c r="B620" s="83">
        <v>800095785</v>
      </c>
      <c r="C620" s="74" t="s">
        <v>1021</v>
      </c>
      <c r="D620" s="83" t="s">
        <v>60</v>
      </c>
      <c r="E620" s="75" t="s">
        <v>378</v>
      </c>
      <c r="F620" s="76" t="s">
        <v>1110</v>
      </c>
      <c r="G620" s="83" t="s">
        <v>60</v>
      </c>
      <c r="H620" s="72">
        <v>45733</v>
      </c>
      <c r="I620" s="166">
        <v>110685.73</v>
      </c>
      <c r="J620" s="166"/>
      <c r="K620" s="166">
        <v>0</v>
      </c>
      <c r="L620" s="166"/>
      <c r="M620" s="185">
        <v>314.27</v>
      </c>
      <c r="N620" s="166">
        <f t="shared" si="35"/>
        <v>111000</v>
      </c>
      <c r="O620" s="36"/>
      <c r="P620" s="36"/>
    </row>
    <row r="621" spans="1:16" ht="30" x14ac:dyDescent="0.25">
      <c r="A621" s="73" t="s">
        <v>23</v>
      </c>
      <c r="B621" s="83">
        <v>800191427</v>
      </c>
      <c r="C621" s="74" t="s">
        <v>1022</v>
      </c>
      <c r="D621" s="83" t="s">
        <v>60</v>
      </c>
      <c r="E621" s="75" t="s">
        <v>378</v>
      </c>
      <c r="F621" s="76" t="s">
        <v>1111</v>
      </c>
      <c r="G621" s="83" t="s">
        <v>60</v>
      </c>
      <c r="H621" s="72">
        <v>45733</v>
      </c>
      <c r="I621" s="166">
        <v>553428.66</v>
      </c>
      <c r="J621" s="166"/>
      <c r="K621" s="166">
        <v>0</v>
      </c>
      <c r="L621" s="166"/>
      <c r="M621" s="185">
        <v>-428.66</v>
      </c>
      <c r="N621" s="166">
        <f t="shared" si="35"/>
        <v>553000</v>
      </c>
      <c r="O621" s="36"/>
      <c r="P621" s="36"/>
    </row>
    <row r="622" spans="1:16" ht="30" x14ac:dyDescent="0.25">
      <c r="A622" s="73" t="s">
        <v>23</v>
      </c>
      <c r="B622" s="83">
        <v>800096585</v>
      </c>
      <c r="C622" s="74" t="s">
        <v>451</v>
      </c>
      <c r="D622" s="83" t="s">
        <v>60</v>
      </c>
      <c r="E622" s="75" t="s">
        <v>378</v>
      </c>
      <c r="F622" s="76" t="s">
        <v>1112</v>
      </c>
      <c r="G622" s="83" t="s">
        <v>60</v>
      </c>
      <c r="H622" s="72">
        <v>45733</v>
      </c>
      <c r="I622" s="166">
        <v>3778133.43</v>
      </c>
      <c r="J622" s="166"/>
      <c r="K622" s="166">
        <v>0</v>
      </c>
      <c r="L622" s="166"/>
      <c r="M622" s="185">
        <v>-133.43</v>
      </c>
      <c r="N622" s="166">
        <f t="shared" si="35"/>
        <v>3778000</v>
      </c>
      <c r="O622" s="36"/>
      <c r="P622" s="36"/>
    </row>
    <row r="623" spans="1:16" ht="45" x14ac:dyDescent="0.25">
      <c r="A623" s="73" t="s">
        <v>23</v>
      </c>
      <c r="B623" s="83">
        <v>892120020</v>
      </c>
      <c r="C623" s="74" t="s">
        <v>1023</v>
      </c>
      <c r="D623" s="83" t="s">
        <v>60</v>
      </c>
      <c r="E623" s="75" t="s">
        <v>378</v>
      </c>
      <c r="F623" s="76" t="s">
        <v>1113</v>
      </c>
      <c r="G623" s="83" t="s">
        <v>60</v>
      </c>
      <c r="H623" s="72">
        <v>45734</v>
      </c>
      <c r="I623" s="166">
        <v>6679189.2199999997</v>
      </c>
      <c r="J623" s="166"/>
      <c r="K623" s="166">
        <v>0</v>
      </c>
      <c r="L623" s="166"/>
      <c r="M623" s="185">
        <v>-189.22</v>
      </c>
      <c r="N623" s="166">
        <f t="shared" si="35"/>
        <v>6679000</v>
      </c>
      <c r="O623" s="36"/>
      <c r="P623" s="36"/>
    </row>
    <row r="624" spans="1:16" ht="30" x14ac:dyDescent="0.25">
      <c r="A624" s="73" t="s">
        <v>23</v>
      </c>
      <c r="B624" s="83">
        <v>891480025</v>
      </c>
      <c r="C624" s="74" t="s">
        <v>896</v>
      </c>
      <c r="D624" s="83" t="s">
        <v>60</v>
      </c>
      <c r="E624" s="75" t="s">
        <v>378</v>
      </c>
      <c r="F624" s="76" t="s">
        <v>1114</v>
      </c>
      <c r="G624" s="83" t="s">
        <v>60</v>
      </c>
      <c r="H624" s="72">
        <v>45735</v>
      </c>
      <c r="I624" s="166">
        <v>471788.38</v>
      </c>
      <c r="J624" s="166"/>
      <c r="K624" s="166">
        <v>0</v>
      </c>
      <c r="L624" s="166"/>
      <c r="M624" s="185">
        <v>211.62</v>
      </c>
      <c r="N624" s="166">
        <f t="shared" si="35"/>
        <v>472000</v>
      </c>
      <c r="O624" s="36"/>
      <c r="P624" s="36"/>
    </row>
    <row r="625" spans="1:16" ht="30" x14ac:dyDescent="0.25">
      <c r="A625" s="73" t="s">
        <v>23</v>
      </c>
      <c r="B625" s="83">
        <v>800096576</v>
      </c>
      <c r="C625" s="74" t="s">
        <v>452</v>
      </c>
      <c r="D625" s="83" t="s">
        <v>60</v>
      </c>
      <c r="E625" s="75" t="s">
        <v>378</v>
      </c>
      <c r="F625" s="76" t="s">
        <v>1115</v>
      </c>
      <c r="G625" s="83" t="s">
        <v>60</v>
      </c>
      <c r="H625" s="72">
        <v>45735</v>
      </c>
      <c r="I625" s="166">
        <v>45600.42</v>
      </c>
      <c r="J625" s="166"/>
      <c r="K625" s="166">
        <v>0</v>
      </c>
      <c r="L625" s="166"/>
      <c r="M625" s="185">
        <v>399.58</v>
      </c>
      <c r="N625" s="166">
        <f t="shared" si="35"/>
        <v>46000</v>
      </c>
      <c r="O625" s="36"/>
      <c r="P625" s="36"/>
    </row>
    <row r="626" spans="1:16" ht="30" x14ac:dyDescent="0.25">
      <c r="A626" s="73" t="s">
        <v>23</v>
      </c>
      <c r="B626" s="83">
        <v>800031075</v>
      </c>
      <c r="C626" s="74" t="s">
        <v>897</v>
      </c>
      <c r="D626" s="83" t="s">
        <v>60</v>
      </c>
      <c r="E626" s="75" t="s">
        <v>378</v>
      </c>
      <c r="F626" s="76" t="s">
        <v>1116</v>
      </c>
      <c r="G626" s="83" t="s">
        <v>60</v>
      </c>
      <c r="H626" s="72">
        <v>45736</v>
      </c>
      <c r="I626" s="166">
        <v>6634838.7199999997</v>
      </c>
      <c r="J626" s="166"/>
      <c r="K626" s="166">
        <v>0</v>
      </c>
      <c r="L626" s="166"/>
      <c r="M626" s="185">
        <v>161.28</v>
      </c>
      <c r="N626" s="166">
        <f t="shared" si="35"/>
        <v>6635000</v>
      </c>
      <c r="O626" s="36"/>
      <c r="P626" s="36"/>
    </row>
    <row r="627" spans="1:16" x14ac:dyDescent="0.25">
      <c r="A627" s="73" t="s">
        <v>23</v>
      </c>
      <c r="B627" s="83">
        <v>800098911</v>
      </c>
      <c r="C627" s="74" t="s">
        <v>704</v>
      </c>
      <c r="D627" s="83" t="s">
        <v>60</v>
      </c>
      <c r="E627" s="75" t="s">
        <v>378</v>
      </c>
      <c r="F627" s="76" t="s">
        <v>1117</v>
      </c>
      <c r="G627" s="83" t="s">
        <v>60</v>
      </c>
      <c r="H627" s="72">
        <v>45736</v>
      </c>
      <c r="I627" s="166">
        <v>499515.89</v>
      </c>
      <c r="J627" s="166"/>
      <c r="K627" s="166">
        <v>0</v>
      </c>
      <c r="L627" s="166"/>
      <c r="M627" s="185">
        <v>484.11</v>
      </c>
      <c r="N627" s="166">
        <f t="shared" si="35"/>
        <v>500000</v>
      </c>
      <c r="O627" s="36"/>
      <c r="P627" s="36"/>
    </row>
    <row r="628" spans="1:16" ht="45" x14ac:dyDescent="0.25">
      <c r="A628" s="73" t="s">
        <v>23</v>
      </c>
      <c r="B628" s="83">
        <v>800197268</v>
      </c>
      <c r="C628" s="74" t="s">
        <v>449</v>
      </c>
      <c r="D628" s="83" t="s">
        <v>60</v>
      </c>
      <c r="E628" s="75" t="s">
        <v>378</v>
      </c>
      <c r="F628" s="76" t="s">
        <v>1118</v>
      </c>
      <c r="G628" s="83" t="s">
        <v>60</v>
      </c>
      <c r="H628" s="72">
        <v>45737</v>
      </c>
      <c r="I628" s="166">
        <v>269257696.89999998</v>
      </c>
      <c r="J628" s="166"/>
      <c r="K628" s="166">
        <v>0</v>
      </c>
      <c r="L628" s="166"/>
      <c r="M628" s="185">
        <v>303.10000000000002</v>
      </c>
      <c r="N628" s="166">
        <f t="shared" si="35"/>
        <v>269258000</v>
      </c>
      <c r="O628" s="36"/>
      <c r="P628" s="36"/>
    </row>
    <row r="629" spans="1:16" ht="36.75" customHeight="1" x14ac:dyDescent="0.25">
      <c r="F629" s="107" t="s">
        <v>1220</v>
      </c>
      <c r="I629" s="184">
        <f t="shared" ref="I629:N629" si="36">+SUM(I534:I628)</f>
        <v>13368284632.969997</v>
      </c>
      <c r="J629" s="184">
        <f t="shared" si="36"/>
        <v>1190764260.1199999</v>
      </c>
      <c r="K629" s="184">
        <f t="shared" si="36"/>
        <v>1088404434.1500001</v>
      </c>
      <c r="L629" s="184">
        <f t="shared" si="36"/>
        <v>154159684.75</v>
      </c>
      <c r="M629" s="184">
        <f t="shared" si="36"/>
        <v>-275.78000000000043</v>
      </c>
      <c r="N629" s="184">
        <f t="shared" si="36"/>
        <v>10934955978.17</v>
      </c>
      <c r="O629" s="100"/>
      <c r="P629" s="36"/>
    </row>
    <row r="630" spans="1:16" ht="150" x14ac:dyDescent="0.25">
      <c r="A630" s="73" t="s">
        <v>23</v>
      </c>
      <c r="B630" s="83">
        <v>901839812</v>
      </c>
      <c r="C630" s="74" t="s">
        <v>461</v>
      </c>
      <c r="D630" s="83" t="s">
        <v>460</v>
      </c>
      <c r="E630" s="75" t="s">
        <v>394</v>
      </c>
      <c r="F630" s="76" t="s">
        <v>1225</v>
      </c>
      <c r="G630" s="83">
        <v>293825</v>
      </c>
      <c r="H630" s="72">
        <v>45768</v>
      </c>
      <c r="I630" s="166">
        <v>20581311.23</v>
      </c>
      <c r="J630" s="166">
        <v>2058131.12</v>
      </c>
      <c r="K630" s="166">
        <v>1236971.4000000001</v>
      </c>
      <c r="L630" s="166"/>
      <c r="M630" s="185">
        <v>0</v>
      </c>
      <c r="N630" s="166">
        <f>+I630-J630-K630-L630+M630</f>
        <v>17286208.710000001</v>
      </c>
      <c r="O630" s="36"/>
      <c r="P630" s="36"/>
    </row>
    <row r="631" spans="1:16" ht="120" x14ac:dyDescent="0.25">
      <c r="A631" s="73" t="s">
        <v>23</v>
      </c>
      <c r="B631" s="83">
        <v>813006542</v>
      </c>
      <c r="C631" s="74" t="s">
        <v>489</v>
      </c>
      <c r="D631" s="83" t="s">
        <v>488</v>
      </c>
      <c r="E631" s="75" t="s">
        <v>394</v>
      </c>
      <c r="F631" s="76" t="s">
        <v>1226</v>
      </c>
      <c r="G631" s="83">
        <v>293829</v>
      </c>
      <c r="H631" s="72">
        <v>45763</v>
      </c>
      <c r="I631" s="166">
        <v>169575438.03999999</v>
      </c>
      <c r="J631" s="166">
        <v>16957543.800000001</v>
      </c>
      <c r="K631" s="166">
        <v>14350887.310000001</v>
      </c>
      <c r="L631" s="166">
        <v>0</v>
      </c>
      <c r="M631" s="185">
        <v>0</v>
      </c>
      <c r="N631" s="166">
        <f t="shared" ref="N631:N678" si="37">+I631-J631-K631-L631+M631</f>
        <v>138267006.92999998</v>
      </c>
      <c r="O631" s="36"/>
      <c r="P631" s="36"/>
    </row>
    <row r="632" spans="1:16" ht="105" x14ac:dyDescent="0.25">
      <c r="A632" s="73" t="s">
        <v>23</v>
      </c>
      <c r="B632" s="83">
        <v>901808808</v>
      </c>
      <c r="C632" s="74" t="s">
        <v>140</v>
      </c>
      <c r="D632" s="83" t="s">
        <v>139</v>
      </c>
      <c r="E632" s="75" t="s">
        <v>394</v>
      </c>
      <c r="F632" s="76" t="s">
        <v>1227</v>
      </c>
      <c r="G632" s="83">
        <v>294856</v>
      </c>
      <c r="H632" s="72">
        <v>45772</v>
      </c>
      <c r="I632" s="166">
        <v>76087925.909999996</v>
      </c>
      <c r="J632" s="166">
        <v>7608793</v>
      </c>
      <c r="K632" s="166">
        <v>4461054.28</v>
      </c>
      <c r="L632" s="166">
        <v>0</v>
      </c>
      <c r="M632" s="185">
        <v>0</v>
      </c>
      <c r="N632" s="166">
        <f t="shared" si="37"/>
        <v>64018078.629999995</v>
      </c>
      <c r="O632" s="36"/>
      <c r="P632" s="36"/>
    </row>
    <row r="633" spans="1:16" ht="90" x14ac:dyDescent="0.25">
      <c r="A633" s="73" t="s">
        <v>23</v>
      </c>
      <c r="B633" s="83">
        <v>901811721</v>
      </c>
      <c r="C633" s="74" t="s">
        <v>137</v>
      </c>
      <c r="D633" s="83" t="s">
        <v>136</v>
      </c>
      <c r="E633" s="75" t="s">
        <v>394</v>
      </c>
      <c r="F633" s="76" t="s">
        <v>1228</v>
      </c>
      <c r="G633" s="83">
        <v>294842</v>
      </c>
      <c r="H633" s="72">
        <v>45772</v>
      </c>
      <c r="I633" s="166">
        <v>1519100334</v>
      </c>
      <c r="J633" s="166">
        <v>151910033</v>
      </c>
      <c r="K633" s="166">
        <v>147336639.06</v>
      </c>
      <c r="L633" s="166">
        <v>0</v>
      </c>
      <c r="M633" s="185">
        <v>0</v>
      </c>
      <c r="N633" s="166">
        <f t="shared" si="37"/>
        <v>1219853661.9400001</v>
      </c>
      <c r="O633" s="36"/>
      <c r="P633" s="36"/>
    </row>
    <row r="634" spans="1:16" ht="135" x14ac:dyDescent="0.25">
      <c r="A634" s="73" t="s">
        <v>23</v>
      </c>
      <c r="B634" s="83">
        <v>900591185</v>
      </c>
      <c r="C634" s="74" t="s">
        <v>695</v>
      </c>
      <c r="D634" s="83" t="s">
        <v>694</v>
      </c>
      <c r="E634" s="75" t="s">
        <v>394</v>
      </c>
      <c r="F634" s="76" t="s">
        <v>1229</v>
      </c>
      <c r="G634" s="83">
        <v>293610</v>
      </c>
      <c r="H634" s="72">
        <v>45768</v>
      </c>
      <c r="I634" s="166">
        <v>500708481</v>
      </c>
      <c r="J634" s="166">
        <v>50070848</v>
      </c>
      <c r="K634" s="166">
        <v>41199757.969999999</v>
      </c>
      <c r="L634" s="166"/>
      <c r="M634" s="185">
        <v>0</v>
      </c>
      <c r="N634" s="166">
        <f t="shared" si="37"/>
        <v>409437875.02999997</v>
      </c>
      <c r="O634" s="36"/>
      <c r="P634" s="36"/>
    </row>
    <row r="635" spans="1:16" ht="105" x14ac:dyDescent="0.25">
      <c r="A635" s="73" t="s">
        <v>23</v>
      </c>
      <c r="B635" s="83">
        <v>901803620</v>
      </c>
      <c r="C635" s="74" t="s">
        <v>285</v>
      </c>
      <c r="D635" s="83" t="s">
        <v>284</v>
      </c>
      <c r="E635" s="75" t="s">
        <v>394</v>
      </c>
      <c r="F635" s="76" t="s">
        <v>1230</v>
      </c>
      <c r="G635" s="83">
        <v>293611</v>
      </c>
      <c r="H635" s="72">
        <v>45763</v>
      </c>
      <c r="I635" s="166">
        <v>870889420.96999991</v>
      </c>
      <c r="J635" s="166">
        <v>87088942.099999994</v>
      </c>
      <c r="K635" s="166">
        <v>76308306.320000008</v>
      </c>
      <c r="L635" s="166">
        <v>0</v>
      </c>
      <c r="M635" s="185">
        <v>0</v>
      </c>
      <c r="N635" s="166">
        <f t="shared" si="37"/>
        <v>707492172.54999983</v>
      </c>
      <c r="O635" s="36"/>
      <c r="P635" s="36"/>
    </row>
    <row r="636" spans="1:16" ht="135" x14ac:dyDescent="0.25">
      <c r="A636" s="73" t="s">
        <v>23</v>
      </c>
      <c r="B636" s="83">
        <v>901808735</v>
      </c>
      <c r="C636" s="74" t="s">
        <v>272</v>
      </c>
      <c r="D636" s="83" t="s">
        <v>271</v>
      </c>
      <c r="E636" s="75" t="s">
        <v>394</v>
      </c>
      <c r="F636" s="76" t="s">
        <v>1231</v>
      </c>
      <c r="G636" s="83">
        <v>293832</v>
      </c>
      <c r="H636" s="72">
        <v>45768</v>
      </c>
      <c r="I636" s="166">
        <v>16328194.450000001</v>
      </c>
      <c r="J636" s="166">
        <v>1632819.45</v>
      </c>
      <c r="K636" s="166">
        <v>1000325.56</v>
      </c>
      <c r="L636" s="166">
        <v>0</v>
      </c>
      <c r="M636" s="185">
        <v>0</v>
      </c>
      <c r="N636" s="166">
        <f t="shared" si="37"/>
        <v>13695049.440000001</v>
      </c>
      <c r="O636" s="36"/>
      <c r="P636" s="36"/>
    </row>
    <row r="637" spans="1:16" ht="135" x14ac:dyDescent="0.25">
      <c r="A637" s="73" t="s">
        <v>23</v>
      </c>
      <c r="B637" s="83">
        <v>901843292</v>
      </c>
      <c r="C637" s="74" t="s">
        <v>487</v>
      </c>
      <c r="D637" s="83" t="s">
        <v>486</v>
      </c>
      <c r="E637" s="75" t="s">
        <v>394</v>
      </c>
      <c r="F637" s="76" t="s">
        <v>1232</v>
      </c>
      <c r="G637" s="83">
        <v>293997</v>
      </c>
      <c r="H637" s="72">
        <v>45768</v>
      </c>
      <c r="I637" s="166">
        <v>136403063.08999997</v>
      </c>
      <c r="J637" s="166">
        <v>13640306.310000001</v>
      </c>
      <c r="K637" s="166">
        <v>11515075.98</v>
      </c>
      <c r="L637" s="166"/>
      <c r="M637" s="185">
        <v>0</v>
      </c>
      <c r="N637" s="166">
        <f t="shared" si="37"/>
        <v>111247680.79999997</v>
      </c>
      <c r="O637" s="36"/>
      <c r="P637" s="36"/>
    </row>
    <row r="638" spans="1:16" ht="150" x14ac:dyDescent="0.25">
      <c r="A638" s="73" t="s">
        <v>381</v>
      </c>
      <c r="B638" s="83">
        <v>12979612</v>
      </c>
      <c r="C638" s="74" t="s">
        <v>491</v>
      </c>
      <c r="D638" s="83" t="s">
        <v>490</v>
      </c>
      <c r="E638" s="75" t="s">
        <v>394</v>
      </c>
      <c r="F638" s="76" t="s">
        <v>1233</v>
      </c>
      <c r="G638" s="83">
        <v>293999</v>
      </c>
      <c r="H638" s="72">
        <v>45768</v>
      </c>
      <c r="I638" s="166">
        <v>39884236.899999999</v>
      </c>
      <c r="J638" s="166">
        <v>3988423.69</v>
      </c>
      <c r="K638" s="166">
        <v>2504967.85</v>
      </c>
      <c r="L638" s="166">
        <v>0</v>
      </c>
      <c r="M638" s="185">
        <v>0</v>
      </c>
      <c r="N638" s="166">
        <f t="shared" si="37"/>
        <v>33390845.359999999</v>
      </c>
      <c r="O638" s="36"/>
      <c r="P638" s="36"/>
    </row>
    <row r="639" spans="1:16" ht="135" x14ac:dyDescent="0.25">
      <c r="A639" s="73" t="s">
        <v>23</v>
      </c>
      <c r="B639" s="83">
        <v>901820483</v>
      </c>
      <c r="C639" s="74" t="s">
        <v>406</v>
      </c>
      <c r="D639" s="83" t="s">
        <v>405</v>
      </c>
      <c r="E639" s="75" t="s">
        <v>394</v>
      </c>
      <c r="F639" s="76" t="s">
        <v>1234</v>
      </c>
      <c r="G639" s="83">
        <v>293834</v>
      </c>
      <c r="H639" s="72">
        <v>45768</v>
      </c>
      <c r="I639" s="166">
        <v>11368342.300000001</v>
      </c>
      <c r="J639" s="166">
        <v>1136834.2300000002</v>
      </c>
      <c r="K639" s="166">
        <v>675890.93</v>
      </c>
      <c r="L639" s="166"/>
      <c r="M639" s="185">
        <v>0</v>
      </c>
      <c r="N639" s="166">
        <f t="shared" si="37"/>
        <v>9555617.1400000006</v>
      </c>
      <c r="O639" s="36"/>
      <c r="P639" s="36"/>
    </row>
    <row r="640" spans="1:16" ht="120" x14ac:dyDescent="0.25">
      <c r="A640" s="73" t="s">
        <v>381</v>
      </c>
      <c r="B640" s="83">
        <v>9050725</v>
      </c>
      <c r="C640" s="74" t="s">
        <v>288</v>
      </c>
      <c r="D640" s="83" t="s">
        <v>287</v>
      </c>
      <c r="E640" s="75" t="s">
        <v>394</v>
      </c>
      <c r="F640" s="76" t="s">
        <v>1235</v>
      </c>
      <c r="G640" s="83">
        <v>294003</v>
      </c>
      <c r="H640" s="72">
        <v>45768</v>
      </c>
      <c r="I640" s="166">
        <v>52204130.32</v>
      </c>
      <c r="J640" s="166">
        <v>5220413.03</v>
      </c>
      <c r="K640" s="166">
        <v>3180781.21</v>
      </c>
      <c r="L640" s="166">
        <v>0</v>
      </c>
      <c r="M640" s="185">
        <v>0</v>
      </c>
      <c r="N640" s="166">
        <f t="shared" si="37"/>
        <v>43802936.079999998</v>
      </c>
      <c r="O640" s="36"/>
      <c r="P640" s="36"/>
    </row>
    <row r="641" spans="1:16" ht="120" x14ac:dyDescent="0.25">
      <c r="A641" s="73" t="s">
        <v>23</v>
      </c>
      <c r="B641" s="83">
        <v>901830109</v>
      </c>
      <c r="C641" s="74" t="s">
        <v>849</v>
      </c>
      <c r="D641" s="83" t="s">
        <v>432</v>
      </c>
      <c r="E641" s="75" t="s">
        <v>394</v>
      </c>
      <c r="F641" s="76" t="s">
        <v>1236</v>
      </c>
      <c r="G641" s="83">
        <v>293394</v>
      </c>
      <c r="H641" s="72">
        <v>45762</v>
      </c>
      <c r="I641" s="166">
        <v>1150292309.45</v>
      </c>
      <c r="J641" s="166">
        <v>115029230.95</v>
      </c>
      <c r="K641" s="166">
        <v>97185093.260000005</v>
      </c>
      <c r="L641" s="166">
        <v>20000000</v>
      </c>
      <c r="M641" s="185">
        <v>0</v>
      </c>
      <c r="N641" s="166">
        <f t="shared" si="37"/>
        <v>918077985.24000001</v>
      </c>
      <c r="O641" s="36"/>
      <c r="P641" s="36"/>
    </row>
    <row r="642" spans="1:16" ht="150" x14ac:dyDescent="0.25">
      <c r="A642" s="73" t="s">
        <v>23</v>
      </c>
      <c r="B642" s="83">
        <v>901870297</v>
      </c>
      <c r="C642" s="74" t="s">
        <v>688</v>
      </c>
      <c r="D642" s="83" t="s">
        <v>689</v>
      </c>
      <c r="E642" s="75" t="s">
        <v>394</v>
      </c>
      <c r="F642" s="76" t="s">
        <v>1237</v>
      </c>
      <c r="G642" s="83">
        <v>293614</v>
      </c>
      <c r="H642" s="72">
        <v>45763</v>
      </c>
      <c r="I642" s="166">
        <v>30117341</v>
      </c>
      <c r="J642" s="166">
        <v>3011734</v>
      </c>
      <c r="K642" s="166">
        <v>1872843.0599999998</v>
      </c>
      <c r="L642" s="166">
        <v>0</v>
      </c>
      <c r="M642" s="185">
        <v>0</v>
      </c>
      <c r="N642" s="166">
        <f t="shared" si="37"/>
        <v>25232763.940000001</v>
      </c>
      <c r="O642" s="36"/>
      <c r="P642" s="36"/>
    </row>
    <row r="643" spans="1:16" ht="120" x14ac:dyDescent="0.25">
      <c r="A643" s="73" t="s">
        <v>23</v>
      </c>
      <c r="B643" s="83">
        <v>901867911</v>
      </c>
      <c r="C643" s="74" t="s">
        <v>687</v>
      </c>
      <c r="D643" s="83" t="s">
        <v>686</v>
      </c>
      <c r="E643" s="75" t="s">
        <v>394</v>
      </c>
      <c r="F643" s="76" t="s">
        <v>1238</v>
      </c>
      <c r="G643" s="83">
        <v>293836</v>
      </c>
      <c r="H643" s="72">
        <v>45763</v>
      </c>
      <c r="I643" s="166">
        <v>678081753</v>
      </c>
      <c r="J643" s="166">
        <v>67808175</v>
      </c>
      <c r="K643" s="166">
        <v>56509413.060000002</v>
      </c>
      <c r="L643" s="166">
        <v>0</v>
      </c>
      <c r="M643" s="185">
        <v>0</v>
      </c>
      <c r="N643" s="166">
        <f t="shared" si="37"/>
        <v>553764164.94000006</v>
      </c>
      <c r="O643" s="36"/>
      <c r="P643" s="36"/>
    </row>
    <row r="644" spans="1:16" ht="135" x14ac:dyDescent="0.25">
      <c r="A644" s="73" t="s">
        <v>23</v>
      </c>
      <c r="B644" s="83">
        <v>901841724</v>
      </c>
      <c r="C644" s="74" t="s">
        <v>497</v>
      </c>
      <c r="D644" s="83" t="s">
        <v>496</v>
      </c>
      <c r="E644" s="75" t="s">
        <v>394</v>
      </c>
      <c r="F644" s="76" t="s">
        <v>1239</v>
      </c>
      <c r="G644" s="83">
        <v>293620</v>
      </c>
      <c r="H644" s="72">
        <v>45768</v>
      </c>
      <c r="I644" s="166">
        <v>53022156.540000007</v>
      </c>
      <c r="J644" s="166">
        <v>5302215.6500000004</v>
      </c>
      <c r="K644" s="166">
        <v>1501027.7999999998</v>
      </c>
      <c r="L644" s="166"/>
      <c r="M644" s="185">
        <v>0</v>
      </c>
      <c r="N644" s="166">
        <f t="shared" si="37"/>
        <v>46218913.090000011</v>
      </c>
      <c r="O644" s="36"/>
      <c r="P644" s="36"/>
    </row>
    <row r="645" spans="1:16" ht="135" x14ac:dyDescent="0.25">
      <c r="A645" s="73" t="s">
        <v>23</v>
      </c>
      <c r="B645" s="83">
        <v>900749719</v>
      </c>
      <c r="C645" s="74" t="s">
        <v>463</v>
      </c>
      <c r="D645" s="83" t="s">
        <v>462</v>
      </c>
      <c r="E645" s="75" t="s">
        <v>394</v>
      </c>
      <c r="F645" s="76" t="s">
        <v>1240</v>
      </c>
      <c r="G645" s="83">
        <v>293622</v>
      </c>
      <c r="H645" s="72">
        <v>45763</v>
      </c>
      <c r="I645" s="166">
        <v>885852747.88999999</v>
      </c>
      <c r="J645" s="166">
        <v>88585274.790000007</v>
      </c>
      <c r="K645" s="166">
        <v>76383894.310000002</v>
      </c>
      <c r="L645" s="172">
        <v>54159684.75</v>
      </c>
      <c r="M645" s="185">
        <v>0</v>
      </c>
      <c r="N645" s="166">
        <f t="shared" si="37"/>
        <v>666723894.03999996</v>
      </c>
      <c r="O645" s="36"/>
      <c r="P645" s="36"/>
    </row>
    <row r="646" spans="1:16" ht="90" x14ac:dyDescent="0.25">
      <c r="A646" s="73" t="s">
        <v>381</v>
      </c>
      <c r="B646" s="83">
        <v>85476995</v>
      </c>
      <c r="C646" s="74" t="s">
        <v>945</v>
      </c>
      <c r="D646" s="83" t="s">
        <v>407</v>
      </c>
      <c r="E646" s="75" t="s">
        <v>394</v>
      </c>
      <c r="F646" s="76" t="s">
        <v>1241</v>
      </c>
      <c r="G646" s="83">
        <v>294143</v>
      </c>
      <c r="H646" s="72">
        <v>45768</v>
      </c>
      <c r="I646" s="166">
        <v>77238559.390000001</v>
      </c>
      <c r="J646" s="166">
        <v>7723855.9400000004</v>
      </c>
      <c r="K646" s="166">
        <v>4413631.97</v>
      </c>
      <c r="L646" s="172">
        <v>20000000</v>
      </c>
      <c r="M646" s="185">
        <v>0</v>
      </c>
      <c r="N646" s="166">
        <f t="shared" si="37"/>
        <v>45101071.480000004</v>
      </c>
      <c r="O646" s="36"/>
      <c r="P646" s="36"/>
    </row>
    <row r="647" spans="1:16" ht="120" x14ac:dyDescent="0.25">
      <c r="A647" s="73" t="s">
        <v>23</v>
      </c>
      <c r="B647" s="83">
        <v>901829333</v>
      </c>
      <c r="C647" s="74" t="s">
        <v>1221</v>
      </c>
      <c r="D647" s="83" t="s">
        <v>434</v>
      </c>
      <c r="E647" s="75" t="s">
        <v>394</v>
      </c>
      <c r="F647" s="76" t="s">
        <v>1242</v>
      </c>
      <c r="G647" s="83">
        <v>293835</v>
      </c>
      <c r="H647" s="72">
        <v>45768</v>
      </c>
      <c r="I647" s="166">
        <v>194453408.91</v>
      </c>
      <c r="J647" s="166">
        <v>19445340.890000001</v>
      </c>
      <c r="K647" s="166">
        <v>17722466.920000002</v>
      </c>
      <c r="L647" s="166">
        <v>6743074.3200000003</v>
      </c>
      <c r="M647" s="185">
        <v>0</v>
      </c>
      <c r="N647" s="166">
        <f t="shared" si="37"/>
        <v>150542526.77999997</v>
      </c>
      <c r="O647" s="36"/>
      <c r="P647" s="36"/>
    </row>
    <row r="648" spans="1:16" ht="120" x14ac:dyDescent="0.25">
      <c r="A648" s="73" t="s">
        <v>23</v>
      </c>
      <c r="B648" s="83">
        <v>901830037</v>
      </c>
      <c r="C648" s="74" t="s">
        <v>437</v>
      </c>
      <c r="D648" s="83" t="s">
        <v>436</v>
      </c>
      <c r="E648" s="75" t="s">
        <v>394</v>
      </c>
      <c r="F648" s="76" t="s">
        <v>1243</v>
      </c>
      <c r="G648" s="83">
        <v>294416</v>
      </c>
      <c r="H648" s="72">
        <v>45772</v>
      </c>
      <c r="I648" s="166">
        <v>49581920.140000001</v>
      </c>
      <c r="J648" s="166">
        <v>4958192.01</v>
      </c>
      <c r="K648" s="166">
        <v>3195742.26</v>
      </c>
      <c r="L648" s="166"/>
      <c r="M648" s="185">
        <v>0</v>
      </c>
      <c r="N648" s="166">
        <f t="shared" si="37"/>
        <v>41427985.870000005</v>
      </c>
      <c r="O648" s="36"/>
      <c r="P648" s="36"/>
    </row>
    <row r="649" spans="1:16" ht="120" x14ac:dyDescent="0.25">
      <c r="A649" s="73" t="s">
        <v>23</v>
      </c>
      <c r="B649" s="83">
        <v>901786162</v>
      </c>
      <c r="C649" s="74" t="s">
        <v>163</v>
      </c>
      <c r="D649" s="83" t="s">
        <v>162</v>
      </c>
      <c r="E649" s="75" t="s">
        <v>394</v>
      </c>
      <c r="F649" s="76" t="s">
        <v>1244</v>
      </c>
      <c r="G649" s="83">
        <v>294437</v>
      </c>
      <c r="H649" s="72">
        <v>45772</v>
      </c>
      <c r="I649" s="166">
        <v>36839002.5</v>
      </c>
      <c r="J649" s="166">
        <v>3683900.25</v>
      </c>
      <c r="K649" s="166">
        <v>2281666.17</v>
      </c>
      <c r="L649" s="166"/>
      <c r="M649" s="185">
        <v>0</v>
      </c>
      <c r="N649" s="166">
        <f t="shared" si="37"/>
        <v>30873436.079999998</v>
      </c>
      <c r="O649" s="36"/>
      <c r="P649" s="36"/>
    </row>
    <row r="650" spans="1:16" ht="120" x14ac:dyDescent="0.25">
      <c r="A650" s="73" t="s">
        <v>23</v>
      </c>
      <c r="B650" s="83">
        <v>901841741</v>
      </c>
      <c r="C650" s="74" t="s">
        <v>495</v>
      </c>
      <c r="D650" s="83" t="s">
        <v>494</v>
      </c>
      <c r="E650" s="75" t="s">
        <v>394</v>
      </c>
      <c r="F650" s="76" t="s">
        <v>1245</v>
      </c>
      <c r="G650" s="83">
        <v>294426</v>
      </c>
      <c r="H650" s="72">
        <v>45775</v>
      </c>
      <c r="I650" s="166">
        <v>46854976.060000002</v>
      </c>
      <c r="J650" s="166">
        <v>4685497.6100000003</v>
      </c>
      <c r="K650" s="218">
        <v>3222385.9699999997</v>
      </c>
      <c r="L650" s="166"/>
      <c r="M650" s="185">
        <v>0</v>
      </c>
      <c r="N650" s="166">
        <f t="shared" si="37"/>
        <v>38947092.480000004</v>
      </c>
      <c r="O650" s="36"/>
      <c r="P650" s="36"/>
    </row>
    <row r="651" spans="1:16" ht="90" x14ac:dyDescent="0.25">
      <c r="A651" s="73" t="s">
        <v>23</v>
      </c>
      <c r="B651" s="83">
        <v>901831256</v>
      </c>
      <c r="C651" s="74" t="s">
        <v>485</v>
      </c>
      <c r="D651" s="83" t="s">
        <v>484</v>
      </c>
      <c r="E651" s="75" t="s">
        <v>394</v>
      </c>
      <c r="F651" s="76" t="s">
        <v>1246</v>
      </c>
      <c r="G651" s="83">
        <v>295156</v>
      </c>
      <c r="H651" s="72">
        <v>45775</v>
      </c>
      <c r="I651" s="166">
        <v>16468352.390000001</v>
      </c>
      <c r="J651" s="166">
        <v>1646835.24</v>
      </c>
      <c r="K651" s="166">
        <v>1037921.38</v>
      </c>
      <c r="L651" s="166"/>
      <c r="M651" s="185">
        <v>0</v>
      </c>
      <c r="N651" s="166">
        <f t="shared" si="37"/>
        <v>13783595.77</v>
      </c>
      <c r="O651" s="36"/>
      <c r="P651" s="36"/>
    </row>
    <row r="652" spans="1:16" ht="75" x14ac:dyDescent="0.25">
      <c r="A652" s="73" t="s">
        <v>23</v>
      </c>
      <c r="B652" s="83">
        <v>900503646</v>
      </c>
      <c r="C652" s="74" t="s">
        <v>194</v>
      </c>
      <c r="D652" s="83" t="s">
        <v>193</v>
      </c>
      <c r="E652" s="75" t="s">
        <v>394</v>
      </c>
      <c r="F652" s="76" t="s">
        <v>1247</v>
      </c>
      <c r="G652" s="83">
        <v>294431</v>
      </c>
      <c r="H652" s="72">
        <v>45776</v>
      </c>
      <c r="I652" s="166">
        <v>27218072.220000003</v>
      </c>
      <c r="J652" s="166">
        <v>2721807.22</v>
      </c>
      <c r="K652" s="166">
        <v>1657026.03</v>
      </c>
      <c r="L652" s="166"/>
      <c r="M652" s="185">
        <v>0</v>
      </c>
      <c r="N652" s="166">
        <f t="shared" si="37"/>
        <v>22839238.970000003</v>
      </c>
      <c r="O652" s="36"/>
      <c r="P652" s="36"/>
    </row>
    <row r="653" spans="1:16" ht="120" x14ac:dyDescent="0.25">
      <c r="A653" s="73" t="s">
        <v>23</v>
      </c>
      <c r="B653" s="83">
        <v>901835722</v>
      </c>
      <c r="C653" s="74" t="s">
        <v>459</v>
      </c>
      <c r="D653" s="83" t="s">
        <v>458</v>
      </c>
      <c r="E653" s="75" t="s">
        <v>394</v>
      </c>
      <c r="F653" s="76" t="s">
        <v>1248</v>
      </c>
      <c r="G653" s="83">
        <v>294148</v>
      </c>
      <c r="H653" s="72">
        <v>45772</v>
      </c>
      <c r="I653" s="166">
        <v>716951515.80999994</v>
      </c>
      <c r="J653" s="166">
        <v>71695151.579999998</v>
      </c>
      <c r="K653" s="166">
        <v>57880383.25</v>
      </c>
      <c r="L653" s="166"/>
      <c r="M653" s="185">
        <v>0</v>
      </c>
      <c r="N653" s="166">
        <f t="shared" si="37"/>
        <v>587375980.9799999</v>
      </c>
      <c r="O653" s="36"/>
      <c r="P653" s="36"/>
    </row>
    <row r="654" spans="1:16" ht="105" x14ac:dyDescent="0.25">
      <c r="A654" s="73" t="s">
        <v>23</v>
      </c>
      <c r="B654" s="83">
        <v>901842060</v>
      </c>
      <c r="C654" s="74" t="s">
        <v>493</v>
      </c>
      <c r="D654" s="83" t="s">
        <v>492</v>
      </c>
      <c r="E654" s="75" t="s">
        <v>394</v>
      </c>
      <c r="F654" s="76" t="s">
        <v>1249</v>
      </c>
      <c r="G654" s="83">
        <v>294628</v>
      </c>
      <c r="H654" s="72">
        <v>45772</v>
      </c>
      <c r="I654" s="166">
        <v>1179642883.9300001</v>
      </c>
      <c r="J654" s="166">
        <v>117964288.39</v>
      </c>
      <c r="K654" s="166">
        <v>102409591.95999999</v>
      </c>
      <c r="L654" s="166">
        <v>21493697.890000001</v>
      </c>
      <c r="M654" s="185">
        <v>0</v>
      </c>
      <c r="N654" s="166">
        <f t="shared" si="37"/>
        <v>937775305.69000006</v>
      </c>
      <c r="O654" s="36"/>
      <c r="P654" s="36"/>
    </row>
    <row r="655" spans="1:16" ht="150" x14ac:dyDescent="0.25">
      <c r="A655" s="73" t="s">
        <v>381</v>
      </c>
      <c r="B655" s="83">
        <v>74795327</v>
      </c>
      <c r="C655" s="74" t="s">
        <v>499</v>
      </c>
      <c r="D655" s="83" t="s">
        <v>498</v>
      </c>
      <c r="E655" s="75" t="s">
        <v>394</v>
      </c>
      <c r="F655" s="76" t="s">
        <v>1250</v>
      </c>
      <c r="G655" s="83">
        <v>294150</v>
      </c>
      <c r="H655" s="72">
        <v>45776</v>
      </c>
      <c r="I655" s="166">
        <v>2177152161.3600001</v>
      </c>
      <c r="J655" s="166">
        <v>217715216.13999999</v>
      </c>
      <c r="K655" s="166">
        <v>191971067.32999998</v>
      </c>
      <c r="L655" s="166">
        <v>30000000</v>
      </c>
      <c r="M655" s="185">
        <v>0</v>
      </c>
      <c r="N655" s="166">
        <f t="shared" si="37"/>
        <v>1737465877.8900003</v>
      </c>
      <c r="O655" s="36"/>
      <c r="P655" s="36"/>
    </row>
    <row r="656" spans="1:16" ht="195" x14ac:dyDescent="0.25">
      <c r="A656" s="73" t="s">
        <v>23</v>
      </c>
      <c r="B656" s="83">
        <v>901840865</v>
      </c>
      <c r="C656" s="74" t="s">
        <v>501</v>
      </c>
      <c r="D656" s="83" t="s">
        <v>500</v>
      </c>
      <c r="E656" s="75" t="s">
        <v>394</v>
      </c>
      <c r="F656" s="76" t="s">
        <v>1251</v>
      </c>
      <c r="G656" s="83">
        <v>294151</v>
      </c>
      <c r="H656" s="72">
        <v>45772</v>
      </c>
      <c r="I656" s="166">
        <v>41762309.760000005</v>
      </c>
      <c r="J656" s="166">
        <v>4176230.98</v>
      </c>
      <c r="K656" s="166">
        <v>2502633.5000000005</v>
      </c>
      <c r="L656" s="166"/>
      <c r="M656" s="185">
        <v>0</v>
      </c>
      <c r="N656" s="166">
        <f t="shared" si="37"/>
        <v>35083445.280000009</v>
      </c>
      <c r="O656" s="36"/>
      <c r="P656" s="36"/>
    </row>
    <row r="657" spans="1:16" ht="60" x14ac:dyDescent="0.25">
      <c r="A657" s="73" t="s">
        <v>23</v>
      </c>
      <c r="B657" s="83">
        <v>900584208</v>
      </c>
      <c r="C657" s="74" t="s">
        <v>145</v>
      </c>
      <c r="D657" s="83" t="s">
        <v>144</v>
      </c>
      <c r="E657" s="75" t="s">
        <v>394</v>
      </c>
      <c r="F657" s="76" t="s">
        <v>1252</v>
      </c>
      <c r="G657" s="83">
        <v>294015</v>
      </c>
      <c r="H657" s="72">
        <v>45772</v>
      </c>
      <c r="I657" s="166">
        <v>0</v>
      </c>
      <c r="J657" s="166">
        <v>-605558572.70000005</v>
      </c>
      <c r="K657" s="166">
        <v>0</v>
      </c>
      <c r="L657" s="166"/>
      <c r="M657" s="185">
        <v>0</v>
      </c>
      <c r="N657" s="166">
        <f t="shared" si="37"/>
        <v>605558572.70000005</v>
      </c>
      <c r="O657" s="36"/>
      <c r="P657" s="36"/>
    </row>
    <row r="658" spans="1:16" ht="30" x14ac:dyDescent="0.25">
      <c r="A658" s="73" t="s">
        <v>23</v>
      </c>
      <c r="B658" s="83">
        <v>800096558</v>
      </c>
      <c r="C658" s="74" t="s">
        <v>701</v>
      </c>
      <c r="D658" s="83" t="s">
        <v>60</v>
      </c>
      <c r="E658" s="75" t="s">
        <v>378</v>
      </c>
      <c r="F658" s="76" t="s">
        <v>1253</v>
      </c>
      <c r="G658" s="83" t="s">
        <v>60</v>
      </c>
      <c r="H658" s="72">
        <v>45750</v>
      </c>
      <c r="I658" s="166">
        <v>32136.240000000002</v>
      </c>
      <c r="J658" s="166">
        <v>0</v>
      </c>
      <c r="K658" s="166">
        <v>0</v>
      </c>
      <c r="L658" s="166">
        <v>0</v>
      </c>
      <c r="M658" s="185">
        <v>-136.24</v>
      </c>
      <c r="N658" s="166">
        <f t="shared" si="37"/>
        <v>32000</v>
      </c>
      <c r="O658" s="36"/>
      <c r="P658" s="36"/>
    </row>
    <row r="659" spans="1:16" x14ac:dyDescent="0.25">
      <c r="A659" s="73" t="s">
        <v>23</v>
      </c>
      <c r="B659" s="83">
        <v>800117687</v>
      </c>
      <c r="C659" s="74" t="s">
        <v>674</v>
      </c>
      <c r="D659" s="83" t="s">
        <v>60</v>
      </c>
      <c r="E659" s="75" t="s">
        <v>378</v>
      </c>
      <c r="F659" s="76" t="s">
        <v>1253</v>
      </c>
      <c r="G659" s="83" t="s">
        <v>60</v>
      </c>
      <c r="H659" s="72">
        <v>45751</v>
      </c>
      <c r="I659" s="166">
        <v>3943602.23</v>
      </c>
      <c r="J659" s="166">
        <v>0</v>
      </c>
      <c r="K659" s="166">
        <v>0</v>
      </c>
      <c r="L659" s="166">
        <v>0</v>
      </c>
      <c r="M659" s="185">
        <v>397.77</v>
      </c>
      <c r="N659" s="166">
        <f t="shared" si="37"/>
        <v>3944000</v>
      </c>
      <c r="O659" s="36"/>
      <c r="P659" s="36"/>
    </row>
    <row r="660" spans="1:16" ht="30" x14ac:dyDescent="0.25">
      <c r="A660" s="73" t="s">
        <v>23</v>
      </c>
      <c r="B660" s="83">
        <v>800103180</v>
      </c>
      <c r="C660" s="74" t="s">
        <v>1018</v>
      </c>
      <c r="D660" s="83" t="s">
        <v>60</v>
      </c>
      <c r="E660" s="75" t="s">
        <v>378</v>
      </c>
      <c r="F660" s="76" t="s">
        <v>1253</v>
      </c>
      <c r="G660" s="83" t="s">
        <v>60</v>
      </c>
      <c r="H660" s="72">
        <v>45751</v>
      </c>
      <c r="I660" s="166">
        <v>243039.79</v>
      </c>
      <c r="J660" s="166">
        <v>0</v>
      </c>
      <c r="K660" s="166">
        <v>0</v>
      </c>
      <c r="L660" s="166">
        <v>0</v>
      </c>
      <c r="M660" s="185">
        <v>-39.79</v>
      </c>
      <c r="N660" s="166">
        <f t="shared" si="37"/>
        <v>243000</v>
      </c>
      <c r="O660" s="36"/>
      <c r="P660" s="36"/>
    </row>
    <row r="661" spans="1:16" x14ac:dyDescent="0.25">
      <c r="A661" s="73" t="s">
        <v>23</v>
      </c>
      <c r="B661" s="83">
        <v>891102764</v>
      </c>
      <c r="C661" s="74" t="s">
        <v>750</v>
      </c>
      <c r="D661" s="83" t="s">
        <v>60</v>
      </c>
      <c r="E661" s="75" t="s">
        <v>378</v>
      </c>
      <c r="F661" s="76" t="s">
        <v>1253</v>
      </c>
      <c r="G661" s="83" t="s">
        <v>60</v>
      </c>
      <c r="H661" s="72">
        <v>45751</v>
      </c>
      <c r="I661" s="166">
        <v>8640.4699999999993</v>
      </c>
      <c r="J661" s="166">
        <v>0</v>
      </c>
      <c r="K661" s="166">
        <v>0</v>
      </c>
      <c r="L661" s="166">
        <v>0</v>
      </c>
      <c r="M661" s="185">
        <v>359.53</v>
      </c>
      <c r="N661" s="166">
        <f t="shared" si="37"/>
        <v>9000</v>
      </c>
      <c r="O661" s="36"/>
      <c r="P661" s="36"/>
    </row>
    <row r="662" spans="1:16" ht="30" x14ac:dyDescent="0.25">
      <c r="A662" s="73" t="s">
        <v>23</v>
      </c>
      <c r="B662" s="83">
        <v>892301130</v>
      </c>
      <c r="C662" s="74" t="s">
        <v>702</v>
      </c>
      <c r="D662" s="83" t="s">
        <v>60</v>
      </c>
      <c r="E662" s="75" t="s">
        <v>378</v>
      </c>
      <c r="F662" s="76" t="s">
        <v>1253</v>
      </c>
      <c r="G662" s="83" t="s">
        <v>60</v>
      </c>
      <c r="H662" s="72">
        <v>45751</v>
      </c>
      <c r="I662" s="166">
        <v>33927.949999999997</v>
      </c>
      <c r="J662" s="166">
        <v>0</v>
      </c>
      <c r="K662" s="166">
        <v>0</v>
      </c>
      <c r="L662" s="166">
        <v>0</v>
      </c>
      <c r="M662" s="185">
        <v>72.05</v>
      </c>
      <c r="N662" s="166">
        <f t="shared" si="37"/>
        <v>34000</v>
      </c>
      <c r="O662" s="36"/>
      <c r="P662" s="36"/>
    </row>
    <row r="663" spans="1:16" x14ac:dyDescent="0.25">
      <c r="A663" s="73" t="s">
        <v>23</v>
      </c>
      <c r="B663" s="83">
        <v>800099317</v>
      </c>
      <c r="C663" s="74" t="s">
        <v>850</v>
      </c>
      <c r="D663" s="83" t="s">
        <v>60</v>
      </c>
      <c r="E663" s="75" t="s">
        <v>378</v>
      </c>
      <c r="F663" s="76" t="s">
        <v>1253</v>
      </c>
      <c r="G663" s="83" t="s">
        <v>60</v>
      </c>
      <c r="H663" s="72">
        <v>45751</v>
      </c>
      <c r="I663" s="166">
        <v>5021590.0199999996</v>
      </c>
      <c r="J663" s="166">
        <v>0</v>
      </c>
      <c r="K663" s="166">
        <v>0</v>
      </c>
      <c r="L663" s="166">
        <v>0</v>
      </c>
      <c r="M663" s="185">
        <v>409.98</v>
      </c>
      <c r="N663" s="166">
        <f t="shared" si="37"/>
        <v>5022000</v>
      </c>
      <c r="O663" s="36"/>
      <c r="P663" s="36"/>
    </row>
    <row r="664" spans="1:16" x14ac:dyDescent="0.25">
      <c r="A664" s="73" t="s">
        <v>23</v>
      </c>
      <c r="B664" s="83">
        <v>890981106</v>
      </c>
      <c r="C664" s="74" t="s">
        <v>1002</v>
      </c>
      <c r="D664" s="83" t="s">
        <v>60</v>
      </c>
      <c r="E664" s="75" t="s">
        <v>378</v>
      </c>
      <c r="F664" s="76" t="s">
        <v>1253</v>
      </c>
      <c r="G664" s="83" t="s">
        <v>60</v>
      </c>
      <c r="H664" s="72">
        <v>45754</v>
      </c>
      <c r="I664" s="166">
        <v>34978.26</v>
      </c>
      <c r="J664" s="166">
        <v>0</v>
      </c>
      <c r="K664" s="166">
        <v>0</v>
      </c>
      <c r="L664" s="166">
        <v>0</v>
      </c>
      <c r="M664" s="185">
        <v>21.74</v>
      </c>
      <c r="N664" s="166">
        <f t="shared" si="37"/>
        <v>35000</v>
      </c>
      <c r="O664" s="36"/>
      <c r="P664" s="36"/>
    </row>
    <row r="665" spans="1:16" ht="30" x14ac:dyDescent="0.25">
      <c r="A665" s="73" t="s">
        <v>23</v>
      </c>
      <c r="B665" s="83">
        <v>800096585</v>
      </c>
      <c r="C665" s="74" t="s">
        <v>451</v>
      </c>
      <c r="D665" s="83" t="s">
        <v>60</v>
      </c>
      <c r="E665" s="75" t="s">
        <v>378</v>
      </c>
      <c r="F665" s="76" t="s">
        <v>1253</v>
      </c>
      <c r="G665" s="83" t="s">
        <v>60</v>
      </c>
      <c r="H665" s="72">
        <v>45754</v>
      </c>
      <c r="I665" s="166">
        <v>86524.76</v>
      </c>
      <c r="J665" s="166">
        <v>0</v>
      </c>
      <c r="K665" s="166">
        <v>0</v>
      </c>
      <c r="L665" s="166">
        <v>0</v>
      </c>
      <c r="M665" s="185">
        <v>475.24</v>
      </c>
      <c r="N665" s="166">
        <f t="shared" si="37"/>
        <v>87000</v>
      </c>
      <c r="O665" s="36"/>
      <c r="P665" s="36"/>
    </row>
    <row r="666" spans="1:16" ht="30" x14ac:dyDescent="0.25">
      <c r="A666" s="73" t="s">
        <v>23</v>
      </c>
      <c r="B666" s="83">
        <v>800095785</v>
      </c>
      <c r="C666" s="74" t="s">
        <v>1222</v>
      </c>
      <c r="D666" s="83" t="s">
        <v>60</v>
      </c>
      <c r="E666" s="75" t="s">
        <v>378</v>
      </c>
      <c r="F666" s="76" t="s">
        <v>1253</v>
      </c>
      <c r="G666" s="83" t="s">
        <v>60</v>
      </c>
      <c r="H666" s="72">
        <v>45754</v>
      </c>
      <c r="I666" s="166">
        <v>48607.96</v>
      </c>
      <c r="J666" s="166">
        <v>0</v>
      </c>
      <c r="K666" s="166">
        <v>0</v>
      </c>
      <c r="L666" s="166">
        <v>0</v>
      </c>
      <c r="M666" s="185">
        <v>392.04</v>
      </c>
      <c r="N666" s="166">
        <f t="shared" si="37"/>
        <v>49000</v>
      </c>
      <c r="O666" s="36"/>
      <c r="P666" s="36"/>
    </row>
    <row r="667" spans="1:16" x14ac:dyDescent="0.25">
      <c r="A667" s="73" t="s">
        <v>23</v>
      </c>
      <c r="B667" s="83">
        <v>890982278</v>
      </c>
      <c r="C667" s="74" t="s">
        <v>994</v>
      </c>
      <c r="D667" s="83" t="s">
        <v>60</v>
      </c>
      <c r="E667" s="75" t="s">
        <v>378</v>
      </c>
      <c r="F667" s="76" t="s">
        <v>1253</v>
      </c>
      <c r="G667" s="83" t="s">
        <v>60</v>
      </c>
      <c r="H667" s="72">
        <v>45754</v>
      </c>
      <c r="I667" s="166">
        <v>43722.82</v>
      </c>
      <c r="J667" s="166">
        <v>0</v>
      </c>
      <c r="K667" s="166">
        <v>0</v>
      </c>
      <c r="L667" s="166">
        <v>0</v>
      </c>
      <c r="M667" s="185">
        <v>277.18</v>
      </c>
      <c r="N667" s="166">
        <f t="shared" si="37"/>
        <v>44000</v>
      </c>
      <c r="O667" s="36"/>
      <c r="P667" s="36"/>
    </row>
    <row r="668" spans="1:16" ht="30" x14ac:dyDescent="0.25">
      <c r="A668" s="73" t="s">
        <v>23</v>
      </c>
      <c r="B668" s="83">
        <v>891480032</v>
      </c>
      <c r="C668" s="74" t="s">
        <v>851</v>
      </c>
      <c r="D668" s="83" t="s">
        <v>60</v>
      </c>
      <c r="E668" s="75" t="s">
        <v>378</v>
      </c>
      <c r="F668" s="76" t="s">
        <v>1253</v>
      </c>
      <c r="G668" s="83" t="s">
        <v>60</v>
      </c>
      <c r="H668" s="72">
        <v>45754</v>
      </c>
      <c r="I668" s="166">
        <v>1239418.96</v>
      </c>
      <c r="J668" s="166">
        <v>0</v>
      </c>
      <c r="K668" s="166">
        <v>0</v>
      </c>
      <c r="L668" s="166">
        <v>0</v>
      </c>
      <c r="M668" s="185">
        <v>-418.96</v>
      </c>
      <c r="N668" s="166">
        <f t="shared" si="37"/>
        <v>1239000</v>
      </c>
      <c r="O668" s="36"/>
      <c r="P668" s="36"/>
    </row>
    <row r="669" spans="1:16" ht="30" x14ac:dyDescent="0.25">
      <c r="A669" s="73" t="s">
        <v>23</v>
      </c>
      <c r="B669" s="83">
        <v>800100519</v>
      </c>
      <c r="C669" s="74" t="s">
        <v>666</v>
      </c>
      <c r="D669" s="83" t="s">
        <v>60</v>
      </c>
      <c r="E669" s="75" t="s">
        <v>378</v>
      </c>
      <c r="F669" s="76" t="s">
        <v>1253</v>
      </c>
      <c r="G669" s="83" t="s">
        <v>60</v>
      </c>
      <c r="H669" s="72">
        <v>45754</v>
      </c>
      <c r="I669" s="166">
        <v>50293.5</v>
      </c>
      <c r="J669" s="166">
        <v>0</v>
      </c>
      <c r="K669" s="166">
        <v>0</v>
      </c>
      <c r="L669" s="166">
        <v>0</v>
      </c>
      <c r="M669" s="185">
        <v>-293.5</v>
      </c>
      <c r="N669" s="166">
        <f t="shared" si="37"/>
        <v>50000</v>
      </c>
      <c r="O669" s="36"/>
      <c r="P669" s="36"/>
    </row>
    <row r="670" spans="1:16" ht="30" x14ac:dyDescent="0.25">
      <c r="A670" s="73" t="s">
        <v>23</v>
      </c>
      <c r="B670" s="83">
        <v>891500580</v>
      </c>
      <c r="C670" s="74" t="s">
        <v>672</v>
      </c>
      <c r="D670" s="83" t="s">
        <v>60</v>
      </c>
      <c r="E670" s="75" t="s">
        <v>378</v>
      </c>
      <c r="F670" s="76" t="s">
        <v>1253</v>
      </c>
      <c r="G670" s="83" t="s">
        <v>60</v>
      </c>
      <c r="H670" s="72">
        <v>45754</v>
      </c>
      <c r="I670" s="166">
        <v>12056.4</v>
      </c>
      <c r="J670" s="166">
        <v>0</v>
      </c>
      <c r="K670" s="166">
        <v>0</v>
      </c>
      <c r="L670" s="166">
        <v>0</v>
      </c>
      <c r="M670" s="185">
        <v>-56.4</v>
      </c>
      <c r="N670" s="166">
        <f t="shared" si="37"/>
        <v>12000</v>
      </c>
      <c r="O670" s="36"/>
      <c r="P670" s="36"/>
    </row>
    <row r="671" spans="1:16" ht="30" x14ac:dyDescent="0.25">
      <c r="A671" s="73" t="s">
        <v>23</v>
      </c>
      <c r="B671" s="83">
        <v>890480022</v>
      </c>
      <c r="C671" s="74" t="s">
        <v>1223</v>
      </c>
      <c r="D671" s="83" t="s">
        <v>60</v>
      </c>
      <c r="E671" s="75" t="s">
        <v>378</v>
      </c>
      <c r="F671" s="76" t="s">
        <v>1253</v>
      </c>
      <c r="G671" s="83" t="s">
        <v>60</v>
      </c>
      <c r="H671" s="72">
        <v>45755</v>
      </c>
      <c r="I671" s="166">
        <v>2433777.71</v>
      </c>
      <c r="J671" s="166">
        <v>0</v>
      </c>
      <c r="K671" s="166">
        <v>0</v>
      </c>
      <c r="L671" s="166">
        <v>0</v>
      </c>
      <c r="M671" s="185">
        <v>222.29</v>
      </c>
      <c r="N671" s="166">
        <f t="shared" si="37"/>
        <v>2434000</v>
      </c>
      <c r="O671" s="36"/>
      <c r="P671" s="36"/>
    </row>
    <row r="672" spans="1:16" x14ac:dyDescent="0.25">
      <c r="A672" s="73" t="s">
        <v>23</v>
      </c>
      <c r="B672" s="83">
        <v>800102799</v>
      </c>
      <c r="C672" s="74" t="s">
        <v>652</v>
      </c>
      <c r="D672" s="83" t="s">
        <v>60</v>
      </c>
      <c r="E672" s="75" t="s">
        <v>378</v>
      </c>
      <c r="F672" s="76" t="s">
        <v>1253</v>
      </c>
      <c r="G672" s="83" t="s">
        <v>60</v>
      </c>
      <c r="H672" s="72">
        <v>45755</v>
      </c>
      <c r="I672" s="166">
        <v>1943035.53</v>
      </c>
      <c r="J672" s="166">
        <v>0</v>
      </c>
      <c r="K672" s="166">
        <v>0</v>
      </c>
      <c r="L672" s="166">
        <v>0</v>
      </c>
      <c r="M672" s="185">
        <v>-35.53</v>
      </c>
      <c r="N672" s="166">
        <f t="shared" si="37"/>
        <v>1943000</v>
      </c>
      <c r="O672" s="36"/>
      <c r="P672" s="36"/>
    </row>
    <row r="673" spans="1:16" x14ac:dyDescent="0.25">
      <c r="A673" s="73" t="s">
        <v>23</v>
      </c>
      <c r="B673" s="83">
        <v>891680057</v>
      </c>
      <c r="C673" s="74" t="s">
        <v>1020</v>
      </c>
      <c r="D673" s="83" t="s">
        <v>60</v>
      </c>
      <c r="E673" s="75" t="s">
        <v>378</v>
      </c>
      <c r="F673" s="76" t="s">
        <v>1253</v>
      </c>
      <c r="G673" s="83" t="s">
        <v>60</v>
      </c>
      <c r="H673" s="72">
        <v>45756</v>
      </c>
      <c r="I673" s="166">
        <v>484222.02</v>
      </c>
      <c r="J673" s="166">
        <v>0</v>
      </c>
      <c r="K673" s="166">
        <v>0</v>
      </c>
      <c r="L673" s="166">
        <v>0</v>
      </c>
      <c r="M673" s="185">
        <v>-222.02</v>
      </c>
      <c r="N673" s="166">
        <f t="shared" si="37"/>
        <v>484000</v>
      </c>
      <c r="O673" s="36"/>
      <c r="P673" s="36"/>
    </row>
    <row r="674" spans="1:16" ht="30" x14ac:dyDescent="0.25">
      <c r="A674" s="73" t="s">
        <v>23</v>
      </c>
      <c r="B674" s="83">
        <v>890201190</v>
      </c>
      <c r="C674" s="74" t="s">
        <v>1224</v>
      </c>
      <c r="D674" s="83" t="s">
        <v>60</v>
      </c>
      <c r="E674" s="75" t="s">
        <v>378</v>
      </c>
      <c r="F674" s="76" t="s">
        <v>1253</v>
      </c>
      <c r="G674" s="83" t="s">
        <v>60</v>
      </c>
      <c r="H674" s="72">
        <v>45756</v>
      </c>
      <c r="I674" s="166">
        <v>1653522.93</v>
      </c>
      <c r="J674" s="166">
        <v>0</v>
      </c>
      <c r="K674" s="166">
        <v>0</v>
      </c>
      <c r="L674" s="166">
        <v>0</v>
      </c>
      <c r="M674" s="185">
        <v>477.07</v>
      </c>
      <c r="N674" s="166">
        <f t="shared" si="37"/>
        <v>1654000</v>
      </c>
      <c r="O674" s="36"/>
      <c r="P674" s="36"/>
    </row>
    <row r="675" spans="1:16" ht="45" x14ac:dyDescent="0.25">
      <c r="A675" s="73" t="s">
        <v>23</v>
      </c>
      <c r="B675" s="83">
        <v>899999090</v>
      </c>
      <c r="C675" s="74" t="s">
        <v>1001</v>
      </c>
      <c r="D675" s="83" t="s">
        <v>60</v>
      </c>
      <c r="E675" s="75" t="s">
        <v>378</v>
      </c>
      <c r="F675" s="76" t="s">
        <v>1254</v>
      </c>
      <c r="G675" s="83" t="s">
        <v>60</v>
      </c>
      <c r="H675" s="72">
        <v>45756</v>
      </c>
      <c r="I675" s="166">
        <v>591882971.63999999</v>
      </c>
      <c r="J675" s="166">
        <v>0</v>
      </c>
      <c r="K675" s="166">
        <v>0</v>
      </c>
      <c r="L675" s="166">
        <v>0</v>
      </c>
      <c r="M675" s="185">
        <v>28.36</v>
      </c>
      <c r="N675" s="166">
        <f t="shared" si="37"/>
        <v>591883000</v>
      </c>
      <c r="O675" s="36"/>
      <c r="P675" s="36"/>
    </row>
    <row r="676" spans="1:16" ht="30" x14ac:dyDescent="0.25">
      <c r="A676" s="73" t="s">
        <v>23</v>
      </c>
      <c r="B676" s="83">
        <v>892120020</v>
      </c>
      <c r="C676" s="74" t="s">
        <v>756</v>
      </c>
      <c r="D676" s="83" t="s">
        <v>60</v>
      </c>
      <c r="E676" s="75" t="s">
        <v>378</v>
      </c>
      <c r="F676" s="76" t="s">
        <v>1253</v>
      </c>
      <c r="G676" s="83" t="s">
        <v>60</v>
      </c>
      <c r="H676" s="72">
        <v>45757</v>
      </c>
      <c r="I676" s="166">
        <v>5102546.8</v>
      </c>
      <c r="J676" s="166">
        <v>0</v>
      </c>
      <c r="K676" s="166">
        <v>0</v>
      </c>
      <c r="L676" s="166">
        <v>0</v>
      </c>
      <c r="M676" s="185">
        <v>453.2</v>
      </c>
      <c r="N676" s="166">
        <f t="shared" si="37"/>
        <v>5103000</v>
      </c>
      <c r="O676" s="36"/>
      <c r="P676" s="36"/>
    </row>
    <row r="677" spans="1:16" x14ac:dyDescent="0.25">
      <c r="A677" s="73" t="s">
        <v>23</v>
      </c>
      <c r="B677" s="83">
        <v>800098911</v>
      </c>
      <c r="C677" s="74" t="s">
        <v>704</v>
      </c>
      <c r="D677" s="83" t="s">
        <v>60</v>
      </c>
      <c r="E677" s="75" t="s">
        <v>378</v>
      </c>
      <c r="F677" s="76" t="s">
        <v>1253</v>
      </c>
      <c r="G677" s="83" t="s">
        <v>60</v>
      </c>
      <c r="H677" s="72">
        <v>45761</v>
      </c>
      <c r="I677" s="166">
        <v>449999.64</v>
      </c>
      <c r="J677" s="166">
        <v>0</v>
      </c>
      <c r="K677" s="166">
        <v>0</v>
      </c>
      <c r="L677" s="166">
        <v>0</v>
      </c>
      <c r="M677" s="185">
        <v>0.36</v>
      </c>
      <c r="N677" s="166">
        <f t="shared" si="37"/>
        <v>450000</v>
      </c>
      <c r="O677" s="36"/>
      <c r="P677" s="36"/>
    </row>
    <row r="678" spans="1:16" ht="45" x14ac:dyDescent="0.25">
      <c r="A678" s="73" t="s">
        <v>23</v>
      </c>
      <c r="B678" s="83">
        <v>800197268</v>
      </c>
      <c r="C678" s="74" t="s">
        <v>449</v>
      </c>
      <c r="D678" s="83" t="s">
        <v>60</v>
      </c>
      <c r="E678" s="75" t="s">
        <v>378</v>
      </c>
      <c r="F678" s="76" t="s">
        <v>1255</v>
      </c>
      <c r="G678" s="83" t="s">
        <v>60</v>
      </c>
      <c r="H678" s="72">
        <v>45770</v>
      </c>
      <c r="I678" s="166">
        <v>262989967.94999999</v>
      </c>
      <c r="J678" s="166">
        <v>0</v>
      </c>
      <c r="K678" s="166">
        <v>0</v>
      </c>
      <c r="L678" s="166">
        <v>0</v>
      </c>
      <c r="M678" s="185">
        <v>32.049999999999997</v>
      </c>
      <c r="N678" s="166">
        <f t="shared" si="37"/>
        <v>262990000</v>
      </c>
      <c r="O678" s="36"/>
      <c r="P678" s="36"/>
    </row>
    <row r="679" spans="1:16" ht="36.75" customHeight="1" x14ac:dyDescent="0.25">
      <c r="F679" s="107" t="s">
        <v>1283</v>
      </c>
      <c r="I679" s="184">
        <f t="shared" ref="I679:N679" si="38">+SUM(I630:I678)</f>
        <v>11652398932.140001</v>
      </c>
      <c r="J679" s="184">
        <f t="shared" si="38"/>
        <v>471907461.66999984</v>
      </c>
      <c r="K679" s="184">
        <f t="shared" si="38"/>
        <v>925517446.10000014</v>
      </c>
      <c r="L679" s="184">
        <f t="shared" si="38"/>
        <v>152396456.95999998</v>
      </c>
      <c r="M679" s="184">
        <f t="shared" si="38"/>
        <v>2416.42</v>
      </c>
      <c r="N679" s="184">
        <f t="shared" si="38"/>
        <v>10102579983.83</v>
      </c>
      <c r="O679" s="100"/>
      <c r="P679" s="36"/>
    </row>
    <row r="680" spans="1:16" ht="135" x14ac:dyDescent="0.25">
      <c r="A680" s="73" t="s">
        <v>23</v>
      </c>
      <c r="B680" s="83">
        <v>901820483</v>
      </c>
      <c r="C680" s="74" t="s">
        <v>406</v>
      </c>
      <c r="D680" s="83" t="s">
        <v>405</v>
      </c>
      <c r="E680" s="75" t="s">
        <v>394</v>
      </c>
      <c r="F680" s="76" t="s">
        <v>1285</v>
      </c>
      <c r="G680" s="83">
        <v>296691</v>
      </c>
      <c r="H680" s="72">
        <v>45796</v>
      </c>
      <c r="I680" s="166">
        <v>23631905.780000001</v>
      </c>
      <c r="J680" s="166">
        <v>2363190.58</v>
      </c>
      <c r="K680" s="166">
        <v>1403179.16</v>
      </c>
      <c r="L680" s="166">
        <v>0</v>
      </c>
      <c r="M680" s="185">
        <v>0</v>
      </c>
      <c r="N680" s="166">
        <f t="shared" ref="N680:N782" si="39">+I680-J680-K680-L680+M680</f>
        <v>19865536.040000003</v>
      </c>
      <c r="O680" s="36"/>
      <c r="P680" s="36"/>
    </row>
    <row r="681" spans="1:16" ht="105" x14ac:dyDescent="0.25">
      <c r="A681" s="73" t="s">
        <v>23</v>
      </c>
      <c r="B681" s="83">
        <v>901803620</v>
      </c>
      <c r="C681" s="74" t="s">
        <v>285</v>
      </c>
      <c r="D681" s="83" t="s">
        <v>284</v>
      </c>
      <c r="E681" s="75" t="s">
        <v>394</v>
      </c>
      <c r="F681" s="76" t="s">
        <v>1286</v>
      </c>
      <c r="G681" s="83">
        <v>296358</v>
      </c>
      <c r="H681" s="72">
        <v>45796</v>
      </c>
      <c r="I681" s="166">
        <v>1157618757.9400001</v>
      </c>
      <c r="J681" s="166">
        <v>115761875.79000001</v>
      </c>
      <c r="K681" s="166">
        <v>101601425.66999999</v>
      </c>
      <c r="L681" s="166"/>
      <c r="M681" s="185">
        <v>0</v>
      </c>
      <c r="N681" s="166">
        <f t="shared" si="39"/>
        <v>940255456.48000014</v>
      </c>
      <c r="O681" s="36"/>
      <c r="P681" s="36"/>
    </row>
    <row r="682" spans="1:16" ht="120" x14ac:dyDescent="0.25">
      <c r="A682" s="73" t="s">
        <v>381</v>
      </c>
      <c r="B682" s="83">
        <v>9050725</v>
      </c>
      <c r="C682" s="74" t="s">
        <v>288</v>
      </c>
      <c r="D682" s="83" t="s">
        <v>287</v>
      </c>
      <c r="E682" s="75" t="s">
        <v>394</v>
      </c>
      <c r="F682" s="76" t="s">
        <v>1287</v>
      </c>
      <c r="G682" s="83">
        <v>296951</v>
      </c>
      <c r="H682" s="72">
        <v>45799</v>
      </c>
      <c r="I682" s="166">
        <v>63101250.159999996</v>
      </c>
      <c r="J682" s="166">
        <v>6310125.0199999996</v>
      </c>
      <c r="K682" s="166">
        <v>3847504.25</v>
      </c>
      <c r="L682" s="166">
        <v>0</v>
      </c>
      <c r="M682" s="185">
        <v>0</v>
      </c>
      <c r="N682" s="166">
        <f t="shared" si="39"/>
        <v>52943620.890000001</v>
      </c>
      <c r="O682" s="36"/>
      <c r="P682" s="36"/>
    </row>
    <row r="683" spans="1:16" ht="150" x14ac:dyDescent="0.25">
      <c r="A683" s="73" t="s">
        <v>23</v>
      </c>
      <c r="B683" s="83">
        <v>901808735</v>
      </c>
      <c r="C683" s="74" t="s">
        <v>272</v>
      </c>
      <c r="D683" s="83" t="s">
        <v>271</v>
      </c>
      <c r="E683" s="75" t="s">
        <v>394</v>
      </c>
      <c r="F683" s="76" t="s">
        <v>1288</v>
      </c>
      <c r="G683" s="83">
        <v>296698</v>
      </c>
      <c r="H683" s="72">
        <v>45796</v>
      </c>
      <c r="I683" s="166">
        <v>28737031</v>
      </c>
      <c r="J683" s="166">
        <v>2873703.1</v>
      </c>
      <c r="K683" s="166">
        <v>1737846.34</v>
      </c>
      <c r="L683" s="166">
        <v>0</v>
      </c>
      <c r="M683" s="185">
        <v>0</v>
      </c>
      <c r="N683" s="166">
        <f t="shared" si="39"/>
        <v>24125481.559999999</v>
      </c>
      <c r="O683" s="36"/>
      <c r="P683" s="36"/>
    </row>
    <row r="684" spans="1:16" ht="13.7" customHeight="1" x14ac:dyDescent="0.25">
      <c r="A684" s="73" t="s">
        <v>23</v>
      </c>
      <c r="B684" s="83">
        <v>901895097</v>
      </c>
      <c r="C684" s="74" t="s">
        <v>932</v>
      </c>
      <c r="D684" s="83" t="s">
        <v>931</v>
      </c>
      <c r="E684" s="75" t="s">
        <v>394</v>
      </c>
      <c r="F684" s="76" t="s">
        <v>1289</v>
      </c>
      <c r="G684" s="83">
        <v>297206</v>
      </c>
      <c r="H684" s="72">
        <v>45800</v>
      </c>
      <c r="I684" s="166">
        <v>315044387</v>
      </c>
      <c r="J684" s="166">
        <v>31504438.700000003</v>
      </c>
      <c r="K684" s="166">
        <v>32828154.57</v>
      </c>
      <c r="L684" s="166">
        <v>0</v>
      </c>
      <c r="M684" s="185">
        <v>0</v>
      </c>
      <c r="N684" s="166">
        <f t="shared" si="39"/>
        <v>250711793.73000002</v>
      </c>
      <c r="O684" s="36"/>
      <c r="P684" s="36"/>
    </row>
    <row r="685" spans="1:16" ht="13.7" customHeight="1" x14ac:dyDescent="0.25">
      <c r="A685" s="73" t="s">
        <v>23</v>
      </c>
      <c r="B685" s="83">
        <v>802008390</v>
      </c>
      <c r="C685" s="74" t="s">
        <v>692</v>
      </c>
      <c r="D685" s="83" t="s">
        <v>693</v>
      </c>
      <c r="E685" s="75" t="s">
        <v>394</v>
      </c>
      <c r="F685" s="76" t="s">
        <v>1290</v>
      </c>
      <c r="G685" s="83">
        <v>296952</v>
      </c>
      <c r="H685" s="72">
        <v>45800</v>
      </c>
      <c r="I685" s="166">
        <v>137071448.44</v>
      </c>
      <c r="J685" s="166">
        <v>13707144.84</v>
      </c>
      <c r="K685" s="166">
        <v>8500733.5299999993</v>
      </c>
      <c r="L685" s="166">
        <v>0</v>
      </c>
      <c r="M685" s="185">
        <v>0</v>
      </c>
      <c r="N685" s="166">
        <f t="shared" si="39"/>
        <v>114863570.06999999</v>
      </c>
      <c r="O685" s="36"/>
      <c r="P685" s="36"/>
    </row>
    <row r="686" spans="1:16" ht="13.7" customHeight="1" x14ac:dyDescent="0.25">
      <c r="A686" s="73" t="s">
        <v>23</v>
      </c>
      <c r="B686" s="83">
        <v>901896417</v>
      </c>
      <c r="C686" s="74" t="s">
        <v>930</v>
      </c>
      <c r="D686" s="83" t="s">
        <v>929</v>
      </c>
      <c r="E686" s="75" t="s">
        <v>394</v>
      </c>
      <c r="F686" s="76" t="s">
        <v>1291</v>
      </c>
      <c r="G686" s="83">
        <v>296955</v>
      </c>
      <c r="H686" s="72">
        <v>45800</v>
      </c>
      <c r="I686" s="166">
        <v>131236997.40000001</v>
      </c>
      <c r="J686" s="166">
        <v>13123699.74</v>
      </c>
      <c r="K686" s="166">
        <v>8160956.1499999994</v>
      </c>
      <c r="L686" s="166">
        <v>0</v>
      </c>
      <c r="M686" s="185">
        <v>0</v>
      </c>
      <c r="N686" s="166">
        <f t="shared" si="39"/>
        <v>109952341.51000001</v>
      </c>
      <c r="O686" s="36"/>
      <c r="P686" s="36"/>
    </row>
    <row r="687" spans="1:16" ht="13.7" customHeight="1" x14ac:dyDescent="0.25">
      <c r="A687" s="73" t="s">
        <v>381</v>
      </c>
      <c r="B687" s="83">
        <v>12754374</v>
      </c>
      <c r="C687" s="74" t="s">
        <v>269</v>
      </c>
      <c r="D687" s="83" t="s">
        <v>268</v>
      </c>
      <c r="E687" s="75" t="s">
        <v>394</v>
      </c>
      <c r="F687" s="76" t="s">
        <v>1292</v>
      </c>
      <c r="G687" s="83">
        <v>296956</v>
      </c>
      <c r="H687" s="72">
        <v>45799</v>
      </c>
      <c r="I687" s="166">
        <v>126828581.54000001</v>
      </c>
      <c r="J687" s="166">
        <v>12682858.15</v>
      </c>
      <c r="K687" s="166">
        <v>10958231.74</v>
      </c>
      <c r="L687" s="166">
        <v>0</v>
      </c>
      <c r="M687" s="185">
        <v>0</v>
      </c>
      <c r="N687" s="166">
        <f t="shared" si="39"/>
        <v>103187491.65000001</v>
      </c>
      <c r="O687" s="36"/>
      <c r="P687" s="36"/>
    </row>
    <row r="688" spans="1:16" ht="13.7" customHeight="1" x14ac:dyDescent="0.25">
      <c r="A688" s="73" t="s">
        <v>23</v>
      </c>
      <c r="B688" s="83">
        <v>900591185</v>
      </c>
      <c r="C688" s="74" t="s">
        <v>695</v>
      </c>
      <c r="D688" s="83" t="s">
        <v>694</v>
      </c>
      <c r="E688" s="75" t="s">
        <v>394</v>
      </c>
      <c r="F688" s="76" t="s">
        <v>1293</v>
      </c>
      <c r="G688" s="83">
        <v>297216</v>
      </c>
      <c r="H688" s="72">
        <v>45799</v>
      </c>
      <c r="I688" s="166">
        <v>261115614</v>
      </c>
      <c r="J688" s="166">
        <v>26111561</v>
      </c>
      <c r="K688" s="166">
        <v>21654285.519999996</v>
      </c>
      <c r="L688" s="166">
        <v>0</v>
      </c>
      <c r="M688" s="185">
        <v>0</v>
      </c>
      <c r="N688" s="166">
        <f t="shared" si="39"/>
        <v>213349767.48000002</v>
      </c>
      <c r="O688" s="36"/>
      <c r="P688" s="36"/>
    </row>
    <row r="689" spans="1:16" ht="13.7" customHeight="1" x14ac:dyDescent="0.25">
      <c r="A689" s="73" t="s">
        <v>23</v>
      </c>
      <c r="B689" s="83">
        <v>901843292</v>
      </c>
      <c r="C689" s="74" t="s">
        <v>487</v>
      </c>
      <c r="D689" s="83" t="s">
        <v>486</v>
      </c>
      <c r="E689" s="75" t="s">
        <v>394</v>
      </c>
      <c r="F689" s="76" t="s">
        <v>1294</v>
      </c>
      <c r="G689" s="83">
        <v>298499</v>
      </c>
      <c r="H689" s="72">
        <v>45805</v>
      </c>
      <c r="I689" s="166">
        <v>204970380.44</v>
      </c>
      <c r="J689" s="166">
        <v>20497038.039999999</v>
      </c>
      <c r="K689" s="166">
        <v>17303493.41</v>
      </c>
      <c r="L689" s="166">
        <v>5574659.6399999997</v>
      </c>
      <c r="M689" s="185">
        <v>0</v>
      </c>
      <c r="N689" s="166">
        <f t="shared" si="39"/>
        <v>161595189.35000002</v>
      </c>
      <c r="O689" s="36"/>
      <c r="P689" s="36"/>
    </row>
    <row r="690" spans="1:16" ht="13.7" customHeight="1" x14ac:dyDescent="0.25">
      <c r="A690" s="73" t="s">
        <v>381</v>
      </c>
      <c r="B690" s="83">
        <v>12979612</v>
      </c>
      <c r="C690" s="74" t="s">
        <v>491</v>
      </c>
      <c r="D690" s="83" t="s">
        <v>490</v>
      </c>
      <c r="E690" s="75" t="s">
        <v>394</v>
      </c>
      <c r="F690" s="76" t="s">
        <v>1295</v>
      </c>
      <c r="G690" s="83">
        <v>297768</v>
      </c>
      <c r="H690" s="72">
        <v>45805</v>
      </c>
      <c r="I690" s="166">
        <v>44254770.060000002</v>
      </c>
      <c r="J690" s="166">
        <v>4425477.01</v>
      </c>
      <c r="K690" s="166">
        <v>2780421.6100000003</v>
      </c>
      <c r="L690" s="166">
        <v>0</v>
      </c>
      <c r="M690" s="185">
        <v>0</v>
      </c>
      <c r="N690" s="166">
        <f t="shared" si="39"/>
        <v>37048871.440000005</v>
      </c>
      <c r="O690" s="36"/>
      <c r="P690" s="36"/>
    </row>
    <row r="691" spans="1:16" ht="13.7" customHeight="1" x14ac:dyDescent="0.25">
      <c r="A691" s="73" t="s">
        <v>23</v>
      </c>
      <c r="B691" s="83">
        <v>901811721</v>
      </c>
      <c r="C691" s="74" t="s">
        <v>137</v>
      </c>
      <c r="D691" s="83" t="s">
        <v>136</v>
      </c>
      <c r="E691" s="75" t="s">
        <v>394</v>
      </c>
      <c r="F691" s="76" t="s">
        <v>1296</v>
      </c>
      <c r="G691" s="83">
        <v>296957</v>
      </c>
      <c r="H691" s="72">
        <v>45799</v>
      </c>
      <c r="I691" s="166">
        <v>1384608682</v>
      </c>
      <c r="J691" s="166">
        <v>138460868</v>
      </c>
      <c r="K691" s="166">
        <v>134292373.63</v>
      </c>
      <c r="L691" s="166">
        <v>0</v>
      </c>
      <c r="M691" s="185">
        <v>0</v>
      </c>
      <c r="N691" s="166">
        <f t="shared" si="39"/>
        <v>1111855440.3699999</v>
      </c>
      <c r="O691" s="36"/>
      <c r="P691" s="36"/>
    </row>
    <row r="692" spans="1:16" ht="13.7" customHeight="1" x14ac:dyDescent="0.25">
      <c r="A692" s="73" t="s">
        <v>23</v>
      </c>
      <c r="B692" s="83">
        <v>901808808</v>
      </c>
      <c r="C692" s="74" t="s">
        <v>140</v>
      </c>
      <c r="D692" s="83" t="s">
        <v>139</v>
      </c>
      <c r="E692" s="75" t="s">
        <v>394</v>
      </c>
      <c r="F692" s="76" t="s">
        <v>1297</v>
      </c>
      <c r="G692" s="83">
        <v>296958</v>
      </c>
      <c r="H692" s="72">
        <v>45800</v>
      </c>
      <c r="I692" s="166">
        <v>72834470</v>
      </c>
      <c r="J692" s="166">
        <v>7283447</v>
      </c>
      <c r="K692" s="166">
        <v>4270303.34</v>
      </c>
      <c r="L692" s="166">
        <v>0</v>
      </c>
      <c r="M692" s="185">
        <v>0</v>
      </c>
      <c r="N692" s="166">
        <f t="shared" si="39"/>
        <v>61280719.659999996</v>
      </c>
      <c r="O692" s="36"/>
      <c r="P692" s="36"/>
    </row>
    <row r="693" spans="1:16" ht="13.7" customHeight="1" x14ac:dyDescent="0.25">
      <c r="A693" s="73" t="s">
        <v>23</v>
      </c>
      <c r="B693" s="83">
        <v>901804711</v>
      </c>
      <c r="C693" s="74" t="s">
        <v>250</v>
      </c>
      <c r="D693" s="83" t="s">
        <v>249</v>
      </c>
      <c r="E693" s="75" t="s">
        <v>394</v>
      </c>
      <c r="F693" s="76" t="s">
        <v>1298</v>
      </c>
      <c r="G693" s="83">
        <v>297220</v>
      </c>
      <c r="H693" s="72">
        <v>45800</v>
      </c>
      <c r="I693" s="166">
        <v>10329002.25</v>
      </c>
      <c r="J693" s="166">
        <v>1032900.23</v>
      </c>
      <c r="K693" s="166">
        <v>650987.54</v>
      </c>
      <c r="L693" s="166">
        <v>0</v>
      </c>
      <c r="M693" s="185">
        <v>0</v>
      </c>
      <c r="N693" s="166">
        <f t="shared" si="39"/>
        <v>8645114.4800000004</v>
      </c>
      <c r="O693" s="36"/>
      <c r="P693" s="36"/>
    </row>
    <row r="694" spans="1:16" ht="13.7" customHeight="1" x14ac:dyDescent="0.25">
      <c r="A694" s="73" t="s">
        <v>23</v>
      </c>
      <c r="B694" s="83">
        <v>900506471</v>
      </c>
      <c r="C694" s="74" t="s">
        <v>570</v>
      </c>
      <c r="D694" s="83" t="s">
        <v>147</v>
      </c>
      <c r="E694" s="75" t="s">
        <v>394</v>
      </c>
      <c r="F694" s="76" t="s">
        <v>1299</v>
      </c>
      <c r="G694" s="83">
        <v>296959</v>
      </c>
      <c r="H694" s="72">
        <v>45799</v>
      </c>
      <c r="I694" s="166">
        <v>41350088.32</v>
      </c>
      <c r="J694" s="166">
        <v>0</v>
      </c>
      <c r="K694" s="166">
        <v>2606098</v>
      </c>
      <c r="L694" s="166">
        <v>0</v>
      </c>
      <c r="M694" s="185">
        <v>0</v>
      </c>
      <c r="N694" s="166">
        <f t="shared" si="39"/>
        <v>38743990.32</v>
      </c>
      <c r="O694" s="36"/>
      <c r="P694" s="36"/>
    </row>
    <row r="695" spans="1:16" ht="13.7" customHeight="1" x14ac:dyDescent="0.25">
      <c r="A695" s="73" t="s">
        <v>23</v>
      </c>
      <c r="B695" s="83">
        <v>900506471</v>
      </c>
      <c r="C695" s="74" t="s">
        <v>570</v>
      </c>
      <c r="D695" s="83" t="s">
        <v>147</v>
      </c>
      <c r="E695" s="75" t="s">
        <v>394</v>
      </c>
      <c r="F695" s="76" t="s">
        <v>1300</v>
      </c>
      <c r="G695" s="83">
        <v>296960</v>
      </c>
      <c r="H695" s="72">
        <v>45800</v>
      </c>
      <c r="I695" s="166">
        <v>0</v>
      </c>
      <c r="J695" s="166">
        <v>-38006231.170000002</v>
      </c>
      <c r="K695" s="166">
        <v>0</v>
      </c>
      <c r="L695" s="166"/>
      <c r="M695" s="185">
        <v>0</v>
      </c>
      <c r="N695" s="166">
        <f t="shared" si="39"/>
        <v>38006231.170000002</v>
      </c>
      <c r="O695" s="36"/>
      <c r="P695" s="36"/>
    </row>
    <row r="696" spans="1:16" ht="13.7" customHeight="1" x14ac:dyDescent="0.25">
      <c r="A696" s="73" t="s">
        <v>23</v>
      </c>
      <c r="B696" s="83">
        <v>901841724</v>
      </c>
      <c r="C696" s="74" t="s">
        <v>497</v>
      </c>
      <c r="D696" s="83" t="s">
        <v>496</v>
      </c>
      <c r="E696" s="75" t="s">
        <v>394</v>
      </c>
      <c r="F696" s="76" t="s">
        <v>1301</v>
      </c>
      <c r="G696" s="83">
        <v>296961</v>
      </c>
      <c r="H696" s="72">
        <v>45800</v>
      </c>
      <c r="I696" s="166">
        <v>60467997.090000004</v>
      </c>
      <c r="J696" s="166">
        <v>6046799.71</v>
      </c>
      <c r="K696" s="166">
        <v>3739185.07</v>
      </c>
      <c r="L696" s="166">
        <v>0</v>
      </c>
      <c r="M696" s="185">
        <v>0</v>
      </c>
      <c r="N696" s="166">
        <f t="shared" si="39"/>
        <v>50682012.310000002</v>
      </c>
      <c r="O696" s="36"/>
      <c r="P696" s="36"/>
    </row>
    <row r="697" spans="1:16" ht="13.7" customHeight="1" x14ac:dyDescent="0.25">
      <c r="A697" s="73" t="s">
        <v>23</v>
      </c>
      <c r="B697" s="83">
        <v>900749719</v>
      </c>
      <c r="C697" s="74" t="s">
        <v>463</v>
      </c>
      <c r="D697" s="83" t="s">
        <v>462</v>
      </c>
      <c r="E697" s="75" t="s">
        <v>394</v>
      </c>
      <c r="F697" s="76" t="s">
        <v>1302</v>
      </c>
      <c r="G697" s="83">
        <v>298625</v>
      </c>
      <c r="H697" s="72">
        <v>45804</v>
      </c>
      <c r="I697" s="166">
        <v>1275781530.0599999</v>
      </c>
      <c r="J697" s="166">
        <v>127578153.01000001</v>
      </c>
      <c r="K697" s="166">
        <v>109916478.74000001</v>
      </c>
      <c r="L697" s="166">
        <f>30088713.75+93280875</f>
        <v>123369588.75</v>
      </c>
      <c r="M697" s="185">
        <v>0</v>
      </c>
      <c r="N697" s="166">
        <f t="shared" si="39"/>
        <v>914917309.55999994</v>
      </c>
      <c r="O697" s="36"/>
      <c r="P697" s="36"/>
    </row>
    <row r="698" spans="1:16" ht="13.7" customHeight="1" x14ac:dyDescent="0.25">
      <c r="A698" s="73" t="s">
        <v>23</v>
      </c>
      <c r="B698" s="83">
        <v>900084333</v>
      </c>
      <c r="C698" s="74" t="s">
        <v>219</v>
      </c>
      <c r="D698" s="83" t="s">
        <v>218</v>
      </c>
      <c r="E698" s="75" t="s">
        <v>394</v>
      </c>
      <c r="F698" s="76" t="s">
        <v>1303</v>
      </c>
      <c r="G698" s="83">
        <v>297638</v>
      </c>
      <c r="H698" s="72">
        <v>45804</v>
      </c>
      <c r="I698" s="166">
        <v>585911808.78000009</v>
      </c>
      <c r="J698" s="166">
        <v>132781899.66999999</v>
      </c>
      <c r="K698" s="166">
        <v>51181910.390000001</v>
      </c>
      <c r="L698" s="166">
        <v>65614539</v>
      </c>
      <c r="M698" s="185">
        <v>0</v>
      </c>
      <c r="N698" s="166">
        <f t="shared" si="39"/>
        <v>336333459.72000015</v>
      </c>
      <c r="O698" s="36"/>
      <c r="P698" s="36"/>
    </row>
    <row r="699" spans="1:16" ht="13.7" customHeight="1" x14ac:dyDescent="0.25">
      <c r="A699" s="73" t="s">
        <v>381</v>
      </c>
      <c r="B699" s="83">
        <v>85476995</v>
      </c>
      <c r="C699" s="74" t="s">
        <v>945</v>
      </c>
      <c r="D699" s="83" t="s">
        <v>407</v>
      </c>
      <c r="E699" s="75" t="s">
        <v>394</v>
      </c>
      <c r="F699" s="76" t="s">
        <v>1304</v>
      </c>
      <c r="G699" s="83">
        <v>297511</v>
      </c>
      <c r="H699" s="72">
        <v>45804</v>
      </c>
      <c r="I699" s="166">
        <v>34988649.840000004</v>
      </c>
      <c r="J699" s="166">
        <v>3498864.98</v>
      </c>
      <c r="K699" s="166">
        <v>1999351.42</v>
      </c>
      <c r="L699" s="166"/>
      <c r="M699" s="185">
        <v>0</v>
      </c>
      <c r="N699" s="166">
        <f t="shared" si="39"/>
        <v>29490433.440000005</v>
      </c>
      <c r="O699" s="36"/>
      <c r="P699" s="36"/>
    </row>
    <row r="700" spans="1:16" ht="13.7" customHeight="1" x14ac:dyDescent="0.25">
      <c r="A700" s="73" t="s">
        <v>23</v>
      </c>
      <c r="B700" s="83">
        <v>900084333</v>
      </c>
      <c r="C700" s="74" t="s">
        <v>219</v>
      </c>
      <c r="D700" s="83" t="s">
        <v>218</v>
      </c>
      <c r="E700" s="75" t="s">
        <v>394</v>
      </c>
      <c r="F700" s="76" t="s">
        <v>1305</v>
      </c>
      <c r="G700" s="83">
        <v>297512</v>
      </c>
      <c r="H700" s="72">
        <v>45804</v>
      </c>
      <c r="I700" s="166">
        <v>68358378</v>
      </c>
      <c r="J700" s="166">
        <v>6835837.8000000017</v>
      </c>
      <c r="K700" s="166">
        <v>7352833.9300000006</v>
      </c>
      <c r="L700" s="166">
        <v>0</v>
      </c>
      <c r="M700" s="185">
        <v>0</v>
      </c>
      <c r="N700" s="166">
        <f t="shared" si="39"/>
        <v>54169706.269999996</v>
      </c>
      <c r="O700" s="36"/>
      <c r="P700" s="36"/>
    </row>
    <row r="701" spans="1:16" ht="13.7" customHeight="1" x14ac:dyDescent="0.25">
      <c r="A701" s="73" t="s">
        <v>23</v>
      </c>
      <c r="B701" s="83">
        <v>901830109</v>
      </c>
      <c r="C701" s="74" t="s">
        <v>849</v>
      </c>
      <c r="D701" s="83" t="s">
        <v>432</v>
      </c>
      <c r="E701" s="75" t="s">
        <v>394</v>
      </c>
      <c r="F701" s="76" t="s">
        <v>1306</v>
      </c>
      <c r="G701" s="83">
        <v>296589</v>
      </c>
      <c r="H701" s="72">
        <v>45792</v>
      </c>
      <c r="I701" s="166">
        <v>784149022.92999995</v>
      </c>
      <c r="J701" s="166">
        <v>78414902.290000007</v>
      </c>
      <c r="K701" s="166">
        <v>66250634.989999995</v>
      </c>
      <c r="L701" s="166">
        <v>20000000</v>
      </c>
      <c r="M701" s="185">
        <v>0</v>
      </c>
      <c r="N701" s="166">
        <f t="shared" si="39"/>
        <v>619483485.64999998</v>
      </c>
      <c r="O701" s="36"/>
      <c r="P701" s="36"/>
    </row>
    <row r="702" spans="1:16" ht="13.7" customHeight="1" x14ac:dyDescent="0.25">
      <c r="A702" s="73" t="s">
        <v>23</v>
      </c>
      <c r="B702" s="83">
        <v>900278442</v>
      </c>
      <c r="C702" s="74" t="s">
        <v>199</v>
      </c>
      <c r="D702" s="83" t="s">
        <v>198</v>
      </c>
      <c r="E702" s="75" t="s">
        <v>394</v>
      </c>
      <c r="F702" s="76" t="s">
        <v>1307</v>
      </c>
      <c r="G702" s="83">
        <v>296591</v>
      </c>
      <c r="H702" s="72">
        <v>45796</v>
      </c>
      <c r="I702" s="166">
        <v>0</v>
      </c>
      <c r="J702" s="166">
        <v>-571109094.39999998</v>
      </c>
      <c r="K702" s="166">
        <v>0</v>
      </c>
      <c r="L702" s="166">
        <v>0</v>
      </c>
      <c r="M702" s="185">
        <v>0</v>
      </c>
      <c r="N702" s="166">
        <f t="shared" si="39"/>
        <v>571109094.39999998</v>
      </c>
      <c r="O702" s="36"/>
      <c r="P702" s="36"/>
    </row>
    <row r="703" spans="1:16" ht="13.7" customHeight="1" x14ac:dyDescent="0.25">
      <c r="A703" s="73" t="s">
        <v>23</v>
      </c>
      <c r="B703" s="83">
        <v>901841741</v>
      </c>
      <c r="C703" s="74" t="s">
        <v>495</v>
      </c>
      <c r="D703" s="83" t="s">
        <v>494</v>
      </c>
      <c r="E703" s="75" t="s">
        <v>394</v>
      </c>
      <c r="F703" s="76" t="s">
        <v>1308</v>
      </c>
      <c r="G703" s="83">
        <v>297224</v>
      </c>
      <c r="H703" s="72">
        <v>45800</v>
      </c>
      <c r="I703" s="166">
        <v>36938280.289999999</v>
      </c>
      <c r="J703" s="166">
        <v>3693828.03</v>
      </c>
      <c r="K703" s="166">
        <v>988562.05</v>
      </c>
      <c r="L703" s="166">
        <v>0</v>
      </c>
      <c r="M703" s="185">
        <v>0</v>
      </c>
      <c r="N703" s="166">
        <f t="shared" si="39"/>
        <v>32255890.209999997</v>
      </c>
      <c r="O703" s="36"/>
      <c r="P703" s="36"/>
    </row>
    <row r="704" spans="1:16" ht="13.7" customHeight="1" x14ac:dyDescent="0.25">
      <c r="A704" s="73" t="s">
        <v>23</v>
      </c>
      <c r="B704" s="83">
        <v>901800251</v>
      </c>
      <c r="C704" s="74" t="s">
        <v>243</v>
      </c>
      <c r="D704" s="83" t="s">
        <v>242</v>
      </c>
      <c r="E704" s="75" t="s">
        <v>394</v>
      </c>
      <c r="F704" s="76" t="s">
        <v>1309</v>
      </c>
      <c r="G704" s="83">
        <v>298426</v>
      </c>
      <c r="H704" s="72">
        <v>45804</v>
      </c>
      <c r="I704" s="166">
        <v>36770880.060000002</v>
      </c>
      <c r="J704" s="166">
        <v>3677088.01</v>
      </c>
      <c r="K704" s="166">
        <v>2209500.2199999997</v>
      </c>
      <c r="L704" s="166"/>
      <c r="M704" s="185">
        <v>0</v>
      </c>
      <c r="N704" s="166">
        <f t="shared" si="39"/>
        <v>30884291.830000006</v>
      </c>
      <c r="O704" s="36"/>
      <c r="P704" s="36"/>
    </row>
    <row r="705" spans="1:16" ht="13.7" customHeight="1" x14ac:dyDescent="0.25">
      <c r="A705" s="73" t="s">
        <v>23</v>
      </c>
      <c r="B705" s="83">
        <v>901800251</v>
      </c>
      <c r="C705" s="74" t="s">
        <v>243</v>
      </c>
      <c r="D705" s="83" t="s">
        <v>242</v>
      </c>
      <c r="E705" s="75" t="s">
        <v>394</v>
      </c>
      <c r="F705" s="76" t="s">
        <v>1310</v>
      </c>
      <c r="G705" s="83">
        <v>297875</v>
      </c>
      <c r="H705" s="72">
        <v>45805</v>
      </c>
      <c r="I705" s="166">
        <v>32419169.170000002</v>
      </c>
      <c r="J705" s="166">
        <v>3241916.92</v>
      </c>
      <c r="K705" s="166">
        <v>1934252.96</v>
      </c>
      <c r="L705" s="166"/>
      <c r="M705" s="185">
        <v>0</v>
      </c>
      <c r="N705" s="166">
        <f t="shared" si="39"/>
        <v>27242999.289999999</v>
      </c>
      <c r="O705" s="36"/>
      <c r="P705" s="36"/>
    </row>
    <row r="706" spans="1:16" ht="13.7" customHeight="1" x14ac:dyDescent="0.25">
      <c r="A706" s="73" t="s">
        <v>23</v>
      </c>
      <c r="B706" s="83">
        <v>900084333</v>
      </c>
      <c r="C706" s="74" t="s">
        <v>698</v>
      </c>
      <c r="D706" s="83" t="s">
        <v>241</v>
      </c>
      <c r="E706" s="75" t="s">
        <v>394</v>
      </c>
      <c r="F706" s="76" t="s">
        <v>1311</v>
      </c>
      <c r="G706" s="83">
        <v>297227</v>
      </c>
      <c r="H706" s="72">
        <v>45800</v>
      </c>
      <c r="I706" s="166">
        <v>46102500</v>
      </c>
      <c r="J706" s="166">
        <v>4610250</v>
      </c>
      <c r="K706" s="166">
        <v>5036407.5599999996</v>
      </c>
      <c r="L706" s="166">
        <v>0</v>
      </c>
      <c r="M706" s="185">
        <v>0</v>
      </c>
      <c r="N706" s="166">
        <f t="shared" si="39"/>
        <v>36455842.439999998</v>
      </c>
      <c r="O706" s="36"/>
      <c r="P706" s="36"/>
    </row>
    <row r="707" spans="1:16" ht="13.7" customHeight="1" x14ac:dyDescent="0.25">
      <c r="A707" s="73" t="s">
        <v>23</v>
      </c>
      <c r="B707" s="83">
        <v>901894201</v>
      </c>
      <c r="C707" s="74" t="s">
        <v>845</v>
      </c>
      <c r="D707" s="83" t="s">
        <v>846</v>
      </c>
      <c r="E707" s="75" t="s">
        <v>394</v>
      </c>
      <c r="F707" s="76" t="s">
        <v>1312</v>
      </c>
      <c r="G707" s="83">
        <v>297646</v>
      </c>
      <c r="H707" s="72">
        <v>45805</v>
      </c>
      <c r="I707" s="166">
        <v>52000000</v>
      </c>
      <c r="J707" s="166">
        <v>5200000</v>
      </c>
      <c r="K707" s="166">
        <v>5374789.9100000001</v>
      </c>
      <c r="L707" s="166">
        <v>0</v>
      </c>
      <c r="M707" s="185">
        <v>0</v>
      </c>
      <c r="N707" s="166">
        <f t="shared" si="39"/>
        <v>41425210.090000004</v>
      </c>
      <c r="O707" s="36"/>
      <c r="P707" s="36"/>
    </row>
    <row r="708" spans="1:16" ht="13.7" customHeight="1" x14ac:dyDescent="0.25">
      <c r="A708" s="73" t="s">
        <v>23</v>
      </c>
      <c r="B708" s="83">
        <v>900084333</v>
      </c>
      <c r="C708" s="74" t="s">
        <v>698</v>
      </c>
      <c r="D708" s="83" t="s">
        <v>241</v>
      </c>
      <c r="E708" s="75" t="s">
        <v>394</v>
      </c>
      <c r="F708" s="76" t="s">
        <v>1313</v>
      </c>
      <c r="G708" s="83">
        <v>296963</v>
      </c>
      <c r="H708" s="72">
        <v>45800</v>
      </c>
      <c r="I708" s="166">
        <v>793891338</v>
      </c>
      <c r="J708" s="166">
        <v>79389133.799999997</v>
      </c>
      <c r="K708" s="166">
        <v>70914569.299999997</v>
      </c>
      <c r="L708" s="166">
        <v>0</v>
      </c>
      <c r="M708" s="185">
        <v>0</v>
      </c>
      <c r="N708" s="166">
        <f t="shared" si="39"/>
        <v>643587634.9000001</v>
      </c>
      <c r="O708" s="36"/>
      <c r="P708" s="36"/>
    </row>
    <row r="709" spans="1:16" ht="13.7" customHeight="1" x14ac:dyDescent="0.25">
      <c r="A709" s="73" t="s">
        <v>23</v>
      </c>
      <c r="B709" s="83">
        <v>901831256</v>
      </c>
      <c r="C709" s="74" t="s">
        <v>485</v>
      </c>
      <c r="D709" s="83" t="s">
        <v>484</v>
      </c>
      <c r="E709" s="75" t="s">
        <v>394</v>
      </c>
      <c r="F709" s="76" t="s">
        <v>1314</v>
      </c>
      <c r="G709" s="83">
        <v>298331</v>
      </c>
      <c r="H709" s="72">
        <v>45805</v>
      </c>
      <c r="I709" s="166">
        <v>16468352.390000001</v>
      </c>
      <c r="J709" s="166">
        <v>1646835.24</v>
      </c>
      <c r="K709" s="166">
        <v>1037921.38</v>
      </c>
      <c r="L709" s="166">
        <v>0</v>
      </c>
      <c r="M709" s="185">
        <v>0</v>
      </c>
      <c r="N709" s="166">
        <f t="shared" si="39"/>
        <v>13783595.77</v>
      </c>
      <c r="O709" s="36"/>
      <c r="P709" s="36"/>
    </row>
    <row r="710" spans="1:16" ht="13.7" customHeight="1" x14ac:dyDescent="0.25">
      <c r="A710" s="73" t="s">
        <v>23</v>
      </c>
      <c r="B710" s="83">
        <v>901870297</v>
      </c>
      <c r="C710" s="74" t="s">
        <v>688</v>
      </c>
      <c r="D710" s="83" t="s">
        <v>689</v>
      </c>
      <c r="E710" s="75" t="s">
        <v>394</v>
      </c>
      <c r="F710" s="76" t="s">
        <v>1315</v>
      </c>
      <c r="G710" s="83">
        <v>297650</v>
      </c>
      <c r="H710" s="72">
        <v>45804</v>
      </c>
      <c r="I710" s="166">
        <v>33410784</v>
      </c>
      <c r="J710" s="166">
        <v>3341078</v>
      </c>
      <c r="K710" s="166">
        <v>2077645.4000000001</v>
      </c>
      <c r="L710" s="166">
        <v>0</v>
      </c>
      <c r="M710" s="185">
        <v>0</v>
      </c>
      <c r="N710" s="166">
        <f t="shared" si="39"/>
        <v>27992060.600000001</v>
      </c>
      <c r="O710" s="36"/>
      <c r="P710" s="36"/>
    </row>
    <row r="711" spans="1:16" ht="13.7" customHeight="1" x14ac:dyDescent="0.25">
      <c r="A711" s="73" t="s">
        <v>23</v>
      </c>
      <c r="B711" s="83">
        <v>901867911</v>
      </c>
      <c r="C711" s="74" t="s">
        <v>687</v>
      </c>
      <c r="D711" s="83" t="s">
        <v>686</v>
      </c>
      <c r="E711" s="75" t="s">
        <v>394</v>
      </c>
      <c r="F711" s="76" t="s">
        <v>1316</v>
      </c>
      <c r="G711" s="83">
        <v>297873</v>
      </c>
      <c r="H711" s="72">
        <v>45805</v>
      </c>
      <c r="I711" s="166">
        <v>311890289</v>
      </c>
      <c r="J711" s="166">
        <v>31189029</v>
      </c>
      <c r="K711" s="166">
        <v>25842019.760000002</v>
      </c>
      <c r="L711" s="166"/>
      <c r="M711" s="185">
        <v>0</v>
      </c>
      <c r="N711" s="166">
        <f t="shared" si="39"/>
        <v>254859240.24000001</v>
      </c>
      <c r="O711" s="36"/>
      <c r="P711" s="36"/>
    </row>
    <row r="712" spans="1:16" ht="13.7" customHeight="1" x14ac:dyDescent="0.25">
      <c r="A712" s="73" t="s">
        <v>23</v>
      </c>
      <c r="B712" s="83">
        <v>901785672</v>
      </c>
      <c r="C712" s="74" t="s">
        <v>175</v>
      </c>
      <c r="D712" s="83" t="s">
        <v>847</v>
      </c>
      <c r="E712" s="75" t="s">
        <v>394</v>
      </c>
      <c r="F712" s="76" t="s">
        <v>1317</v>
      </c>
      <c r="G712" s="83">
        <v>297515</v>
      </c>
      <c r="H712" s="72">
        <v>45804</v>
      </c>
      <c r="I712" s="166">
        <v>30692480</v>
      </c>
      <c r="J712" s="166">
        <v>3069247.9999999995</v>
      </c>
      <c r="K712" s="166">
        <v>1857024</v>
      </c>
      <c r="L712" s="166">
        <v>0</v>
      </c>
      <c r="M712" s="185">
        <v>0</v>
      </c>
      <c r="N712" s="166">
        <f t="shared" si="39"/>
        <v>25766208</v>
      </c>
      <c r="O712" s="36"/>
      <c r="P712" s="36"/>
    </row>
    <row r="713" spans="1:16" ht="13.7" customHeight="1" x14ac:dyDescent="0.25">
      <c r="A713" s="73" t="s">
        <v>23</v>
      </c>
      <c r="B713" s="83">
        <v>901842060</v>
      </c>
      <c r="C713" s="74" t="s">
        <v>493</v>
      </c>
      <c r="D713" s="83" t="s">
        <v>492</v>
      </c>
      <c r="E713" s="75" t="s">
        <v>394</v>
      </c>
      <c r="F713" s="76" t="s">
        <v>1318</v>
      </c>
      <c r="G713" s="83">
        <v>297230</v>
      </c>
      <c r="H713" s="72">
        <v>45800</v>
      </c>
      <c r="I713" s="166">
        <v>703434575</v>
      </c>
      <c r="J713" s="166">
        <v>70343457.5</v>
      </c>
      <c r="K713" s="166">
        <v>61272856.149999999</v>
      </c>
      <c r="L713" s="166">
        <v>0</v>
      </c>
      <c r="M713" s="185">
        <v>0</v>
      </c>
      <c r="N713" s="166">
        <f t="shared" si="39"/>
        <v>571818261.35000002</v>
      </c>
      <c r="O713" s="36"/>
      <c r="P713" s="36"/>
    </row>
    <row r="714" spans="1:16" ht="13.7" customHeight="1" x14ac:dyDescent="0.25">
      <c r="A714" s="73" t="s">
        <v>381</v>
      </c>
      <c r="B714" s="83">
        <v>74795327</v>
      </c>
      <c r="C714" s="74" t="s">
        <v>499</v>
      </c>
      <c r="D714" s="83" t="s">
        <v>498</v>
      </c>
      <c r="E714" s="75" t="s">
        <v>394</v>
      </c>
      <c r="F714" s="76" t="s">
        <v>1319</v>
      </c>
      <c r="G714" s="83">
        <v>297361</v>
      </c>
      <c r="H714" s="72">
        <v>45803</v>
      </c>
      <c r="I714" s="166">
        <v>1308200395.54</v>
      </c>
      <c r="J714" s="166">
        <v>130820039.55</v>
      </c>
      <c r="K714" s="166">
        <v>114264806.59999999</v>
      </c>
      <c r="L714" s="166">
        <v>30000000</v>
      </c>
      <c r="M714" s="185">
        <v>0</v>
      </c>
      <c r="N714" s="166">
        <f t="shared" si="39"/>
        <v>1033115549.39</v>
      </c>
      <c r="O714" s="36"/>
      <c r="P714" s="36"/>
    </row>
    <row r="715" spans="1:16" ht="13.7" customHeight="1" x14ac:dyDescent="0.25">
      <c r="A715" s="73" t="s">
        <v>23</v>
      </c>
      <c r="B715" s="83">
        <v>901840865</v>
      </c>
      <c r="C715" s="74" t="s">
        <v>501</v>
      </c>
      <c r="D715" s="83" t="s">
        <v>500</v>
      </c>
      <c r="E715" s="75" t="s">
        <v>394</v>
      </c>
      <c r="F715" s="76" t="s">
        <v>1320</v>
      </c>
      <c r="G715" s="83">
        <v>297513</v>
      </c>
      <c r="H715" s="72">
        <v>45804</v>
      </c>
      <c r="I715" s="166">
        <v>60000000</v>
      </c>
      <c r="J715" s="166">
        <v>6000000</v>
      </c>
      <c r="K715" s="166">
        <v>3630252.1</v>
      </c>
      <c r="L715" s="166">
        <v>0</v>
      </c>
      <c r="M715" s="185">
        <v>0</v>
      </c>
      <c r="N715" s="166">
        <f t="shared" si="39"/>
        <v>50369747.899999999</v>
      </c>
      <c r="O715" s="36"/>
      <c r="P715" s="36"/>
    </row>
    <row r="716" spans="1:16" ht="13.7" customHeight="1" x14ac:dyDescent="0.25">
      <c r="A716" s="73" t="s">
        <v>23</v>
      </c>
      <c r="B716" s="83">
        <v>900749719</v>
      </c>
      <c r="C716" s="74" t="s">
        <v>463</v>
      </c>
      <c r="D716" s="83" t="s">
        <v>462</v>
      </c>
      <c r="E716" s="75" t="s">
        <v>394</v>
      </c>
      <c r="F716" s="76" t="s">
        <v>1321</v>
      </c>
      <c r="G716" s="83">
        <v>296836</v>
      </c>
      <c r="H716" s="72">
        <v>45804</v>
      </c>
      <c r="I716" s="166">
        <v>0</v>
      </c>
      <c r="J716" s="166"/>
      <c r="K716" s="166">
        <v>0</v>
      </c>
      <c r="L716" s="166">
        <v>-54159684.75</v>
      </c>
      <c r="M716" s="185">
        <v>0</v>
      </c>
      <c r="N716" s="166">
        <f t="shared" si="39"/>
        <v>54159684.75</v>
      </c>
      <c r="O716" s="36"/>
      <c r="P716" s="36"/>
    </row>
    <row r="717" spans="1:16" ht="13.7" customHeight="1" x14ac:dyDescent="0.25">
      <c r="A717" s="73" t="s">
        <v>381</v>
      </c>
      <c r="B717" s="83">
        <v>85476995</v>
      </c>
      <c r="C717" s="74" t="s">
        <v>945</v>
      </c>
      <c r="D717" s="83" t="s">
        <v>407</v>
      </c>
      <c r="E717" s="75" t="s">
        <v>394</v>
      </c>
      <c r="F717" s="76" t="s">
        <v>1322</v>
      </c>
      <c r="G717" s="83">
        <v>296834</v>
      </c>
      <c r="H717" s="72">
        <v>45800</v>
      </c>
      <c r="I717" s="166">
        <v>0</v>
      </c>
      <c r="J717" s="166"/>
      <c r="K717" s="166">
        <v>0</v>
      </c>
      <c r="L717" s="166">
        <v>-20000000</v>
      </c>
      <c r="M717" s="185">
        <v>0</v>
      </c>
      <c r="N717" s="166">
        <f t="shared" si="39"/>
        <v>20000000</v>
      </c>
      <c r="O717" s="36"/>
      <c r="P717" s="36"/>
    </row>
    <row r="718" spans="1:16" ht="13.7" customHeight="1" x14ac:dyDescent="0.25">
      <c r="A718" s="73" t="s">
        <v>23</v>
      </c>
      <c r="B718" s="83">
        <v>800128428</v>
      </c>
      <c r="C718" s="74" t="s">
        <v>997</v>
      </c>
      <c r="D718" s="83" t="s">
        <v>60</v>
      </c>
      <c r="E718" s="75" t="s">
        <v>378</v>
      </c>
      <c r="F718" s="76" t="s">
        <v>888</v>
      </c>
      <c r="G718" s="83" t="s">
        <v>60</v>
      </c>
      <c r="H718" s="72">
        <v>45782</v>
      </c>
      <c r="I718" s="166">
        <v>60759.95</v>
      </c>
      <c r="J718" s="166"/>
      <c r="K718" s="166">
        <v>0</v>
      </c>
      <c r="L718" s="166"/>
      <c r="M718" s="185">
        <v>240.05</v>
      </c>
      <c r="N718" s="166">
        <f t="shared" si="39"/>
        <v>61000</v>
      </c>
      <c r="O718" s="36"/>
      <c r="P718" s="36"/>
    </row>
    <row r="719" spans="1:16" ht="13.7" customHeight="1" x14ac:dyDescent="0.25">
      <c r="A719" s="73" t="s">
        <v>23</v>
      </c>
      <c r="B719" s="83">
        <v>800191431</v>
      </c>
      <c r="C719" s="74" t="s">
        <v>1000</v>
      </c>
      <c r="D719" s="83" t="s">
        <v>60</v>
      </c>
      <c r="E719" s="75" t="s">
        <v>378</v>
      </c>
      <c r="F719" s="76" t="s">
        <v>888</v>
      </c>
      <c r="G719" s="83" t="s">
        <v>60</v>
      </c>
      <c r="H719" s="72">
        <v>45783</v>
      </c>
      <c r="I719" s="166">
        <v>148914.1</v>
      </c>
      <c r="J719" s="166"/>
      <c r="K719" s="166">
        <v>0</v>
      </c>
      <c r="L719" s="166"/>
      <c r="M719" s="185">
        <v>85.9</v>
      </c>
      <c r="N719" s="166">
        <f t="shared" si="39"/>
        <v>149000</v>
      </c>
      <c r="O719" s="36"/>
      <c r="P719" s="36"/>
    </row>
    <row r="720" spans="1:16" ht="13.7" customHeight="1" x14ac:dyDescent="0.25">
      <c r="A720" s="73" t="s">
        <v>23</v>
      </c>
      <c r="B720" s="83">
        <v>800138959</v>
      </c>
      <c r="C720" s="74" t="s">
        <v>700</v>
      </c>
      <c r="D720" s="83" t="s">
        <v>60</v>
      </c>
      <c r="E720" s="75" t="s">
        <v>378</v>
      </c>
      <c r="F720" s="76" t="s">
        <v>888</v>
      </c>
      <c r="G720" s="83" t="s">
        <v>60</v>
      </c>
      <c r="H720" s="72">
        <v>45783</v>
      </c>
      <c r="I720" s="166">
        <v>1374929.99</v>
      </c>
      <c r="J720" s="166"/>
      <c r="K720" s="166">
        <v>0</v>
      </c>
      <c r="L720" s="166"/>
      <c r="M720" s="185">
        <v>70.010000000000005</v>
      </c>
      <c r="N720" s="166">
        <f t="shared" si="39"/>
        <v>1375000</v>
      </c>
      <c r="O720" s="36"/>
      <c r="P720" s="36"/>
    </row>
    <row r="721" spans="1:16" ht="13.7" customHeight="1" x14ac:dyDescent="0.25">
      <c r="A721" s="73" t="s">
        <v>23</v>
      </c>
      <c r="B721" s="83">
        <v>800138959</v>
      </c>
      <c r="C721" s="74" t="s">
        <v>700</v>
      </c>
      <c r="D721" s="83" t="s">
        <v>60</v>
      </c>
      <c r="E721" s="75" t="s">
        <v>378</v>
      </c>
      <c r="F721" s="76" t="s">
        <v>802</v>
      </c>
      <c r="G721" s="83" t="s">
        <v>60</v>
      </c>
      <c r="H721" s="72">
        <v>45783</v>
      </c>
      <c r="I721" s="166">
        <v>68746.5</v>
      </c>
      <c r="J721" s="166"/>
      <c r="K721" s="166">
        <v>0</v>
      </c>
      <c r="L721" s="166"/>
      <c r="M721" s="185">
        <v>253.5</v>
      </c>
      <c r="N721" s="166">
        <f t="shared" si="39"/>
        <v>69000</v>
      </c>
      <c r="O721" s="36"/>
      <c r="P721" s="36"/>
    </row>
    <row r="722" spans="1:16" ht="13.7" customHeight="1" x14ac:dyDescent="0.25">
      <c r="A722" s="73" t="s">
        <v>23</v>
      </c>
      <c r="B722" s="83">
        <v>800138959</v>
      </c>
      <c r="C722" s="74" t="s">
        <v>700</v>
      </c>
      <c r="D722" s="83" t="s">
        <v>60</v>
      </c>
      <c r="E722" s="75" t="s">
        <v>378</v>
      </c>
      <c r="F722" s="76" t="s">
        <v>924</v>
      </c>
      <c r="G722" s="83" t="s">
        <v>60</v>
      </c>
      <c r="H722" s="72">
        <v>45783</v>
      </c>
      <c r="I722" s="166">
        <v>206239.5</v>
      </c>
      <c r="J722" s="166"/>
      <c r="K722" s="166">
        <v>0</v>
      </c>
      <c r="L722" s="166"/>
      <c r="M722" s="185">
        <v>-239.5</v>
      </c>
      <c r="N722" s="166">
        <f t="shared" si="39"/>
        <v>206000</v>
      </c>
      <c r="O722" s="36"/>
      <c r="P722" s="36"/>
    </row>
    <row r="723" spans="1:16" ht="13.7" customHeight="1" x14ac:dyDescent="0.25">
      <c r="A723" s="73" t="s">
        <v>23</v>
      </c>
      <c r="B723" s="83">
        <v>800253526</v>
      </c>
      <c r="C723" s="74" t="s">
        <v>1005</v>
      </c>
      <c r="D723" s="83" t="s">
        <v>60</v>
      </c>
      <c r="E723" s="75" t="s">
        <v>378</v>
      </c>
      <c r="F723" s="76" t="s">
        <v>888</v>
      </c>
      <c r="G723" s="83" t="s">
        <v>60</v>
      </c>
      <c r="H723" s="72">
        <v>45783</v>
      </c>
      <c r="I723" s="166">
        <v>43722.82</v>
      </c>
      <c r="J723" s="166"/>
      <c r="K723" s="166">
        <v>0</v>
      </c>
      <c r="L723" s="166"/>
      <c r="M723" s="185">
        <v>277.18</v>
      </c>
      <c r="N723" s="166">
        <f t="shared" si="39"/>
        <v>44000</v>
      </c>
      <c r="O723" s="36"/>
      <c r="P723" s="36"/>
    </row>
    <row r="724" spans="1:16" ht="13.7" customHeight="1" x14ac:dyDescent="0.25">
      <c r="A724" s="73" t="s">
        <v>23</v>
      </c>
      <c r="B724" s="83">
        <v>800012638</v>
      </c>
      <c r="C724" s="74" t="s">
        <v>662</v>
      </c>
      <c r="D724" s="83" t="s">
        <v>60</v>
      </c>
      <c r="E724" s="75" t="s">
        <v>378</v>
      </c>
      <c r="F724" s="76" t="s">
        <v>888</v>
      </c>
      <c r="G724" s="83" t="s">
        <v>60</v>
      </c>
      <c r="H724" s="72">
        <v>45783</v>
      </c>
      <c r="I724" s="166">
        <v>6555044.5499999998</v>
      </c>
      <c r="J724" s="166"/>
      <c r="K724" s="166">
        <v>0</v>
      </c>
      <c r="L724" s="166"/>
      <c r="M724" s="185">
        <v>-44.55</v>
      </c>
      <c r="N724" s="166">
        <f t="shared" si="39"/>
        <v>6555000</v>
      </c>
      <c r="O724" s="36"/>
      <c r="P724" s="36"/>
    </row>
    <row r="725" spans="1:16" ht="13.7" customHeight="1" x14ac:dyDescent="0.25">
      <c r="A725" s="73" t="s">
        <v>23</v>
      </c>
      <c r="B725" s="83">
        <v>899999090</v>
      </c>
      <c r="C725" s="74" t="s">
        <v>1001</v>
      </c>
      <c r="D725" s="83" t="s">
        <v>60</v>
      </c>
      <c r="E725" s="75" t="s">
        <v>378</v>
      </c>
      <c r="F725" s="76" t="s">
        <v>1323</v>
      </c>
      <c r="G725" s="83" t="s">
        <v>60</v>
      </c>
      <c r="H725" s="72">
        <v>45783</v>
      </c>
      <c r="I725" s="166">
        <v>507548815.10000002</v>
      </c>
      <c r="J725" s="166"/>
      <c r="K725" s="166">
        <v>0</v>
      </c>
      <c r="L725" s="166"/>
      <c r="M725" s="185">
        <v>184.9</v>
      </c>
      <c r="N725" s="166">
        <f t="shared" si="39"/>
        <v>507549000</v>
      </c>
      <c r="O725" s="36"/>
      <c r="P725" s="36"/>
    </row>
    <row r="726" spans="1:16" ht="13.7" customHeight="1" x14ac:dyDescent="0.25">
      <c r="A726" s="73" t="s">
        <v>23</v>
      </c>
      <c r="B726" s="83">
        <v>890982278</v>
      </c>
      <c r="C726" s="74" t="s">
        <v>994</v>
      </c>
      <c r="D726" s="83" t="s">
        <v>60</v>
      </c>
      <c r="E726" s="75" t="s">
        <v>378</v>
      </c>
      <c r="F726" s="76" t="s">
        <v>888</v>
      </c>
      <c r="G726" s="83" t="s">
        <v>60</v>
      </c>
      <c r="H726" s="72">
        <v>45783</v>
      </c>
      <c r="I726" s="166">
        <v>440167.9</v>
      </c>
      <c r="J726" s="166"/>
      <c r="K726" s="166">
        <v>0</v>
      </c>
      <c r="L726" s="166"/>
      <c r="M726" s="185">
        <v>-167.9</v>
      </c>
      <c r="N726" s="166">
        <f t="shared" si="39"/>
        <v>440000</v>
      </c>
      <c r="O726" s="36"/>
      <c r="P726" s="36"/>
    </row>
    <row r="727" spans="1:16" ht="13.7" customHeight="1" x14ac:dyDescent="0.25">
      <c r="A727" s="73" t="s">
        <v>23</v>
      </c>
      <c r="B727" s="83">
        <v>891502307</v>
      </c>
      <c r="C727" s="74" t="s">
        <v>663</v>
      </c>
      <c r="D727" s="83" t="s">
        <v>60</v>
      </c>
      <c r="E727" s="75" t="s">
        <v>378</v>
      </c>
      <c r="F727" s="76" t="s">
        <v>888</v>
      </c>
      <c r="G727" s="83" t="s">
        <v>60</v>
      </c>
      <c r="H727" s="72">
        <v>45783</v>
      </c>
      <c r="I727" s="166">
        <v>7578731.96</v>
      </c>
      <c r="J727" s="166"/>
      <c r="K727" s="166">
        <v>0</v>
      </c>
      <c r="L727" s="166"/>
      <c r="M727" s="185">
        <v>268.04000000000002</v>
      </c>
      <c r="N727" s="166">
        <f t="shared" si="39"/>
        <v>7579000</v>
      </c>
      <c r="O727" s="36"/>
      <c r="P727" s="36"/>
    </row>
    <row r="728" spans="1:16" ht="13.7" customHeight="1" x14ac:dyDescent="0.25">
      <c r="A728" s="73" t="s">
        <v>23</v>
      </c>
      <c r="B728" s="83">
        <v>800102799</v>
      </c>
      <c r="C728" s="74" t="s">
        <v>652</v>
      </c>
      <c r="D728" s="83" t="s">
        <v>60</v>
      </c>
      <c r="E728" s="75" t="s">
        <v>378</v>
      </c>
      <c r="F728" s="76" t="s">
        <v>888</v>
      </c>
      <c r="G728" s="83" t="s">
        <v>60</v>
      </c>
      <c r="H728" s="72">
        <v>45783</v>
      </c>
      <c r="I728" s="166">
        <v>65751.95</v>
      </c>
      <c r="J728" s="166"/>
      <c r="K728" s="166">
        <v>0</v>
      </c>
      <c r="L728" s="166"/>
      <c r="M728" s="185">
        <v>248.05</v>
      </c>
      <c r="N728" s="166">
        <f t="shared" si="39"/>
        <v>66000</v>
      </c>
      <c r="O728" s="36"/>
      <c r="P728" s="36"/>
    </row>
    <row r="729" spans="1:16" ht="13.7" customHeight="1" x14ac:dyDescent="0.25">
      <c r="A729" s="73" t="s">
        <v>23</v>
      </c>
      <c r="B729" s="83">
        <v>891480031</v>
      </c>
      <c r="C729" s="74" t="s">
        <v>894</v>
      </c>
      <c r="D729" s="83" t="s">
        <v>60</v>
      </c>
      <c r="E729" s="75" t="s">
        <v>378</v>
      </c>
      <c r="F729" s="76" t="s">
        <v>888</v>
      </c>
      <c r="G729" s="83" t="s">
        <v>60</v>
      </c>
      <c r="H729" s="72">
        <v>45783</v>
      </c>
      <c r="I729" s="166">
        <v>17065139.539999999</v>
      </c>
      <c r="J729" s="166"/>
      <c r="K729" s="166">
        <v>0</v>
      </c>
      <c r="L729" s="166"/>
      <c r="M729" s="185">
        <v>-139.54</v>
      </c>
      <c r="N729" s="166">
        <f t="shared" si="39"/>
        <v>17065000</v>
      </c>
      <c r="O729" s="36"/>
      <c r="P729" s="36"/>
    </row>
    <row r="730" spans="1:16" ht="13.7" customHeight="1" x14ac:dyDescent="0.25">
      <c r="A730" s="73" t="s">
        <v>23</v>
      </c>
      <c r="B730" s="83">
        <v>892301761</v>
      </c>
      <c r="C730" s="74" t="s">
        <v>805</v>
      </c>
      <c r="D730" s="83" t="s">
        <v>60</v>
      </c>
      <c r="E730" s="75" t="s">
        <v>378</v>
      </c>
      <c r="F730" s="76" t="s">
        <v>888</v>
      </c>
      <c r="G730" s="83" t="s">
        <v>60</v>
      </c>
      <c r="H730" s="72">
        <v>45784</v>
      </c>
      <c r="I730" s="166">
        <v>32157.89</v>
      </c>
      <c r="J730" s="166"/>
      <c r="K730" s="166">
        <v>0</v>
      </c>
      <c r="L730" s="166"/>
      <c r="M730" s="185">
        <v>-157.88999999999999</v>
      </c>
      <c r="N730" s="166">
        <f t="shared" si="39"/>
        <v>32000</v>
      </c>
      <c r="O730" s="36"/>
      <c r="P730" s="36"/>
    </row>
    <row r="731" spans="1:16" ht="13.7" customHeight="1" x14ac:dyDescent="0.25">
      <c r="A731" s="73" t="s">
        <v>23</v>
      </c>
      <c r="B731" s="83">
        <v>800096580</v>
      </c>
      <c r="C731" s="74" t="s">
        <v>545</v>
      </c>
      <c r="D731" s="83" t="s">
        <v>60</v>
      </c>
      <c r="E731" s="75" t="s">
        <v>378</v>
      </c>
      <c r="F731" s="76" t="s">
        <v>888</v>
      </c>
      <c r="G731" s="83" t="s">
        <v>60</v>
      </c>
      <c r="H731" s="72">
        <v>45784</v>
      </c>
      <c r="I731" s="166">
        <v>805555.77</v>
      </c>
      <c r="J731" s="166"/>
      <c r="K731" s="166">
        <v>0</v>
      </c>
      <c r="L731" s="166"/>
      <c r="M731" s="185">
        <v>444.23</v>
      </c>
      <c r="N731" s="166">
        <f t="shared" si="39"/>
        <v>806000</v>
      </c>
      <c r="O731" s="36"/>
      <c r="P731" s="36"/>
    </row>
    <row r="732" spans="1:16" ht="13.7" customHeight="1" x14ac:dyDescent="0.25">
      <c r="A732" s="73" t="s">
        <v>23</v>
      </c>
      <c r="B732" s="83">
        <v>890801143</v>
      </c>
      <c r="C732" s="74" t="s">
        <v>1003</v>
      </c>
      <c r="D732" s="83" t="s">
        <v>60</v>
      </c>
      <c r="E732" s="75" t="s">
        <v>378</v>
      </c>
      <c r="F732" s="76" t="s">
        <v>888</v>
      </c>
      <c r="G732" s="83" t="s">
        <v>60</v>
      </c>
      <c r="H732" s="72">
        <v>45785</v>
      </c>
      <c r="I732" s="166">
        <v>2317234.12</v>
      </c>
      <c r="J732" s="166"/>
      <c r="K732" s="166">
        <v>0</v>
      </c>
      <c r="L732" s="166"/>
      <c r="M732" s="185">
        <v>-234.12</v>
      </c>
      <c r="N732" s="166">
        <f t="shared" si="39"/>
        <v>2317000</v>
      </c>
      <c r="O732" s="36"/>
      <c r="P732" s="36"/>
    </row>
    <row r="733" spans="1:16" ht="13.7" customHeight="1" x14ac:dyDescent="0.25">
      <c r="A733" s="73" t="s">
        <v>23</v>
      </c>
      <c r="B733" s="83">
        <v>800100519</v>
      </c>
      <c r="C733" s="74" t="s">
        <v>666</v>
      </c>
      <c r="D733" s="83" t="s">
        <v>60</v>
      </c>
      <c r="E733" s="75" t="s">
        <v>378</v>
      </c>
      <c r="F733" s="76" t="s">
        <v>888</v>
      </c>
      <c r="G733" s="83" t="s">
        <v>60</v>
      </c>
      <c r="H733" s="72">
        <v>45785</v>
      </c>
      <c r="I733" s="166">
        <v>21554.36</v>
      </c>
      <c r="J733" s="166"/>
      <c r="K733" s="166">
        <v>0</v>
      </c>
      <c r="L733" s="166"/>
      <c r="M733" s="185">
        <v>445.64</v>
      </c>
      <c r="N733" s="166">
        <f t="shared" si="39"/>
        <v>22000</v>
      </c>
      <c r="O733" s="36"/>
      <c r="P733" s="36"/>
    </row>
    <row r="734" spans="1:16" ht="13.7" customHeight="1" x14ac:dyDescent="0.25">
      <c r="A734" s="73" t="s">
        <v>23</v>
      </c>
      <c r="B734" s="83">
        <v>800117687</v>
      </c>
      <c r="C734" s="74" t="s">
        <v>674</v>
      </c>
      <c r="D734" s="83" t="s">
        <v>60</v>
      </c>
      <c r="E734" s="75" t="s">
        <v>378</v>
      </c>
      <c r="F734" s="76" t="s">
        <v>888</v>
      </c>
      <c r="G734" s="83" t="s">
        <v>60</v>
      </c>
      <c r="H734" s="72">
        <v>45785</v>
      </c>
      <c r="I734" s="166">
        <v>3320323.55</v>
      </c>
      <c r="J734" s="166"/>
      <c r="K734" s="166">
        <v>0</v>
      </c>
      <c r="L734" s="166"/>
      <c r="M734" s="185">
        <v>-323.55</v>
      </c>
      <c r="N734" s="166">
        <f t="shared" si="39"/>
        <v>3320000</v>
      </c>
      <c r="O734" s="36"/>
      <c r="P734" s="36"/>
    </row>
    <row r="735" spans="1:16" ht="13.7" customHeight="1" x14ac:dyDescent="0.25">
      <c r="A735" s="73" t="s">
        <v>23</v>
      </c>
      <c r="B735" s="83">
        <v>891480022</v>
      </c>
      <c r="C735" s="74" t="s">
        <v>892</v>
      </c>
      <c r="D735" s="83" t="s">
        <v>60</v>
      </c>
      <c r="E735" s="75" t="s">
        <v>378</v>
      </c>
      <c r="F735" s="76" t="s">
        <v>888</v>
      </c>
      <c r="G735" s="83" t="s">
        <v>60</v>
      </c>
      <c r="H735" s="72">
        <v>45785</v>
      </c>
      <c r="I735" s="166">
        <v>3410321.38</v>
      </c>
      <c r="J735" s="166"/>
      <c r="K735" s="166">
        <v>0</v>
      </c>
      <c r="L735" s="166"/>
      <c r="M735" s="185">
        <v>-321.38</v>
      </c>
      <c r="N735" s="166">
        <f t="shared" si="39"/>
        <v>3410000</v>
      </c>
      <c r="O735" s="36"/>
      <c r="P735" s="36"/>
    </row>
    <row r="736" spans="1:16" ht="13.7" customHeight="1" x14ac:dyDescent="0.25">
      <c r="A736" s="73" t="s">
        <v>23</v>
      </c>
      <c r="B736" s="83">
        <v>818001203</v>
      </c>
      <c r="C736" s="74" t="s">
        <v>1019</v>
      </c>
      <c r="D736" s="83" t="s">
        <v>60</v>
      </c>
      <c r="E736" s="75" t="s">
        <v>378</v>
      </c>
      <c r="F736" s="76" t="s">
        <v>888</v>
      </c>
      <c r="G736" s="83" t="s">
        <v>60</v>
      </c>
      <c r="H736" s="72">
        <v>45785</v>
      </c>
      <c r="I736" s="166">
        <v>1027714.67</v>
      </c>
      <c r="J736" s="166"/>
      <c r="K736" s="166">
        <v>0</v>
      </c>
      <c r="L736" s="166"/>
      <c r="M736" s="185">
        <v>285.33</v>
      </c>
      <c r="N736" s="166">
        <f t="shared" si="39"/>
        <v>1028000</v>
      </c>
      <c r="O736" s="36"/>
      <c r="P736" s="36"/>
    </row>
    <row r="737" spans="1:16" ht="13.7" customHeight="1" x14ac:dyDescent="0.25">
      <c r="A737" s="73" t="s">
        <v>23</v>
      </c>
      <c r="B737" s="83">
        <v>890981106</v>
      </c>
      <c r="C737" s="74" t="s">
        <v>1002</v>
      </c>
      <c r="D737" s="83" t="s">
        <v>60</v>
      </c>
      <c r="E737" s="75" t="s">
        <v>378</v>
      </c>
      <c r="F737" s="76" t="s">
        <v>888</v>
      </c>
      <c r="G737" s="83" t="s">
        <v>60</v>
      </c>
      <c r="H737" s="72">
        <v>45785</v>
      </c>
      <c r="I737" s="166">
        <v>34978.26</v>
      </c>
      <c r="J737" s="166"/>
      <c r="K737" s="166">
        <v>0</v>
      </c>
      <c r="L737" s="166"/>
      <c r="M737" s="185">
        <v>21.74</v>
      </c>
      <c r="N737" s="166">
        <f t="shared" si="39"/>
        <v>35000</v>
      </c>
      <c r="O737" s="36"/>
      <c r="P737" s="36"/>
    </row>
    <row r="738" spans="1:16" ht="13.7" customHeight="1" x14ac:dyDescent="0.25">
      <c r="A738" s="73" t="s">
        <v>23</v>
      </c>
      <c r="B738" s="83">
        <v>891180205</v>
      </c>
      <c r="C738" s="74" t="s">
        <v>751</v>
      </c>
      <c r="D738" s="83" t="s">
        <v>60</v>
      </c>
      <c r="E738" s="75" t="s">
        <v>378</v>
      </c>
      <c r="F738" s="76" t="s">
        <v>888</v>
      </c>
      <c r="G738" s="83" t="s">
        <v>60</v>
      </c>
      <c r="H738" s="72">
        <v>45785</v>
      </c>
      <c r="I738" s="166">
        <v>77007.320000000007</v>
      </c>
      <c r="J738" s="166"/>
      <c r="K738" s="166">
        <v>0</v>
      </c>
      <c r="L738" s="166"/>
      <c r="M738" s="185">
        <v>-7.32</v>
      </c>
      <c r="N738" s="166">
        <f t="shared" si="39"/>
        <v>77000</v>
      </c>
      <c r="O738" s="36"/>
      <c r="P738" s="36"/>
    </row>
    <row r="739" spans="1:16" ht="13.7" customHeight="1" x14ac:dyDescent="0.25">
      <c r="A739" s="73" t="s">
        <v>23</v>
      </c>
      <c r="B739" s="83">
        <v>890480022</v>
      </c>
      <c r="C739" s="74" t="s">
        <v>1223</v>
      </c>
      <c r="D739" s="83" t="s">
        <v>60</v>
      </c>
      <c r="E739" s="75" t="s">
        <v>378</v>
      </c>
      <c r="F739" s="76" t="s">
        <v>888</v>
      </c>
      <c r="G739" s="83" t="s">
        <v>60</v>
      </c>
      <c r="H739" s="72">
        <v>45785</v>
      </c>
      <c r="I739" s="166">
        <v>1225506.6100000001</v>
      </c>
      <c r="J739" s="166"/>
      <c r="K739" s="166">
        <v>0</v>
      </c>
      <c r="L739" s="166"/>
      <c r="M739" s="185">
        <v>493.39</v>
      </c>
      <c r="N739" s="166">
        <f t="shared" si="39"/>
        <v>1226000</v>
      </c>
      <c r="O739" s="36"/>
      <c r="P739" s="36"/>
    </row>
    <row r="740" spans="1:16" ht="13.7" customHeight="1" x14ac:dyDescent="0.25">
      <c r="A740" s="73" t="s">
        <v>23</v>
      </c>
      <c r="B740" s="83">
        <v>892115155</v>
      </c>
      <c r="C740" s="74" t="s">
        <v>667</v>
      </c>
      <c r="D740" s="83" t="s">
        <v>60</v>
      </c>
      <c r="E740" s="75" t="s">
        <v>378</v>
      </c>
      <c r="F740" s="76" t="s">
        <v>888</v>
      </c>
      <c r="G740" s="83" t="s">
        <v>60</v>
      </c>
      <c r="H740" s="72">
        <v>45786</v>
      </c>
      <c r="I740" s="166">
        <v>102991.79</v>
      </c>
      <c r="J740" s="166"/>
      <c r="K740" s="166">
        <v>0</v>
      </c>
      <c r="L740" s="166"/>
      <c r="M740" s="185">
        <v>8.2100000000000009</v>
      </c>
      <c r="N740" s="166">
        <f t="shared" si="39"/>
        <v>103000</v>
      </c>
      <c r="O740" s="36"/>
      <c r="P740" s="36"/>
    </row>
    <row r="741" spans="1:16" ht="13.7" customHeight="1" x14ac:dyDescent="0.25">
      <c r="A741" s="73" t="s">
        <v>23</v>
      </c>
      <c r="B741" s="83">
        <v>892115007</v>
      </c>
      <c r="C741" s="74" t="s">
        <v>705</v>
      </c>
      <c r="D741" s="83" t="s">
        <v>60</v>
      </c>
      <c r="E741" s="75" t="s">
        <v>378</v>
      </c>
      <c r="F741" s="76" t="s">
        <v>888</v>
      </c>
      <c r="G741" s="83" t="s">
        <v>60</v>
      </c>
      <c r="H741" s="72">
        <v>45786</v>
      </c>
      <c r="I741" s="166">
        <v>27510</v>
      </c>
      <c r="J741" s="166"/>
      <c r="K741" s="166">
        <v>0</v>
      </c>
      <c r="L741" s="166"/>
      <c r="M741" s="185">
        <v>490</v>
      </c>
      <c r="N741" s="166">
        <f t="shared" si="39"/>
        <v>28000</v>
      </c>
      <c r="O741" s="36"/>
      <c r="P741" s="36"/>
    </row>
    <row r="742" spans="1:16" ht="13.7" customHeight="1" x14ac:dyDescent="0.25">
      <c r="A742" s="73" t="s">
        <v>23</v>
      </c>
      <c r="B742" s="83">
        <v>800070682</v>
      </c>
      <c r="C742" s="74" t="s">
        <v>748</v>
      </c>
      <c r="D742" s="83" t="s">
        <v>60</v>
      </c>
      <c r="E742" s="75" t="s">
        <v>378</v>
      </c>
      <c r="F742" s="76" t="s">
        <v>888</v>
      </c>
      <c r="G742" s="83" t="s">
        <v>60</v>
      </c>
      <c r="H742" s="72">
        <v>45786</v>
      </c>
      <c r="I742" s="166">
        <v>972033.87</v>
      </c>
      <c r="J742" s="166"/>
      <c r="K742" s="166">
        <v>0</v>
      </c>
      <c r="L742" s="166"/>
      <c r="M742" s="185">
        <v>-33.869999999999997</v>
      </c>
      <c r="N742" s="166">
        <f t="shared" ref="N742:N772" si="40">+I742-J742-K742-L742+M742</f>
        <v>972000</v>
      </c>
      <c r="O742" s="36"/>
      <c r="P742" s="36"/>
    </row>
    <row r="743" spans="1:16" ht="13.7" customHeight="1" x14ac:dyDescent="0.25">
      <c r="A743" s="73" t="s">
        <v>23</v>
      </c>
      <c r="B743" s="83">
        <v>800070682</v>
      </c>
      <c r="C743" s="74" t="s">
        <v>748</v>
      </c>
      <c r="D743" s="83" t="s">
        <v>60</v>
      </c>
      <c r="E743" s="75" t="s">
        <v>378</v>
      </c>
      <c r="F743" s="76" t="s">
        <v>802</v>
      </c>
      <c r="G743" s="83" t="s">
        <v>60</v>
      </c>
      <c r="H743" s="72">
        <v>45786</v>
      </c>
      <c r="I743" s="166">
        <v>145770.57999999999</v>
      </c>
      <c r="J743" s="166"/>
      <c r="K743" s="166">
        <v>0</v>
      </c>
      <c r="L743" s="166"/>
      <c r="M743" s="185">
        <v>229.42</v>
      </c>
      <c r="N743" s="166">
        <f t="shared" si="40"/>
        <v>146000</v>
      </c>
      <c r="O743" s="36"/>
      <c r="P743" s="36"/>
    </row>
    <row r="744" spans="1:16" ht="13.7" customHeight="1" x14ac:dyDescent="0.25">
      <c r="A744" s="73" t="s">
        <v>23</v>
      </c>
      <c r="B744" s="83">
        <v>800096758</v>
      </c>
      <c r="C744" s="74" t="s">
        <v>657</v>
      </c>
      <c r="D744" s="83" t="s">
        <v>60</v>
      </c>
      <c r="E744" s="75" t="s">
        <v>378</v>
      </c>
      <c r="F744" s="76" t="s">
        <v>888</v>
      </c>
      <c r="G744" s="83" t="s">
        <v>60</v>
      </c>
      <c r="H744" s="72">
        <v>45786</v>
      </c>
      <c r="I744" s="166">
        <v>196588.79999999999</v>
      </c>
      <c r="J744" s="166"/>
      <c r="K744" s="166">
        <v>0</v>
      </c>
      <c r="L744" s="166"/>
      <c r="M744" s="185">
        <v>411.2</v>
      </c>
      <c r="N744" s="166">
        <f t="shared" si="40"/>
        <v>197000</v>
      </c>
      <c r="O744" s="36"/>
      <c r="P744" s="36"/>
    </row>
    <row r="745" spans="1:16" ht="13.7" customHeight="1" x14ac:dyDescent="0.25">
      <c r="A745" s="73" t="s">
        <v>23</v>
      </c>
      <c r="B745" s="83">
        <v>800096758</v>
      </c>
      <c r="C745" s="74" t="s">
        <v>657</v>
      </c>
      <c r="D745" s="83" t="s">
        <v>60</v>
      </c>
      <c r="E745" s="75" t="s">
        <v>378</v>
      </c>
      <c r="F745" s="76" t="s">
        <v>888</v>
      </c>
      <c r="G745" s="83" t="s">
        <v>60</v>
      </c>
      <c r="H745" s="72">
        <v>45786</v>
      </c>
      <c r="I745" s="166">
        <v>157841.79999999999</v>
      </c>
      <c r="J745" s="166"/>
      <c r="K745" s="166">
        <v>0</v>
      </c>
      <c r="L745" s="166"/>
      <c r="M745" s="185">
        <v>0</v>
      </c>
      <c r="N745" s="166">
        <f t="shared" si="40"/>
        <v>157841.79999999999</v>
      </c>
      <c r="O745" s="36"/>
      <c r="P745" s="36"/>
    </row>
    <row r="746" spans="1:16" ht="13.7" customHeight="1" x14ac:dyDescent="0.25">
      <c r="A746" s="73" t="s">
        <v>23</v>
      </c>
      <c r="B746" s="83">
        <v>818000961</v>
      </c>
      <c r="C746" s="74" t="s">
        <v>998</v>
      </c>
      <c r="D746" s="83" t="s">
        <v>60</v>
      </c>
      <c r="E746" s="75" t="s">
        <v>378</v>
      </c>
      <c r="F746" s="76" t="s">
        <v>888</v>
      </c>
      <c r="G746" s="83" t="s">
        <v>60</v>
      </c>
      <c r="H746" s="72">
        <v>45789</v>
      </c>
      <c r="I746" s="166">
        <v>1215753.32</v>
      </c>
      <c r="J746" s="166"/>
      <c r="K746" s="166">
        <v>0</v>
      </c>
      <c r="L746" s="172"/>
      <c r="M746" s="185">
        <v>246.68</v>
      </c>
      <c r="N746" s="166">
        <f t="shared" si="40"/>
        <v>1216000</v>
      </c>
      <c r="O746" s="36"/>
      <c r="P746" s="36"/>
    </row>
    <row r="747" spans="1:16" ht="13.7" customHeight="1" x14ac:dyDescent="0.25">
      <c r="A747" s="73" t="s">
        <v>23</v>
      </c>
      <c r="B747" s="83">
        <v>800113389</v>
      </c>
      <c r="C747" s="74" t="s">
        <v>747</v>
      </c>
      <c r="D747" s="83" t="s">
        <v>60</v>
      </c>
      <c r="E747" s="75" t="s">
        <v>378</v>
      </c>
      <c r="F747" s="76" t="s">
        <v>888</v>
      </c>
      <c r="G747" s="83" t="s">
        <v>60</v>
      </c>
      <c r="H747" s="72">
        <v>45789</v>
      </c>
      <c r="I747" s="166">
        <v>27915747.949999999</v>
      </c>
      <c r="J747" s="166"/>
      <c r="K747" s="166">
        <v>0</v>
      </c>
      <c r="L747" s="172"/>
      <c r="M747" s="185">
        <v>252.05</v>
      </c>
      <c r="N747" s="166">
        <f t="shared" si="40"/>
        <v>27916000</v>
      </c>
      <c r="O747" s="36"/>
      <c r="P747" s="36"/>
    </row>
    <row r="748" spans="1:16" ht="13.7" customHeight="1" x14ac:dyDescent="0.25">
      <c r="A748" s="73" t="s">
        <v>23</v>
      </c>
      <c r="B748" s="83">
        <v>800095589</v>
      </c>
      <c r="C748" s="74" t="s">
        <v>660</v>
      </c>
      <c r="D748" s="83" t="s">
        <v>60</v>
      </c>
      <c r="E748" s="75" t="s">
        <v>378</v>
      </c>
      <c r="F748" s="76" t="s">
        <v>888</v>
      </c>
      <c r="G748" s="83" t="s">
        <v>60</v>
      </c>
      <c r="H748" s="72">
        <v>45789</v>
      </c>
      <c r="I748" s="166">
        <v>37298.629999999997</v>
      </c>
      <c r="J748" s="166"/>
      <c r="K748" s="166">
        <v>0</v>
      </c>
      <c r="L748" s="166"/>
      <c r="M748" s="185">
        <v>-298.63</v>
      </c>
      <c r="N748" s="166">
        <f t="shared" si="40"/>
        <v>37000</v>
      </c>
      <c r="O748" s="36"/>
      <c r="P748" s="36"/>
    </row>
    <row r="749" spans="1:16" ht="13.7" customHeight="1" x14ac:dyDescent="0.25">
      <c r="A749" s="73" t="s">
        <v>23</v>
      </c>
      <c r="B749" s="83">
        <v>800099317</v>
      </c>
      <c r="C749" s="74" t="s">
        <v>850</v>
      </c>
      <c r="D749" s="83" t="s">
        <v>60</v>
      </c>
      <c r="E749" s="75" t="s">
        <v>378</v>
      </c>
      <c r="F749" s="76" t="s">
        <v>888</v>
      </c>
      <c r="G749" s="83" t="s">
        <v>60</v>
      </c>
      <c r="H749" s="72">
        <v>45789</v>
      </c>
      <c r="I749" s="166">
        <v>4434737.8499999996</v>
      </c>
      <c r="J749" s="166"/>
      <c r="K749" s="166">
        <v>0</v>
      </c>
      <c r="L749" s="166"/>
      <c r="M749" s="185">
        <v>262.14999999999998</v>
      </c>
      <c r="N749" s="166">
        <f t="shared" si="40"/>
        <v>4435000</v>
      </c>
      <c r="O749" s="36"/>
      <c r="P749" s="36"/>
    </row>
    <row r="750" spans="1:16" ht="13.7" customHeight="1" x14ac:dyDescent="0.25">
      <c r="A750" s="73" t="s">
        <v>23</v>
      </c>
      <c r="B750" s="83">
        <v>890985354</v>
      </c>
      <c r="C750" s="74" t="s">
        <v>749</v>
      </c>
      <c r="D750" s="83" t="s">
        <v>60</v>
      </c>
      <c r="E750" s="75" t="s">
        <v>378</v>
      </c>
      <c r="F750" s="76" t="s">
        <v>888</v>
      </c>
      <c r="G750" s="83" t="s">
        <v>60</v>
      </c>
      <c r="H750" s="72">
        <v>45789</v>
      </c>
      <c r="I750" s="166">
        <v>7476467.1799999997</v>
      </c>
      <c r="J750" s="166"/>
      <c r="K750" s="166">
        <v>0</v>
      </c>
      <c r="L750" s="166"/>
      <c r="M750" s="185">
        <v>532.82000000000005</v>
      </c>
      <c r="N750" s="166">
        <f t="shared" si="40"/>
        <v>7477000</v>
      </c>
      <c r="O750" s="36"/>
      <c r="P750" s="36"/>
    </row>
    <row r="751" spans="1:16" ht="13.7" customHeight="1" x14ac:dyDescent="0.25">
      <c r="A751" s="73" t="s">
        <v>23</v>
      </c>
      <c r="B751" s="83">
        <v>800113389</v>
      </c>
      <c r="C751" s="74" t="s">
        <v>747</v>
      </c>
      <c r="D751" s="83" t="s">
        <v>60</v>
      </c>
      <c r="E751" s="75" t="s">
        <v>378</v>
      </c>
      <c r="F751" s="76" t="s">
        <v>888</v>
      </c>
      <c r="G751" s="83" t="s">
        <v>60</v>
      </c>
      <c r="H751" s="72">
        <v>45789</v>
      </c>
      <c r="I751" s="166">
        <v>1674944.88</v>
      </c>
      <c r="J751" s="166"/>
      <c r="K751" s="218">
        <v>0</v>
      </c>
      <c r="L751" s="166"/>
      <c r="M751" s="185">
        <v>1.82</v>
      </c>
      <c r="N751" s="166">
        <f t="shared" si="40"/>
        <v>1674946.7</v>
      </c>
      <c r="O751" s="36"/>
      <c r="P751" s="36"/>
    </row>
    <row r="752" spans="1:16" ht="13.7" customHeight="1" x14ac:dyDescent="0.25">
      <c r="A752" s="73" t="s">
        <v>23</v>
      </c>
      <c r="B752" s="83">
        <v>892115024</v>
      </c>
      <c r="C752" s="74" t="s">
        <v>755</v>
      </c>
      <c r="D752" s="83" t="s">
        <v>60</v>
      </c>
      <c r="E752" s="75" t="s">
        <v>378</v>
      </c>
      <c r="F752" s="76" t="s">
        <v>888</v>
      </c>
      <c r="G752" s="83" t="s">
        <v>60</v>
      </c>
      <c r="H752" s="72">
        <v>45789</v>
      </c>
      <c r="I752" s="166">
        <v>105426.93</v>
      </c>
      <c r="J752" s="166"/>
      <c r="K752" s="166">
        <v>0</v>
      </c>
      <c r="L752" s="166"/>
      <c r="M752" s="185">
        <v>-426.93</v>
      </c>
      <c r="N752" s="166">
        <f t="shared" si="40"/>
        <v>105000</v>
      </c>
      <c r="O752" s="36"/>
      <c r="P752" s="36"/>
    </row>
    <row r="753" spans="1:16" ht="13.7" customHeight="1" x14ac:dyDescent="0.25">
      <c r="A753" s="73" t="s">
        <v>23</v>
      </c>
      <c r="B753" s="83">
        <v>892200592</v>
      </c>
      <c r="C753" s="74" t="s">
        <v>1009</v>
      </c>
      <c r="D753" s="83" t="s">
        <v>60</v>
      </c>
      <c r="E753" s="75" t="s">
        <v>378</v>
      </c>
      <c r="F753" s="76" t="s">
        <v>888</v>
      </c>
      <c r="G753" s="83" t="s">
        <v>60</v>
      </c>
      <c r="H753" s="72">
        <v>45789</v>
      </c>
      <c r="I753" s="166">
        <v>1966944.5</v>
      </c>
      <c r="J753" s="166"/>
      <c r="K753" s="166">
        <v>0</v>
      </c>
      <c r="L753" s="166"/>
      <c r="M753" s="185">
        <v>55.5</v>
      </c>
      <c r="N753" s="166">
        <f t="shared" si="40"/>
        <v>1967000</v>
      </c>
      <c r="O753" s="36"/>
      <c r="P753" s="36"/>
    </row>
    <row r="754" spans="1:16" ht="13.7" customHeight="1" x14ac:dyDescent="0.25">
      <c r="A754" s="73" t="s">
        <v>23</v>
      </c>
      <c r="B754" s="83">
        <v>891780041</v>
      </c>
      <c r="C754" s="74" t="s">
        <v>754</v>
      </c>
      <c r="D754" s="83" t="s">
        <v>60</v>
      </c>
      <c r="E754" s="75" t="s">
        <v>378</v>
      </c>
      <c r="F754" s="76" t="s">
        <v>888</v>
      </c>
      <c r="G754" s="83" t="s">
        <v>60</v>
      </c>
      <c r="H754" s="72">
        <v>45790</v>
      </c>
      <c r="I754" s="185">
        <v>27458</v>
      </c>
      <c r="J754" s="166"/>
      <c r="K754" s="166">
        <v>0</v>
      </c>
      <c r="L754" s="166"/>
      <c r="M754" s="185">
        <v>-458</v>
      </c>
      <c r="N754" s="166">
        <f t="shared" si="40"/>
        <v>27000</v>
      </c>
      <c r="O754" s="36"/>
      <c r="P754" s="36"/>
    </row>
    <row r="755" spans="1:16" ht="13.7" customHeight="1" x14ac:dyDescent="0.25">
      <c r="A755" s="73" t="s">
        <v>23</v>
      </c>
      <c r="B755" s="83">
        <v>891780041</v>
      </c>
      <c r="C755" s="74" t="s">
        <v>754</v>
      </c>
      <c r="D755" s="83" t="s">
        <v>60</v>
      </c>
      <c r="E755" s="75" t="s">
        <v>378</v>
      </c>
      <c r="F755" s="76" t="s">
        <v>924</v>
      </c>
      <c r="G755" s="83" t="s">
        <v>60</v>
      </c>
      <c r="H755" s="72">
        <v>45790</v>
      </c>
      <c r="I755" s="185">
        <v>4119</v>
      </c>
      <c r="J755" s="166"/>
      <c r="K755" s="166">
        <v>0</v>
      </c>
      <c r="L755" s="166"/>
      <c r="M755" s="185">
        <v>-119</v>
      </c>
      <c r="N755" s="166">
        <f t="shared" si="40"/>
        <v>4000</v>
      </c>
      <c r="O755" s="36"/>
      <c r="P755" s="36"/>
    </row>
    <row r="756" spans="1:16" ht="13.7" customHeight="1" x14ac:dyDescent="0.25">
      <c r="A756" s="73" t="s">
        <v>23</v>
      </c>
      <c r="B756" s="83">
        <v>891780041</v>
      </c>
      <c r="C756" s="74" t="s">
        <v>754</v>
      </c>
      <c r="D756" s="83" t="s">
        <v>60</v>
      </c>
      <c r="E756" s="75" t="s">
        <v>378</v>
      </c>
      <c r="F756" s="76" t="s">
        <v>802</v>
      </c>
      <c r="G756" s="83" t="s">
        <v>60</v>
      </c>
      <c r="H756" s="72">
        <v>45790</v>
      </c>
      <c r="I756" s="185">
        <v>1921.71</v>
      </c>
      <c r="J756" s="166"/>
      <c r="K756" s="166">
        <v>0</v>
      </c>
      <c r="L756" s="166"/>
      <c r="M756" s="185">
        <v>78.290000000000006</v>
      </c>
      <c r="N756" s="166">
        <f t="shared" si="40"/>
        <v>2000</v>
      </c>
      <c r="O756" s="36"/>
      <c r="P756" s="36"/>
    </row>
    <row r="757" spans="1:16" ht="13.7" customHeight="1" x14ac:dyDescent="0.25">
      <c r="A757" s="73" t="s">
        <v>23</v>
      </c>
      <c r="B757" s="83">
        <v>891500580</v>
      </c>
      <c r="C757" s="74" t="s">
        <v>672</v>
      </c>
      <c r="D757" s="83" t="s">
        <v>60</v>
      </c>
      <c r="E757" s="75" t="s">
        <v>378</v>
      </c>
      <c r="F757" s="76" t="s">
        <v>888</v>
      </c>
      <c r="G757" s="83" t="s">
        <v>60</v>
      </c>
      <c r="H757" s="72">
        <v>45790</v>
      </c>
      <c r="I757" s="166">
        <v>5167.03</v>
      </c>
      <c r="J757" s="166"/>
      <c r="K757" s="166">
        <v>0</v>
      </c>
      <c r="L757" s="166"/>
      <c r="M757" s="185">
        <v>-167.03</v>
      </c>
      <c r="N757" s="166">
        <f t="shared" si="40"/>
        <v>5000</v>
      </c>
      <c r="O757" s="36"/>
      <c r="P757" s="36"/>
    </row>
    <row r="758" spans="1:16" ht="13.7" customHeight="1" x14ac:dyDescent="0.25">
      <c r="A758" s="73" t="s">
        <v>23</v>
      </c>
      <c r="B758" s="83">
        <v>891780045</v>
      </c>
      <c r="C758" s="74" t="s">
        <v>703</v>
      </c>
      <c r="D758" s="83" t="s">
        <v>60</v>
      </c>
      <c r="E758" s="75" t="s">
        <v>378</v>
      </c>
      <c r="F758" s="76" t="s">
        <v>888</v>
      </c>
      <c r="G758" s="83" t="s">
        <v>60</v>
      </c>
      <c r="H758" s="72">
        <v>45790</v>
      </c>
      <c r="I758" s="166">
        <v>430551.64</v>
      </c>
      <c r="J758" s="166"/>
      <c r="K758" s="166">
        <v>0</v>
      </c>
      <c r="L758" s="166"/>
      <c r="M758" s="185">
        <v>448.36</v>
      </c>
      <c r="N758" s="166">
        <f t="shared" si="40"/>
        <v>431000</v>
      </c>
      <c r="O758" s="36"/>
      <c r="P758" s="36"/>
    </row>
    <row r="759" spans="1:16" ht="13.7" customHeight="1" x14ac:dyDescent="0.25">
      <c r="A759" s="73" t="s">
        <v>23</v>
      </c>
      <c r="B759" s="83">
        <v>891102764</v>
      </c>
      <c r="C759" s="74" t="s">
        <v>750</v>
      </c>
      <c r="D759" s="83" t="s">
        <v>60</v>
      </c>
      <c r="E759" s="75" t="s">
        <v>378</v>
      </c>
      <c r="F759" s="76" t="s">
        <v>888</v>
      </c>
      <c r="G759" s="83" t="s">
        <v>60</v>
      </c>
      <c r="H759" s="72">
        <v>45790</v>
      </c>
      <c r="I759" s="166">
        <v>21826.57</v>
      </c>
      <c r="J759" s="166"/>
      <c r="K759" s="166">
        <v>0</v>
      </c>
      <c r="L759" s="166"/>
      <c r="M759" s="185">
        <v>173.43</v>
      </c>
      <c r="N759" s="166">
        <f t="shared" si="40"/>
        <v>22000</v>
      </c>
      <c r="O759" s="36"/>
      <c r="P759" s="36"/>
    </row>
    <row r="760" spans="1:16" ht="13.7" customHeight="1" x14ac:dyDescent="0.25">
      <c r="A760" s="73" t="s">
        <v>23</v>
      </c>
      <c r="B760" s="83">
        <v>890399045</v>
      </c>
      <c r="C760" s="74" t="s">
        <v>664</v>
      </c>
      <c r="D760" s="83" t="s">
        <v>60</v>
      </c>
      <c r="E760" s="75" t="s">
        <v>378</v>
      </c>
      <c r="F760" s="76" t="s">
        <v>888</v>
      </c>
      <c r="G760" s="83" t="s">
        <v>60</v>
      </c>
      <c r="H760" s="72">
        <v>45790</v>
      </c>
      <c r="I760" s="166">
        <v>15575397.439999999</v>
      </c>
      <c r="J760" s="166"/>
      <c r="K760" s="166">
        <v>0</v>
      </c>
      <c r="L760" s="166"/>
      <c r="M760" s="185">
        <v>-397.44</v>
      </c>
      <c r="N760" s="166">
        <f t="shared" si="40"/>
        <v>15575000</v>
      </c>
      <c r="O760" s="36"/>
      <c r="P760" s="36"/>
    </row>
    <row r="761" spans="1:16" ht="13.7" customHeight="1" x14ac:dyDescent="0.25">
      <c r="A761" s="73" t="s">
        <v>23</v>
      </c>
      <c r="B761" s="83">
        <v>891680057</v>
      </c>
      <c r="C761" s="74" t="s">
        <v>1284</v>
      </c>
      <c r="D761" s="83" t="s">
        <v>60</v>
      </c>
      <c r="E761" s="75" t="s">
        <v>378</v>
      </c>
      <c r="F761" s="76" t="s">
        <v>888</v>
      </c>
      <c r="G761" s="83" t="s">
        <v>60</v>
      </c>
      <c r="H761" s="72">
        <v>45790</v>
      </c>
      <c r="I761" s="166">
        <v>421075</v>
      </c>
      <c r="J761" s="166"/>
      <c r="K761" s="166">
        <v>0</v>
      </c>
      <c r="L761" s="166"/>
      <c r="M761" s="185">
        <v>-75</v>
      </c>
      <c r="N761" s="166">
        <f t="shared" si="40"/>
        <v>421000</v>
      </c>
      <c r="O761" s="36"/>
      <c r="P761" s="36"/>
    </row>
    <row r="762" spans="1:16" ht="13.7" customHeight="1" x14ac:dyDescent="0.25">
      <c r="A762" s="73" t="s">
        <v>23</v>
      </c>
      <c r="B762" s="83">
        <v>890980344</v>
      </c>
      <c r="C762" s="74" t="s">
        <v>1004</v>
      </c>
      <c r="D762" s="83" t="s">
        <v>60</v>
      </c>
      <c r="E762" s="75" t="s">
        <v>378</v>
      </c>
      <c r="F762" s="76" t="s">
        <v>888</v>
      </c>
      <c r="G762" s="83" t="s">
        <v>60</v>
      </c>
      <c r="H762" s="72">
        <v>45791</v>
      </c>
      <c r="I762" s="166">
        <v>1643362.32</v>
      </c>
      <c r="J762" s="166"/>
      <c r="K762" s="166">
        <v>0</v>
      </c>
      <c r="L762" s="166"/>
      <c r="M762" s="185">
        <v>-362.32</v>
      </c>
      <c r="N762" s="166">
        <f t="shared" si="40"/>
        <v>1643000</v>
      </c>
      <c r="O762" s="36"/>
      <c r="P762" s="36"/>
    </row>
    <row r="763" spans="1:16" ht="13.7" customHeight="1" x14ac:dyDescent="0.25">
      <c r="A763" s="73" t="s">
        <v>23</v>
      </c>
      <c r="B763" s="83">
        <v>891180155</v>
      </c>
      <c r="C763" s="74" t="s">
        <v>753</v>
      </c>
      <c r="D763" s="83" t="s">
        <v>60</v>
      </c>
      <c r="E763" s="75" t="s">
        <v>378</v>
      </c>
      <c r="F763" s="76" t="s">
        <v>888</v>
      </c>
      <c r="G763" s="83" t="s">
        <v>60</v>
      </c>
      <c r="H763" s="72">
        <v>45791</v>
      </c>
      <c r="I763" s="166">
        <v>1738294.47</v>
      </c>
      <c r="J763" s="166"/>
      <c r="K763" s="166">
        <v>0</v>
      </c>
      <c r="L763" s="166"/>
      <c r="M763" s="185">
        <v>-294.47000000000003</v>
      </c>
      <c r="N763" s="166">
        <f t="shared" si="40"/>
        <v>1738000</v>
      </c>
      <c r="O763" s="36"/>
      <c r="P763" s="36"/>
    </row>
    <row r="764" spans="1:16" ht="13.7" customHeight="1" x14ac:dyDescent="0.25">
      <c r="A764" s="73" t="s">
        <v>23</v>
      </c>
      <c r="B764" s="83">
        <v>891480032</v>
      </c>
      <c r="C764" s="74" t="s">
        <v>851</v>
      </c>
      <c r="D764" s="83" t="s">
        <v>60</v>
      </c>
      <c r="E764" s="75" t="s">
        <v>378</v>
      </c>
      <c r="F764" s="76" t="s">
        <v>888</v>
      </c>
      <c r="G764" s="83" t="s">
        <v>60</v>
      </c>
      <c r="H764" s="72">
        <v>45791</v>
      </c>
      <c r="I764" s="166">
        <v>151331.47</v>
      </c>
      <c r="J764" s="166"/>
      <c r="K764" s="166">
        <v>0</v>
      </c>
      <c r="L764" s="166"/>
      <c r="M764" s="185">
        <v>-331.47</v>
      </c>
      <c r="N764" s="166">
        <f t="shared" si="40"/>
        <v>151000</v>
      </c>
      <c r="O764" s="36"/>
      <c r="P764" s="36"/>
    </row>
    <row r="765" spans="1:16" ht="13.7" customHeight="1" x14ac:dyDescent="0.25">
      <c r="A765" s="73" t="s">
        <v>23</v>
      </c>
      <c r="B765" s="83">
        <v>800191427</v>
      </c>
      <c r="C765" s="74" t="s">
        <v>1022</v>
      </c>
      <c r="D765" s="83" t="s">
        <v>60</v>
      </c>
      <c r="E765" s="75" t="s">
        <v>378</v>
      </c>
      <c r="F765" s="76" t="s">
        <v>888</v>
      </c>
      <c r="G765" s="83" t="s">
        <v>60</v>
      </c>
      <c r="H765" s="72">
        <v>45791</v>
      </c>
      <c r="I765" s="166">
        <v>9093769.0999999996</v>
      </c>
      <c r="J765" s="166"/>
      <c r="K765" s="166">
        <v>0</v>
      </c>
      <c r="L765" s="166"/>
      <c r="M765" s="185">
        <v>230.9</v>
      </c>
      <c r="N765" s="166">
        <f t="shared" si="40"/>
        <v>9094000</v>
      </c>
      <c r="O765" s="36"/>
      <c r="P765" s="36"/>
    </row>
    <row r="766" spans="1:16" ht="13.7" customHeight="1" x14ac:dyDescent="0.25">
      <c r="A766" s="73" t="s">
        <v>23</v>
      </c>
      <c r="B766" s="83">
        <v>890981391</v>
      </c>
      <c r="C766" s="74" t="s">
        <v>895</v>
      </c>
      <c r="D766" s="83" t="s">
        <v>60</v>
      </c>
      <c r="E766" s="75" t="s">
        <v>378</v>
      </c>
      <c r="F766" s="76" t="s">
        <v>888</v>
      </c>
      <c r="G766" s="83" t="s">
        <v>60</v>
      </c>
      <c r="H766" s="72">
        <v>45791</v>
      </c>
      <c r="I766" s="166">
        <v>866558.87</v>
      </c>
      <c r="J766" s="166"/>
      <c r="K766" s="166">
        <v>0</v>
      </c>
      <c r="L766" s="166"/>
      <c r="M766" s="185">
        <v>441.13</v>
      </c>
      <c r="N766" s="166">
        <f t="shared" si="40"/>
        <v>867000</v>
      </c>
      <c r="O766" s="36"/>
      <c r="P766" s="36"/>
    </row>
    <row r="767" spans="1:16" ht="13.7" customHeight="1" x14ac:dyDescent="0.25">
      <c r="A767" s="73" t="s">
        <v>23</v>
      </c>
      <c r="B767" s="83">
        <v>891680081</v>
      </c>
      <c r="C767" s="74" t="s">
        <v>1014</v>
      </c>
      <c r="D767" s="83" t="s">
        <v>60</v>
      </c>
      <c r="E767" s="75" t="s">
        <v>378</v>
      </c>
      <c r="F767" s="76" t="s">
        <v>888</v>
      </c>
      <c r="G767" s="83" t="s">
        <v>60</v>
      </c>
      <c r="H767" s="72">
        <v>45791</v>
      </c>
      <c r="I767" s="166">
        <v>1616797.91</v>
      </c>
      <c r="J767" s="166"/>
      <c r="K767" s="166">
        <v>0</v>
      </c>
      <c r="L767" s="166"/>
      <c r="M767" s="185">
        <v>-797.91</v>
      </c>
      <c r="N767" s="166">
        <f t="shared" si="40"/>
        <v>1616000</v>
      </c>
      <c r="O767" s="36"/>
      <c r="P767" s="36"/>
    </row>
    <row r="768" spans="1:16" ht="13.7" customHeight="1" x14ac:dyDescent="0.25">
      <c r="A768" s="73" t="s">
        <v>23</v>
      </c>
      <c r="B768" s="83">
        <v>891680081</v>
      </c>
      <c r="C768" s="74" t="s">
        <v>1014</v>
      </c>
      <c r="D768" s="83" t="s">
        <v>60</v>
      </c>
      <c r="E768" s="75" t="s">
        <v>378</v>
      </c>
      <c r="F768" s="76" t="s">
        <v>924</v>
      </c>
      <c r="G768" s="83" t="s">
        <v>60</v>
      </c>
      <c r="H768" s="72">
        <v>45791</v>
      </c>
      <c r="I768" s="166">
        <v>242519.69</v>
      </c>
      <c r="J768" s="166"/>
      <c r="K768" s="166">
        <v>0</v>
      </c>
      <c r="L768" s="166"/>
      <c r="M768" s="185">
        <v>480.31</v>
      </c>
      <c r="N768" s="166">
        <f t="shared" si="40"/>
        <v>243000</v>
      </c>
      <c r="O768" s="36"/>
      <c r="P768" s="36"/>
    </row>
    <row r="769" spans="1:16" ht="13.7" customHeight="1" x14ac:dyDescent="0.25">
      <c r="A769" s="73" t="s">
        <v>23</v>
      </c>
      <c r="B769" s="83">
        <v>891680081</v>
      </c>
      <c r="C769" s="74" t="s">
        <v>1014</v>
      </c>
      <c r="D769" s="83" t="s">
        <v>60</v>
      </c>
      <c r="E769" s="75" t="s">
        <v>378</v>
      </c>
      <c r="F769" s="76" t="s">
        <v>802</v>
      </c>
      <c r="G769" s="83" t="s">
        <v>60</v>
      </c>
      <c r="H769" s="72">
        <v>45791</v>
      </c>
      <c r="I769" s="166">
        <v>32335.96</v>
      </c>
      <c r="J769" s="166"/>
      <c r="K769" s="166">
        <v>0</v>
      </c>
      <c r="L769" s="166"/>
      <c r="M769" s="185">
        <v>-335.96</v>
      </c>
      <c r="N769" s="166">
        <f t="shared" si="40"/>
        <v>32000</v>
      </c>
      <c r="O769" s="36"/>
      <c r="P769" s="36"/>
    </row>
    <row r="770" spans="1:16" ht="13.7" customHeight="1" x14ac:dyDescent="0.25">
      <c r="A770" s="73" t="s">
        <v>23</v>
      </c>
      <c r="B770" s="83">
        <v>892120020</v>
      </c>
      <c r="C770" s="74" t="s">
        <v>756</v>
      </c>
      <c r="D770" s="83" t="s">
        <v>60</v>
      </c>
      <c r="E770" s="75" t="s">
        <v>378</v>
      </c>
      <c r="F770" s="76" t="s">
        <v>888</v>
      </c>
      <c r="G770" s="83" t="s">
        <v>60</v>
      </c>
      <c r="H770" s="72">
        <v>45792</v>
      </c>
      <c r="I770" s="166">
        <v>5918654.1699999999</v>
      </c>
      <c r="J770" s="166"/>
      <c r="K770" s="166">
        <v>0</v>
      </c>
      <c r="L770" s="166"/>
      <c r="M770" s="185">
        <v>345.83</v>
      </c>
      <c r="N770" s="166">
        <f t="shared" si="40"/>
        <v>5919000</v>
      </c>
      <c r="O770" s="36"/>
      <c r="P770" s="36"/>
    </row>
    <row r="771" spans="1:16" ht="13.7" customHeight="1" x14ac:dyDescent="0.25">
      <c r="A771" s="73" t="s">
        <v>23</v>
      </c>
      <c r="B771" s="83">
        <v>800103180</v>
      </c>
      <c r="C771" s="74" t="s">
        <v>1018</v>
      </c>
      <c r="D771" s="83" t="s">
        <v>60</v>
      </c>
      <c r="E771" s="75" t="s">
        <v>378</v>
      </c>
      <c r="F771" s="76" t="s">
        <v>888</v>
      </c>
      <c r="G771" s="83" t="s">
        <v>60</v>
      </c>
      <c r="H771" s="72">
        <v>45792</v>
      </c>
      <c r="I771" s="166">
        <v>10402143.9</v>
      </c>
      <c r="J771" s="166"/>
      <c r="K771" s="166">
        <v>0</v>
      </c>
      <c r="L771" s="166"/>
      <c r="M771" s="185">
        <v>-143.9</v>
      </c>
      <c r="N771" s="166">
        <f t="shared" si="40"/>
        <v>10402000</v>
      </c>
      <c r="O771" s="36"/>
      <c r="P771" s="36"/>
    </row>
    <row r="772" spans="1:16" ht="13.7" customHeight="1" x14ac:dyDescent="0.25">
      <c r="A772" s="73" t="s">
        <v>23</v>
      </c>
      <c r="B772" s="83">
        <v>890201190</v>
      </c>
      <c r="C772" s="74" t="s">
        <v>1224</v>
      </c>
      <c r="D772" s="83" t="s">
        <v>60</v>
      </c>
      <c r="E772" s="75" t="s">
        <v>378</v>
      </c>
      <c r="F772" s="76" t="s">
        <v>888</v>
      </c>
      <c r="G772" s="83" t="s">
        <v>60</v>
      </c>
      <c r="H772" s="72">
        <v>45792</v>
      </c>
      <c r="I772" s="166">
        <v>361388.58</v>
      </c>
      <c r="J772" s="166"/>
      <c r="K772" s="166">
        <v>0</v>
      </c>
      <c r="L772" s="166"/>
      <c r="M772" s="185">
        <v>-388.58</v>
      </c>
      <c r="N772" s="166">
        <f t="shared" si="40"/>
        <v>361000</v>
      </c>
      <c r="O772" s="36"/>
      <c r="P772" s="36"/>
    </row>
    <row r="773" spans="1:16" ht="13.7" customHeight="1" x14ac:dyDescent="0.25">
      <c r="A773" s="73" t="s">
        <v>23</v>
      </c>
      <c r="B773" s="83">
        <v>800108683</v>
      </c>
      <c r="C773" s="74" t="s">
        <v>668</v>
      </c>
      <c r="D773" s="83" t="s">
        <v>60</v>
      </c>
      <c r="E773" s="75" t="s">
        <v>378</v>
      </c>
      <c r="F773" s="76" t="s">
        <v>888</v>
      </c>
      <c r="G773" s="83" t="s">
        <v>60</v>
      </c>
      <c r="H773" s="72">
        <v>45793</v>
      </c>
      <c r="I773" s="166">
        <v>303117.32</v>
      </c>
      <c r="J773" s="166"/>
      <c r="K773" s="166">
        <v>0</v>
      </c>
      <c r="L773" s="166"/>
      <c r="M773" s="185">
        <v>-117.32</v>
      </c>
      <c r="N773" s="166">
        <f t="shared" si="39"/>
        <v>303000</v>
      </c>
      <c r="O773" s="36"/>
      <c r="P773" s="36"/>
    </row>
    <row r="774" spans="1:16" ht="13.7" customHeight="1" x14ac:dyDescent="0.25">
      <c r="A774" s="73" t="s">
        <v>23</v>
      </c>
      <c r="B774" s="83">
        <v>800096576</v>
      </c>
      <c r="C774" s="74" t="s">
        <v>452</v>
      </c>
      <c r="D774" s="83" t="s">
        <v>60</v>
      </c>
      <c r="E774" s="75" t="s">
        <v>378</v>
      </c>
      <c r="F774" s="76" t="s">
        <v>888</v>
      </c>
      <c r="G774" s="83" t="s">
        <v>60</v>
      </c>
      <c r="H774" s="72">
        <v>45793</v>
      </c>
      <c r="I774" s="166">
        <v>206778.65</v>
      </c>
      <c r="J774" s="166"/>
      <c r="K774" s="166">
        <v>0</v>
      </c>
      <c r="L774" s="166"/>
      <c r="M774" s="185">
        <v>221.35</v>
      </c>
      <c r="N774" s="166">
        <f t="shared" si="39"/>
        <v>207000</v>
      </c>
      <c r="O774" s="36"/>
      <c r="P774" s="36"/>
    </row>
    <row r="775" spans="1:16" ht="13.7" customHeight="1" x14ac:dyDescent="0.25">
      <c r="A775" s="73" t="s">
        <v>23</v>
      </c>
      <c r="B775" s="83">
        <v>800031075</v>
      </c>
      <c r="C775" s="74" t="s">
        <v>897</v>
      </c>
      <c r="D775" s="83" t="s">
        <v>60</v>
      </c>
      <c r="E775" s="75" t="s">
        <v>378</v>
      </c>
      <c r="F775" s="76" t="s">
        <v>888</v>
      </c>
      <c r="G775" s="83" t="s">
        <v>60</v>
      </c>
      <c r="H775" s="72">
        <v>45793</v>
      </c>
      <c r="I775" s="166">
        <v>7418690.5800000001</v>
      </c>
      <c r="J775" s="166"/>
      <c r="K775" s="166">
        <v>0</v>
      </c>
      <c r="L775" s="166"/>
      <c r="M775" s="185">
        <v>309.42</v>
      </c>
      <c r="N775" s="166">
        <f t="shared" si="39"/>
        <v>7419000</v>
      </c>
      <c r="O775" s="36"/>
      <c r="P775" s="36"/>
    </row>
    <row r="776" spans="1:16" ht="13.7" customHeight="1" x14ac:dyDescent="0.25">
      <c r="A776" s="73" t="s">
        <v>23</v>
      </c>
      <c r="B776" s="83">
        <v>891480024</v>
      </c>
      <c r="C776" s="74" t="s">
        <v>1016</v>
      </c>
      <c r="D776" s="83" t="s">
        <v>60</v>
      </c>
      <c r="E776" s="75" t="s">
        <v>378</v>
      </c>
      <c r="F776" s="76" t="s">
        <v>888</v>
      </c>
      <c r="G776" s="83" t="s">
        <v>60</v>
      </c>
      <c r="H776" s="72">
        <v>45796</v>
      </c>
      <c r="I776" s="166">
        <v>270353.43</v>
      </c>
      <c r="J776" s="166"/>
      <c r="K776" s="166">
        <v>0</v>
      </c>
      <c r="L776" s="166"/>
      <c r="M776" s="185">
        <v>-353.43</v>
      </c>
      <c r="N776" s="166">
        <f t="shared" si="39"/>
        <v>270000</v>
      </c>
      <c r="O776" s="36"/>
      <c r="P776" s="36"/>
    </row>
    <row r="777" spans="1:16" ht="13.7" customHeight="1" x14ac:dyDescent="0.25">
      <c r="A777" s="73" t="s">
        <v>23</v>
      </c>
      <c r="B777" s="83">
        <v>800136069</v>
      </c>
      <c r="C777" s="74" t="s">
        <v>651</v>
      </c>
      <c r="D777" s="83" t="s">
        <v>60</v>
      </c>
      <c r="E777" s="75" t="s">
        <v>378</v>
      </c>
      <c r="F777" s="76" t="s">
        <v>888</v>
      </c>
      <c r="G777" s="83" t="s">
        <v>60</v>
      </c>
      <c r="H777" s="72">
        <v>45796</v>
      </c>
      <c r="I777" s="166">
        <v>2376418.09</v>
      </c>
      <c r="J777" s="166"/>
      <c r="K777" s="166">
        <v>0</v>
      </c>
      <c r="L777" s="172"/>
      <c r="M777" s="185">
        <v>-418.09</v>
      </c>
      <c r="N777" s="166">
        <f t="shared" si="39"/>
        <v>2376000</v>
      </c>
      <c r="O777" s="36"/>
      <c r="P777" s="36"/>
    </row>
    <row r="778" spans="1:16" ht="13.7" customHeight="1" x14ac:dyDescent="0.25">
      <c r="A778" s="73" t="s">
        <v>23</v>
      </c>
      <c r="B778" s="83">
        <v>800136069</v>
      </c>
      <c r="C778" s="74" t="s">
        <v>651</v>
      </c>
      <c r="D778" s="83" t="s">
        <v>60</v>
      </c>
      <c r="E778" s="75" t="s">
        <v>378</v>
      </c>
      <c r="F778" s="76" t="s">
        <v>802</v>
      </c>
      <c r="G778" s="83" t="s">
        <v>60</v>
      </c>
      <c r="H778" s="72">
        <v>45796</v>
      </c>
      <c r="I778" s="166">
        <v>142585.07999999999</v>
      </c>
      <c r="J778" s="166"/>
      <c r="K778" s="166">
        <v>0</v>
      </c>
      <c r="L778" s="172"/>
      <c r="M778" s="185">
        <v>414.92</v>
      </c>
      <c r="N778" s="166">
        <f t="shared" si="39"/>
        <v>143000</v>
      </c>
      <c r="O778" s="36"/>
      <c r="P778" s="36"/>
    </row>
    <row r="779" spans="1:16" ht="13.7" customHeight="1" x14ac:dyDescent="0.25">
      <c r="A779" s="73" t="s">
        <v>23</v>
      </c>
      <c r="B779" s="83">
        <v>800098911</v>
      </c>
      <c r="C779" s="74" t="s">
        <v>704</v>
      </c>
      <c r="D779" s="83" t="s">
        <v>60</v>
      </c>
      <c r="E779" s="75" t="s">
        <v>378</v>
      </c>
      <c r="F779" s="76" t="s">
        <v>888</v>
      </c>
      <c r="G779" s="83" t="s">
        <v>60</v>
      </c>
      <c r="H779" s="72">
        <v>45797</v>
      </c>
      <c r="I779" s="166">
        <v>112420.95</v>
      </c>
      <c r="J779" s="166"/>
      <c r="K779" s="166">
        <v>0</v>
      </c>
      <c r="L779" s="166"/>
      <c r="M779" s="185">
        <v>-420.95</v>
      </c>
      <c r="N779" s="166">
        <f t="shared" si="39"/>
        <v>112000</v>
      </c>
      <c r="O779" s="36"/>
      <c r="P779" s="36"/>
    </row>
    <row r="780" spans="1:16" ht="13.7" customHeight="1" x14ac:dyDescent="0.25">
      <c r="A780" s="73" t="s">
        <v>23</v>
      </c>
      <c r="B780" s="83">
        <v>891480025</v>
      </c>
      <c r="C780" s="74" t="s">
        <v>896</v>
      </c>
      <c r="D780" s="83" t="s">
        <v>60</v>
      </c>
      <c r="E780" s="75" t="s">
        <v>378</v>
      </c>
      <c r="F780" s="76" t="s">
        <v>888</v>
      </c>
      <c r="G780" s="83" t="s">
        <v>60</v>
      </c>
      <c r="H780" s="72">
        <v>45797</v>
      </c>
      <c r="I780" s="166">
        <v>2008111.88</v>
      </c>
      <c r="J780" s="166"/>
      <c r="K780" s="166">
        <v>0</v>
      </c>
      <c r="L780" s="166"/>
      <c r="M780" s="185">
        <v>-111.88</v>
      </c>
      <c r="N780" s="166">
        <f t="shared" si="39"/>
        <v>2008000</v>
      </c>
      <c r="O780" s="36"/>
      <c r="P780" s="36"/>
    </row>
    <row r="781" spans="1:16" ht="13.7" customHeight="1" x14ac:dyDescent="0.25">
      <c r="A781" s="73" t="s">
        <v>23</v>
      </c>
      <c r="B781" s="83">
        <v>891500269</v>
      </c>
      <c r="C781" s="74" t="s">
        <v>671</v>
      </c>
      <c r="D781" s="83" t="s">
        <v>60</v>
      </c>
      <c r="E781" s="75" t="s">
        <v>378</v>
      </c>
      <c r="F781" s="76" t="s">
        <v>888</v>
      </c>
      <c r="G781" s="83" t="s">
        <v>60</v>
      </c>
      <c r="H781" s="72">
        <v>45797</v>
      </c>
      <c r="I781" s="166">
        <v>811247.08</v>
      </c>
      <c r="J781" s="166"/>
      <c r="K781" s="166">
        <v>0</v>
      </c>
      <c r="L781" s="166"/>
      <c r="M781" s="185">
        <v>-247.08</v>
      </c>
      <c r="N781" s="166">
        <f t="shared" si="39"/>
        <v>811000</v>
      </c>
      <c r="O781" s="36"/>
      <c r="P781" s="36"/>
    </row>
    <row r="782" spans="1:16" ht="13.7" customHeight="1" x14ac:dyDescent="0.25">
      <c r="A782" s="73" t="s">
        <v>23</v>
      </c>
      <c r="B782" s="83">
        <v>800197268</v>
      </c>
      <c r="C782" s="74" t="s">
        <v>449</v>
      </c>
      <c r="D782" s="83" t="s">
        <v>60</v>
      </c>
      <c r="E782" s="75" t="s">
        <v>378</v>
      </c>
      <c r="F782" s="76" t="s">
        <v>1255</v>
      </c>
      <c r="G782" s="83" t="s">
        <v>60</v>
      </c>
      <c r="H782" s="72">
        <v>45798</v>
      </c>
      <c r="I782" s="166">
        <v>224874176.19</v>
      </c>
      <c r="J782" s="166"/>
      <c r="K782" s="218">
        <v>0</v>
      </c>
      <c r="L782" s="166"/>
      <c r="M782" s="185">
        <v>-176.19</v>
      </c>
      <c r="N782" s="166">
        <f t="shared" si="39"/>
        <v>224874000</v>
      </c>
      <c r="O782" s="36"/>
      <c r="P782" s="36"/>
    </row>
    <row r="783" spans="1:16" ht="45" x14ac:dyDescent="0.25">
      <c r="A783" s="73" t="s">
        <v>23</v>
      </c>
      <c r="B783" s="83">
        <v>891500982</v>
      </c>
      <c r="C783" s="74" t="s">
        <v>453</v>
      </c>
      <c r="D783" s="83" t="s">
        <v>60</v>
      </c>
      <c r="E783" s="75" t="s">
        <v>378</v>
      </c>
      <c r="F783" s="76" t="s">
        <v>1324</v>
      </c>
      <c r="G783" s="83" t="s">
        <v>60</v>
      </c>
      <c r="H783" s="72">
        <v>45808</v>
      </c>
      <c r="I783" s="166">
        <v>-14789.22</v>
      </c>
      <c r="J783" s="166"/>
      <c r="K783" s="166">
        <v>0</v>
      </c>
      <c r="L783" s="166"/>
      <c r="M783" s="185">
        <v>-210.78</v>
      </c>
      <c r="N783" s="166">
        <f t="shared" ref="N783" si="41">+I783-J783-K783-L783+M783</f>
        <v>-15000</v>
      </c>
      <c r="O783" s="36"/>
      <c r="P783" s="36"/>
    </row>
    <row r="784" spans="1:16" ht="13.7" customHeight="1" x14ac:dyDescent="0.25">
      <c r="F784" s="107" t="s">
        <v>1332</v>
      </c>
      <c r="I784" s="184">
        <f>+SUM(I680:I783)</f>
        <v>11161532955.210003</v>
      </c>
      <c r="J784" s="184">
        <f t="shared" ref="J784:N784" si="42">+SUM(J680:J783)</f>
        <v>488401363.13999993</v>
      </c>
      <c r="K784" s="184">
        <f t="shared" si="42"/>
        <v>889476996.38999987</v>
      </c>
      <c r="L784" s="184">
        <f t="shared" si="42"/>
        <v>170399102.63999999</v>
      </c>
      <c r="M784" s="184">
        <f t="shared" si="42"/>
        <v>629.76999999999975</v>
      </c>
      <c r="N784" s="184">
        <f t="shared" si="42"/>
        <v>9613256122.8099995</v>
      </c>
      <c r="O784" s="100"/>
      <c r="P784" s="36"/>
    </row>
    <row r="785" spans="1:16" ht="75" x14ac:dyDescent="0.25">
      <c r="A785" s="73" t="s">
        <v>381</v>
      </c>
      <c r="B785" s="83">
        <v>85476995</v>
      </c>
      <c r="C785" s="74" t="s">
        <v>945</v>
      </c>
      <c r="D785" s="83" t="s">
        <v>407</v>
      </c>
      <c r="E785" s="75" t="s">
        <v>394</v>
      </c>
      <c r="F785" s="76" t="s">
        <v>1335</v>
      </c>
      <c r="G785" s="83">
        <v>301205</v>
      </c>
      <c r="H785" s="72">
        <v>45833</v>
      </c>
      <c r="I785" s="166">
        <v>30219147.539999999</v>
      </c>
      <c r="J785" s="166">
        <v>3021914.75</v>
      </c>
      <c r="K785" s="166">
        <v>1726808.43</v>
      </c>
      <c r="L785" s="166">
        <v>0</v>
      </c>
      <c r="M785" s="185">
        <v>0</v>
      </c>
      <c r="N785" s="166">
        <f t="shared" ref="N785:N833" si="43">+I785-J785-K785-L785+M785</f>
        <v>25470424.359999999</v>
      </c>
      <c r="O785" s="36"/>
      <c r="P785" s="36"/>
    </row>
    <row r="786" spans="1:16" ht="60" x14ac:dyDescent="0.25">
      <c r="A786" s="73" t="s">
        <v>381</v>
      </c>
      <c r="B786" s="83">
        <v>59312287</v>
      </c>
      <c r="C786" s="74" t="s">
        <v>172</v>
      </c>
      <c r="D786" s="83" t="s">
        <v>171</v>
      </c>
      <c r="E786" s="75" t="s">
        <v>394</v>
      </c>
      <c r="F786" s="76" t="s">
        <v>1336</v>
      </c>
      <c r="G786" s="83">
        <v>300520</v>
      </c>
      <c r="H786" s="72">
        <v>45832</v>
      </c>
      <c r="I786" s="166">
        <v>0</v>
      </c>
      <c r="J786" s="166">
        <v>-376389068</v>
      </c>
      <c r="K786" s="166">
        <v>0</v>
      </c>
      <c r="L786" s="166">
        <v>0</v>
      </c>
      <c r="M786" s="185">
        <v>0</v>
      </c>
      <c r="N786" s="166">
        <f t="shared" si="43"/>
        <v>376389068</v>
      </c>
      <c r="O786" s="36"/>
      <c r="P786" s="36"/>
    </row>
    <row r="787" spans="1:16" ht="195" x14ac:dyDescent="0.25">
      <c r="A787" s="73" t="s">
        <v>23</v>
      </c>
      <c r="B787" s="83">
        <v>901840865</v>
      </c>
      <c r="C787" s="74" t="s">
        <v>501</v>
      </c>
      <c r="D787" s="83" t="s">
        <v>500</v>
      </c>
      <c r="E787" s="75" t="s">
        <v>394</v>
      </c>
      <c r="F787" s="76" t="s">
        <v>1337</v>
      </c>
      <c r="G787" s="83">
        <v>301103</v>
      </c>
      <c r="H787" s="72">
        <v>45832</v>
      </c>
      <c r="I787" s="166">
        <v>25090183.650000002</v>
      </c>
      <c r="J787" s="166">
        <v>2509018.37</v>
      </c>
      <c r="K787" s="166">
        <v>1475893.16</v>
      </c>
      <c r="L787" s="166"/>
      <c r="M787" s="185">
        <v>0</v>
      </c>
      <c r="N787" s="166">
        <f t="shared" si="43"/>
        <v>21105272.120000001</v>
      </c>
      <c r="O787" s="36"/>
      <c r="P787" s="36"/>
    </row>
    <row r="788" spans="1:16" ht="60" x14ac:dyDescent="0.25">
      <c r="A788" s="73" t="s">
        <v>23</v>
      </c>
      <c r="B788" s="83">
        <v>901787725</v>
      </c>
      <c r="C788" s="74" t="s">
        <v>153</v>
      </c>
      <c r="D788" s="83" t="s">
        <v>152</v>
      </c>
      <c r="E788" s="75" t="s">
        <v>394</v>
      </c>
      <c r="F788" s="76" t="s">
        <v>1338</v>
      </c>
      <c r="G788" s="83">
        <v>300345</v>
      </c>
      <c r="H788" s="72">
        <v>45826</v>
      </c>
      <c r="I788" s="166">
        <v>0</v>
      </c>
      <c r="J788" s="166">
        <v>-524338743.30000001</v>
      </c>
      <c r="K788" s="166">
        <v>0</v>
      </c>
      <c r="L788" s="166">
        <v>0</v>
      </c>
      <c r="M788" s="185">
        <v>0</v>
      </c>
      <c r="N788" s="166">
        <f t="shared" si="43"/>
        <v>524338743.30000001</v>
      </c>
      <c r="O788" s="36"/>
      <c r="P788" s="36"/>
    </row>
    <row r="789" spans="1:16" ht="13.7" customHeight="1" x14ac:dyDescent="0.25">
      <c r="A789" s="73" t="s">
        <v>23</v>
      </c>
      <c r="B789" s="83">
        <v>901841741</v>
      </c>
      <c r="C789" s="74" t="s">
        <v>495</v>
      </c>
      <c r="D789" s="83" t="s">
        <v>494</v>
      </c>
      <c r="E789" s="75" t="s">
        <v>394</v>
      </c>
      <c r="F789" s="76" t="s">
        <v>1339</v>
      </c>
      <c r="G789" s="83">
        <v>301206</v>
      </c>
      <c r="H789" s="72">
        <v>45833</v>
      </c>
      <c r="I789" s="166">
        <v>24870427.34</v>
      </c>
      <c r="J789" s="166">
        <v>2487042.73</v>
      </c>
      <c r="K789" s="166">
        <v>653799.1</v>
      </c>
      <c r="L789" s="166">
        <v>0</v>
      </c>
      <c r="M789" s="185">
        <v>0</v>
      </c>
      <c r="N789" s="166">
        <f t="shared" si="43"/>
        <v>21729585.509999998</v>
      </c>
      <c r="O789" s="36"/>
      <c r="P789" s="36"/>
    </row>
    <row r="790" spans="1:16" ht="13.7" customHeight="1" x14ac:dyDescent="0.25">
      <c r="A790" s="73" t="s">
        <v>23</v>
      </c>
      <c r="B790" s="83">
        <v>901842060</v>
      </c>
      <c r="C790" s="74" t="s">
        <v>493</v>
      </c>
      <c r="D790" s="83" t="s">
        <v>492</v>
      </c>
      <c r="E790" s="75" t="s">
        <v>394</v>
      </c>
      <c r="F790" s="76" t="s">
        <v>1340</v>
      </c>
      <c r="G790" s="83">
        <v>301207</v>
      </c>
      <c r="H790" s="72">
        <v>45833</v>
      </c>
      <c r="I790" s="166">
        <v>123925836.31</v>
      </c>
      <c r="J790" s="166">
        <v>12392583.630000001</v>
      </c>
      <c r="K790" s="166">
        <v>10650125.35</v>
      </c>
      <c r="L790" s="166">
        <v>0</v>
      </c>
      <c r="M790" s="185">
        <v>0</v>
      </c>
      <c r="N790" s="166">
        <f t="shared" si="43"/>
        <v>100883127.33000001</v>
      </c>
      <c r="O790" s="36"/>
      <c r="P790" s="36"/>
    </row>
    <row r="791" spans="1:16" ht="13.7" customHeight="1" x14ac:dyDescent="0.25">
      <c r="A791" s="73" t="s">
        <v>23</v>
      </c>
      <c r="B791" s="83">
        <v>901867911</v>
      </c>
      <c r="C791" s="74" t="s">
        <v>687</v>
      </c>
      <c r="D791" s="83" t="s">
        <v>686</v>
      </c>
      <c r="E791" s="75" t="s">
        <v>394</v>
      </c>
      <c r="F791" s="76" t="s">
        <v>1341</v>
      </c>
      <c r="G791" s="83">
        <v>301457</v>
      </c>
      <c r="H791" s="72">
        <v>45833</v>
      </c>
      <c r="I791" s="166">
        <v>76817176</v>
      </c>
      <c r="J791" s="166">
        <v>7681718</v>
      </c>
      <c r="K791" s="166">
        <v>6331116.7699999996</v>
      </c>
      <c r="L791" s="166">
        <v>0</v>
      </c>
      <c r="M791" s="185">
        <v>0</v>
      </c>
      <c r="N791" s="166">
        <f t="shared" si="43"/>
        <v>62804341.230000004</v>
      </c>
      <c r="O791" s="36"/>
      <c r="P791" s="36"/>
    </row>
    <row r="792" spans="1:16" ht="13.7" customHeight="1" x14ac:dyDescent="0.25">
      <c r="A792" s="73" t="s">
        <v>23</v>
      </c>
      <c r="B792" s="83">
        <v>901870297</v>
      </c>
      <c r="C792" s="74" t="s">
        <v>688</v>
      </c>
      <c r="D792" s="83" t="s">
        <v>689</v>
      </c>
      <c r="E792" s="75" t="s">
        <v>394</v>
      </c>
      <c r="F792" s="76" t="s">
        <v>1342</v>
      </c>
      <c r="G792" s="83">
        <v>301105</v>
      </c>
      <c r="H792" s="72">
        <v>45833</v>
      </c>
      <c r="I792" s="166">
        <v>19629168</v>
      </c>
      <c r="J792" s="166">
        <v>1962917</v>
      </c>
      <c r="K792" s="166">
        <v>1220637.3399999999</v>
      </c>
      <c r="L792" s="166">
        <v>0</v>
      </c>
      <c r="M792" s="185">
        <v>0</v>
      </c>
      <c r="N792" s="166">
        <f t="shared" si="43"/>
        <v>16445613.66</v>
      </c>
      <c r="O792" s="36"/>
      <c r="P792" s="36"/>
    </row>
    <row r="793" spans="1:16" ht="13.7" customHeight="1" x14ac:dyDescent="0.25">
      <c r="A793" s="73" t="s">
        <v>23</v>
      </c>
      <c r="B793" s="83">
        <v>901785672</v>
      </c>
      <c r="C793" s="74" t="s">
        <v>175</v>
      </c>
      <c r="D793" s="83" t="s">
        <v>847</v>
      </c>
      <c r="E793" s="75" t="s">
        <v>394</v>
      </c>
      <c r="F793" s="76" t="s">
        <v>1343</v>
      </c>
      <c r="G793" s="83">
        <v>301106</v>
      </c>
      <c r="H793" s="72">
        <v>45828</v>
      </c>
      <c r="I793" s="166">
        <v>52006902.950000003</v>
      </c>
      <c r="J793" s="166">
        <v>5200690.3</v>
      </c>
      <c r="K793" s="166">
        <v>3146636.15</v>
      </c>
      <c r="L793" s="166">
        <v>0</v>
      </c>
      <c r="M793" s="185">
        <v>0</v>
      </c>
      <c r="N793" s="166">
        <f t="shared" si="43"/>
        <v>43659576.500000007</v>
      </c>
      <c r="O793" s="36"/>
      <c r="P793" s="36"/>
    </row>
    <row r="794" spans="1:16" ht="13.7" customHeight="1" x14ac:dyDescent="0.25">
      <c r="A794" s="73" t="s">
        <v>23</v>
      </c>
      <c r="B794" s="83">
        <v>901835722</v>
      </c>
      <c r="C794" s="74" t="s">
        <v>459</v>
      </c>
      <c r="D794" s="83" t="s">
        <v>458</v>
      </c>
      <c r="E794" s="75" t="s">
        <v>394</v>
      </c>
      <c r="F794" s="76" t="s">
        <v>1344</v>
      </c>
      <c r="G794" s="83">
        <v>301108</v>
      </c>
      <c r="H794" s="72">
        <v>45833</v>
      </c>
      <c r="I794" s="166">
        <v>611494982.39999998</v>
      </c>
      <c r="J794" s="166">
        <v>61149498.240000002</v>
      </c>
      <c r="K794" s="166">
        <v>49366746.799999997</v>
      </c>
      <c r="L794" s="166">
        <v>0</v>
      </c>
      <c r="M794" s="185">
        <v>0</v>
      </c>
      <c r="N794" s="166">
        <f t="shared" si="43"/>
        <v>500978737.35999995</v>
      </c>
      <c r="O794" s="36"/>
      <c r="P794" s="36"/>
    </row>
    <row r="795" spans="1:16" ht="13.7" customHeight="1" x14ac:dyDescent="0.25">
      <c r="A795" s="73" t="s">
        <v>23</v>
      </c>
      <c r="B795" s="83">
        <v>901894201</v>
      </c>
      <c r="C795" s="74" t="s">
        <v>845</v>
      </c>
      <c r="D795" s="83" t="s">
        <v>846</v>
      </c>
      <c r="E795" s="75" t="s">
        <v>394</v>
      </c>
      <c r="F795" s="76" t="s">
        <v>1345</v>
      </c>
      <c r="G795" s="83">
        <v>301109</v>
      </c>
      <c r="H795" s="72">
        <v>45833</v>
      </c>
      <c r="I795" s="166">
        <v>303278000</v>
      </c>
      <c r="J795" s="166">
        <v>30327800</v>
      </c>
      <c r="K795" s="166">
        <v>25001275.689999998</v>
      </c>
      <c r="L795" s="166">
        <v>40160893.5</v>
      </c>
      <c r="M795" s="185">
        <v>0</v>
      </c>
      <c r="N795" s="166">
        <f t="shared" si="43"/>
        <v>207788030.81</v>
      </c>
      <c r="O795" s="36"/>
      <c r="P795" s="36"/>
    </row>
    <row r="796" spans="1:16" ht="13.7" customHeight="1" x14ac:dyDescent="0.25">
      <c r="A796" s="73" t="s">
        <v>23</v>
      </c>
      <c r="B796" s="83">
        <v>901919715</v>
      </c>
      <c r="C796" s="74" t="s">
        <v>1215</v>
      </c>
      <c r="D796" s="83" t="s">
        <v>221</v>
      </c>
      <c r="E796" s="75" t="s">
        <v>394</v>
      </c>
      <c r="F796" s="76" t="s">
        <v>1346</v>
      </c>
      <c r="G796" s="83">
        <v>301208</v>
      </c>
      <c r="H796" s="72">
        <v>45833</v>
      </c>
      <c r="I796" s="166">
        <v>48720000</v>
      </c>
      <c r="J796" s="166">
        <v>4872000</v>
      </c>
      <c r="K796" s="166">
        <v>2988705.88</v>
      </c>
      <c r="L796" s="166">
        <v>0</v>
      </c>
      <c r="M796" s="185">
        <v>0</v>
      </c>
      <c r="N796" s="166">
        <f t="shared" si="43"/>
        <v>40859294.119999997</v>
      </c>
      <c r="O796" s="36"/>
      <c r="P796" s="36"/>
    </row>
    <row r="797" spans="1:16" ht="13.7" customHeight="1" x14ac:dyDescent="0.25">
      <c r="A797" s="73" t="s">
        <v>23</v>
      </c>
      <c r="B797" s="83">
        <v>901804711</v>
      </c>
      <c r="C797" s="74" t="s">
        <v>250</v>
      </c>
      <c r="D797" s="83" t="s">
        <v>249</v>
      </c>
      <c r="E797" s="75" t="s">
        <v>394</v>
      </c>
      <c r="F797" s="76" t="s">
        <v>1347</v>
      </c>
      <c r="G797" s="83">
        <v>301110</v>
      </c>
      <c r="H797" s="72">
        <v>45828</v>
      </c>
      <c r="I797" s="166">
        <v>4143995.7</v>
      </c>
      <c r="J797" s="166">
        <v>414399.57000000007</v>
      </c>
      <c r="K797" s="166">
        <v>261176.19999999998</v>
      </c>
      <c r="L797" s="166"/>
      <c r="M797" s="185">
        <v>0</v>
      </c>
      <c r="N797" s="166">
        <f t="shared" si="43"/>
        <v>3468419.9299999997</v>
      </c>
      <c r="O797" s="36"/>
      <c r="P797" s="36"/>
    </row>
    <row r="798" spans="1:16" ht="13.7" customHeight="1" x14ac:dyDescent="0.25">
      <c r="A798" s="73" t="s">
        <v>23</v>
      </c>
      <c r="B798" s="83">
        <v>900749719</v>
      </c>
      <c r="C798" s="74" t="s">
        <v>463</v>
      </c>
      <c r="D798" s="83" t="s">
        <v>462</v>
      </c>
      <c r="E798" s="75" t="s">
        <v>394</v>
      </c>
      <c r="F798" s="76" t="s">
        <v>1348</v>
      </c>
      <c r="G798" s="83">
        <v>301111</v>
      </c>
      <c r="H798" s="72">
        <v>45828</v>
      </c>
      <c r="I798" s="166">
        <v>647503886.98000002</v>
      </c>
      <c r="J798" s="166">
        <v>64750388.700000003</v>
      </c>
      <c r="K798" s="166">
        <v>55884689.810000002</v>
      </c>
      <c r="L798" s="166">
        <v>0</v>
      </c>
      <c r="M798" s="185">
        <v>0</v>
      </c>
      <c r="N798" s="166">
        <f t="shared" si="43"/>
        <v>526868808.46999997</v>
      </c>
      <c r="O798" s="36"/>
      <c r="P798" s="36"/>
    </row>
    <row r="799" spans="1:16" ht="13.7" customHeight="1" x14ac:dyDescent="0.25">
      <c r="A799" s="73" t="s">
        <v>23</v>
      </c>
      <c r="B799" s="83">
        <v>901841724</v>
      </c>
      <c r="C799" s="74" t="s">
        <v>497</v>
      </c>
      <c r="D799" s="83" t="s">
        <v>496</v>
      </c>
      <c r="E799" s="75" t="s">
        <v>394</v>
      </c>
      <c r="F799" s="76" t="s">
        <v>1349</v>
      </c>
      <c r="G799" s="83">
        <v>301112</v>
      </c>
      <c r="H799" s="72">
        <v>45828</v>
      </c>
      <c r="I799" s="166">
        <v>42453050.329999998</v>
      </c>
      <c r="J799" s="166">
        <v>4245305.03</v>
      </c>
      <c r="K799" s="166">
        <v>1204572.42</v>
      </c>
      <c r="L799" s="166">
        <v>0</v>
      </c>
      <c r="M799" s="185">
        <v>0</v>
      </c>
      <c r="N799" s="166">
        <f t="shared" si="43"/>
        <v>37003172.879999995</v>
      </c>
      <c r="O799" s="36"/>
      <c r="P799" s="36"/>
    </row>
    <row r="800" spans="1:16" ht="13.7" customHeight="1" x14ac:dyDescent="0.25">
      <c r="A800" s="73" t="s">
        <v>23</v>
      </c>
      <c r="B800" s="83">
        <v>900206662</v>
      </c>
      <c r="C800" s="74" t="s">
        <v>699</v>
      </c>
      <c r="D800" s="83" t="s">
        <v>247</v>
      </c>
      <c r="E800" s="75" t="s">
        <v>394</v>
      </c>
      <c r="F800" s="76" t="s">
        <v>1350</v>
      </c>
      <c r="G800" s="83">
        <v>301113</v>
      </c>
      <c r="H800" s="72">
        <v>45832</v>
      </c>
      <c r="I800" s="166">
        <v>358765850.75999999</v>
      </c>
      <c r="J800" s="166">
        <v>35876585.079999998</v>
      </c>
      <c r="K800" s="166">
        <f>35604901.1+32531977.61</f>
        <v>68136878.710000008</v>
      </c>
      <c r="L800" s="166">
        <v>0</v>
      </c>
      <c r="M800" s="185">
        <v>0</v>
      </c>
      <c r="N800" s="166">
        <f t="shared" si="43"/>
        <v>254752386.97</v>
      </c>
      <c r="O800" s="36"/>
      <c r="P800" s="36"/>
    </row>
    <row r="801" spans="1:16" ht="13.7" customHeight="1" x14ac:dyDescent="0.25">
      <c r="A801" s="73" t="s">
        <v>23</v>
      </c>
      <c r="B801" s="83">
        <v>901794652</v>
      </c>
      <c r="C801" s="74" t="s">
        <v>191</v>
      </c>
      <c r="D801" s="83" t="s">
        <v>190</v>
      </c>
      <c r="E801" s="75" t="s">
        <v>394</v>
      </c>
      <c r="F801" s="76" t="s">
        <v>1351</v>
      </c>
      <c r="G801" s="83">
        <v>301415</v>
      </c>
      <c r="H801" s="72">
        <v>45833</v>
      </c>
      <c r="I801" s="166">
        <v>0</v>
      </c>
      <c r="J801" s="166">
        <v>-594884167.53999996</v>
      </c>
      <c r="K801" s="166">
        <v>0</v>
      </c>
      <c r="L801" s="166"/>
      <c r="M801" s="185">
        <v>0</v>
      </c>
      <c r="N801" s="166">
        <f t="shared" si="43"/>
        <v>594884167.53999996</v>
      </c>
      <c r="O801" s="36"/>
      <c r="P801" s="36"/>
    </row>
    <row r="802" spans="1:16" ht="13.7" customHeight="1" x14ac:dyDescent="0.25">
      <c r="A802" s="73" t="s">
        <v>23</v>
      </c>
      <c r="B802" s="83">
        <v>901829333</v>
      </c>
      <c r="C802" s="74" t="s">
        <v>1221</v>
      </c>
      <c r="D802" s="83" t="s">
        <v>434</v>
      </c>
      <c r="E802" s="75" t="s">
        <v>394</v>
      </c>
      <c r="F802" s="76" t="s">
        <v>1352</v>
      </c>
      <c r="G802" s="83">
        <v>301117</v>
      </c>
      <c r="H802" s="72">
        <v>45828</v>
      </c>
      <c r="I802" s="166">
        <v>129549914.38</v>
      </c>
      <c r="J802" s="166">
        <v>12954991.439999999</v>
      </c>
      <c r="K802" s="166">
        <v>11830864.84</v>
      </c>
      <c r="L802" s="166">
        <v>0</v>
      </c>
      <c r="M802" s="185">
        <v>0</v>
      </c>
      <c r="N802" s="166">
        <f t="shared" si="43"/>
        <v>104764058.09999999</v>
      </c>
      <c r="O802" s="36"/>
      <c r="P802" s="36"/>
    </row>
    <row r="803" spans="1:16" ht="13.7" customHeight="1" x14ac:dyDescent="0.25">
      <c r="A803" s="73" t="s">
        <v>23</v>
      </c>
      <c r="B803" s="83">
        <v>901830037</v>
      </c>
      <c r="C803" s="74" t="s">
        <v>437</v>
      </c>
      <c r="D803" s="83" t="s">
        <v>436</v>
      </c>
      <c r="E803" s="75" t="s">
        <v>394</v>
      </c>
      <c r="F803" s="76" t="s">
        <v>1353</v>
      </c>
      <c r="G803" s="83">
        <v>301209</v>
      </c>
      <c r="H803" s="72">
        <v>45833</v>
      </c>
      <c r="I803" s="166">
        <v>21603941.59</v>
      </c>
      <c r="J803" s="166">
        <v>2160394.16</v>
      </c>
      <c r="K803" s="166">
        <v>1392455.7300000002</v>
      </c>
      <c r="L803" s="166">
        <v>0</v>
      </c>
      <c r="M803" s="185">
        <v>0</v>
      </c>
      <c r="N803" s="166">
        <f t="shared" si="43"/>
        <v>18051091.699999999</v>
      </c>
      <c r="O803" s="36"/>
      <c r="P803" s="36"/>
    </row>
    <row r="804" spans="1:16" ht="13.7" customHeight="1" x14ac:dyDescent="0.25">
      <c r="A804" s="73" t="s">
        <v>23</v>
      </c>
      <c r="B804" s="83">
        <v>901831256</v>
      </c>
      <c r="C804" s="74" t="s">
        <v>485</v>
      </c>
      <c r="D804" s="83" t="s">
        <v>484</v>
      </c>
      <c r="E804" s="75" t="s">
        <v>394</v>
      </c>
      <c r="F804" s="76" t="s">
        <v>1354</v>
      </c>
      <c r="G804" s="83">
        <v>301118</v>
      </c>
      <c r="H804" s="72">
        <v>45832</v>
      </c>
      <c r="I804" s="166">
        <v>63288546</v>
      </c>
      <c r="J804" s="166">
        <v>6328854.5999999996</v>
      </c>
      <c r="K804" s="166">
        <v>3988773.91</v>
      </c>
      <c r="L804" s="166">
        <v>0</v>
      </c>
      <c r="M804" s="185">
        <v>0</v>
      </c>
      <c r="N804" s="166">
        <f t="shared" si="43"/>
        <v>52970917.489999995</v>
      </c>
      <c r="O804" s="36"/>
      <c r="P804" s="36"/>
    </row>
    <row r="805" spans="1:16" ht="13.7" customHeight="1" x14ac:dyDescent="0.25">
      <c r="A805" s="73" t="s">
        <v>23</v>
      </c>
      <c r="B805" s="83">
        <v>900206662</v>
      </c>
      <c r="C805" s="74" t="s">
        <v>699</v>
      </c>
      <c r="D805" s="83" t="s">
        <v>247</v>
      </c>
      <c r="E805" s="75" t="s">
        <v>394</v>
      </c>
      <c r="F805" s="76" t="s">
        <v>1355</v>
      </c>
      <c r="G805" s="83">
        <v>301431</v>
      </c>
      <c r="H805" s="72">
        <v>45834</v>
      </c>
      <c r="I805" s="166">
        <v>488010419.44999999</v>
      </c>
      <c r="J805" s="166">
        <v>48801041.939999998</v>
      </c>
      <c r="K805" s="166">
        <v>16403711.57</v>
      </c>
      <c r="L805" s="166">
        <v>0</v>
      </c>
      <c r="M805" s="185">
        <v>0</v>
      </c>
      <c r="N805" s="166">
        <f t="shared" si="43"/>
        <v>422805665.94</v>
      </c>
      <c r="O805" s="36"/>
      <c r="P805" s="36"/>
    </row>
    <row r="806" spans="1:16" ht="13.7" customHeight="1" x14ac:dyDescent="0.25">
      <c r="A806" s="73" t="s">
        <v>381</v>
      </c>
      <c r="B806" s="83">
        <v>12754374</v>
      </c>
      <c r="C806" s="74" t="s">
        <v>269</v>
      </c>
      <c r="D806" s="83" t="s">
        <v>268</v>
      </c>
      <c r="E806" s="75" t="s">
        <v>394</v>
      </c>
      <c r="F806" s="76" t="s">
        <v>1356</v>
      </c>
      <c r="G806" s="83">
        <v>300352</v>
      </c>
      <c r="H806" s="72">
        <v>45828</v>
      </c>
      <c r="I806" s="166">
        <v>106189790.14999999</v>
      </c>
      <c r="J806" s="166">
        <v>10618979.02</v>
      </c>
      <c r="K806" s="166">
        <v>9175000.7399999984</v>
      </c>
      <c r="L806" s="166">
        <v>0</v>
      </c>
      <c r="M806" s="185">
        <v>0</v>
      </c>
      <c r="N806" s="166">
        <f t="shared" si="43"/>
        <v>86395810.390000001</v>
      </c>
      <c r="O806" s="36"/>
      <c r="P806" s="36"/>
    </row>
    <row r="807" spans="1:16" ht="13.7" customHeight="1" x14ac:dyDescent="0.25">
      <c r="A807" s="73" t="s">
        <v>23</v>
      </c>
      <c r="B807" s="83">
        <v>900591185</v>
      </c>
      <c r="C807" s="74" t="s">
        <v>695</v>
      </c>
      <c r="D807" s="83" t="s">
        <v>694</v>
      </c>
      <c r="E807" s="75" t="s">
        <v>394</v>
      </c>
      <c r="F807" s="76" t="s">
        <v>1357</v>
      </c>
      <c r="G807" s="83">
        <v>301210</v>
      </c>
      <c r="H807" s="72">
        <v>45833</v>
      </c>
      <c r="I807" s="166">
        <v>110000000</v>
      </c>
      <c r="J807" s="166">
        <v>11000000</v>
      </c>
      <c r="K807" s="166">
        <v>9191012.0799999982</v>
      </c>
      <c r="L807" s="166">
        <v>0</v>
      </c>
      <c r="M807" s="185">
        <v>0</v>
      </c>
      <c r="N807" s="166">
        <f t="shared" si="43"/>
        <v>89808987.920000002</v>
      </c>
      <c r="O807" s="36"/>
      <c r="P807" s="36"/>
    </row>
    <row r="808" spans="1:16" ht="13.7" customHeight="1" x14ac:dyDescent="0.25">
      <c r="A808" s="73" t="s">
        <v>23</v>
      </c>
      <c r="B808" s="83">
        <v>901896417</v>
      </c>
      <c r="C808" s="74" t="s">
        <v>930</v>
      </c>
      <c r="D808" s="83" t="s">
        <v>929</v>
      </c>
      <c r="E808" s="75" t="s">
        <v>394</v>
      </c>
      <c r="F808" s="76" t="s">
        <v>1358</v>
      </c>
      <c r="G808" s="83">
        <v>301120</v>
      </c>
      <c r="H808" s="72">
        <v>45828</v>
      </c>
      <c r="I808" s="166">
        <v>53029857.700000003</v>
      </c>
      <c r="J808" s="166">
        <v>5302985.7699999996</v>
      </c>
      <c r="K808" s="166">
        <v>3306905.2099999995</v>
      </c>
      <c r="L808" s="166"/>
      <c r="M808" s="185">
        <v>0</v>
      </c>
      <c r="N808" s="166">
        <f t="shared" si="43"/>
        <v>44419966.720000006</v>
      </c>
      <c r="O808" s="36"/>
      <c r="P808" s="36"/>
    </row>
    <row r="809" spans="1:16" ht="13.7" customHeight="1" x14ac:dyDescent="0.25">
      <c r="A809" s="73" t="s">
        <v>23</v>
      </c>
      <c r="B809" s="83">
        <v>901803620</v>
      </c>
      <c r="C809" s="74" t="s">
        <v>285</v>
      </c>
      <c r="D809" s="83" t="s">
        <v>284</v>
      </c>
      <c r="E809" s="75" t="s">
        <v>394</v>
      </c>
      <c r="F809" s="76" t="s">
        <v>1359</v>
      </c>
      <c r="G809" s="83">
        <v>300522</v>
      </c>
      <c r="H809" s="72">
        <v>45832</v>
      </c>
      <c r="I809" s="166">
        <v>863102829.93999994</v>
      </c>
      <c r="J809" s="166">
        <v>86310282.989999995</v>
      </c>
      <c r="K809" s="166">
        <v>84266692.719999999</v>
      </c>
      <c r="L809" s="166">
        <v>0</v>
      </c>
      <c r="M809" s="185">
        <v>0</v>
      </c>
      <c r="N809" s="166">
        <f t="shared" si="43"/>
        <v>692525854.2299999</v>
      </c>
      <c r="O809" s="36"/>
      <c r="P809" s="36"/>
    </row>
    <row r="810" spans="1:16" ht="13.7" customHeight="1" x14ac:dyDescent="0.25">
      <c r="A810" s="73" t="s">
        <v>381</v>
      </c>
      <c r="B810" s="83">
        <v>9050725</v>
      </c>
      <c r="C810" s="74" t="s">
        <v>288</v>
      </c>
      <c r="D810" s="83" t="s">
        <v>287</v>
      </c>
      <c r="E810" s="75" t="s">
        <v>394</v>
      </c>
      <c r="F810" s="76" t="s">
        <v>1360</v>
      </c>
      <c r="G810" s="83">
        <v>301803</v>
      </c>
      <c r="H810" s="72">
        <v>45833</v>
      </c>
      <c r="I810" s="166">
        <v>36817723.68</v>
      </c>
      <c r="J810" s="166">
        <v>3681772.37</v>
      </c>
      <c r="K810" s="166">
        <v>2241364.41</v>
      </c>
      <c r="L810" s="166">
        <v>0</v>
      </c>
      <c r="M810" s="185">
        <v>0</v>
      </c>
      <c r="N810" s="166">
        <f t="shared" si="43"/>
        <v>30894586.899999999</v>
      </c>
      <c r="O810" s="36"/>
      <c r="P810" s="36"/>
    </row>
    <row r="811" spans="1:16" ht="13.7" customHeight="1" x14ac:dyDescent="0.25">
      <c r="A811" s="73" t="s">
        <v>23</v>
      </c>
      <c r="B811" s="83">
        <v>802008390</v>
      </c>
      <c r="C811" s="74" t="s">
        <v>692</v>
      </c>
      <c r="D811" s="83" t="s">
        <v>693</v>
      </c>
      <c r="E811" s="75" t="s">
        <v>394</v>
      </c>
      <c r="F811" s="76" t="s">
        <v>1361</v>
      </c>
      <c r="G811" s="83">
        <v>301122</v>
      </c>
      <c r="H811" s="72">
        <v>45832</v>
      </c>
      <c r="I811" s="166">
        <v>30918796.560000002</v>
      </c>
      <c r="J811" s="166">
        <v>3091879.66</v>
      </c>
      <c r="K811" s="166">
        <v>1924274.2599999998</v>
      </c>
      <c r="L811" s="166">
        <v>0</v>
      </c>
      <c r="M811" s="185">
        <v>0</v>
      </c>
      <c r="N811" s="166">
        <f t="shared" si="43"/>
        <v>25902642.640000001</v>
      </c>
      <c r="O811" s="36"/>
      <c r="P811" s="36"/>
    </row>
    <row r="812" spans="1:16" ht="13.7" customHeight="1" x14ac:dyDescent="0.25">
      <c r="A812" s="73" t="s">
        <v>23</v>
      </c>
      <c r="B812" s="83">
        <v>901871898</v>
      </c>
      <c r="C812" s="74" t="s">
        <v>614</v>
      </c>
      <c r="D812" s="83" t="s">
        <v>613</v>
      </c>
      <c r="E812" s="75" t="s">
        <v>394</v>
      </c>
      <c r="F812" s="76" t="s">
        <v>1362</v>
      </c>
      <c r="G812" s="83">
        <v>301123</v>
      </c>
      <c r="H812" s="72">
        <v>45833</v>
      </c>
      <c r="I812" s="166">
        <v>41970186.219999999</v>
      </c>
      <c r="J812" s="166">
        <v>4197018.62</v>
      </c>
      <c r="K812" s="166">
        <v>1213255.81</v>
      </c>
      <c r="L812" s="166">
        <v>0</v>
      </c>
      <c r="M812" s="185">
        <v>0</v>
      </c>
      <c r="N812" s="166">
        <f t="shared" si="43"/>
        <v>36559911.789999999</v>
      </c>
      <c r="O812" s="36"/>
      <c r="P812" s="36"/>
    </row>
    <row r="813" spans="1:16" ht="13.7" customHeight="1" x14ac:dyDescent="0.25">
      <c r="A813" s="73" t="s">
        <v>23</v>
      </c>
      <c r="B813" s="83">
        <v>901895097</v>
      </c>
      <c r="C813" s="74" t="s">
        <v>932</v>
      </c>
      <c r="D813" s="83" t="s">
        <v>931</v>
      </c>
      <c r="E813" s="75" t="s">
        <v>394</v>
      </c>
      <c r="F813" s="76" t="s">
        <v>1363</v>
      </c>
      <c r="G813" s="83">
        <v>301124</v>
      </c>
      <c r="H813" s="72">
        <v>45833</v>
      </c>
      <c r="I813" s="166">
        <v>223591430</v>
      </c>
      <c r="J813" s="166">
        <v>22359143</v>
      </c>
      <c r="K813" s="166">
        <v>18785923.609999999</v>
      </c>
      <c r="L813" s="166">
        <v>0</v>
      </c>
      <c r="M813" s="185">
        <v>0</v>
      </c>
      <c r="N813" s="166">
        <f t="shared" si="43"/>
        <v>182446363.38999999</v>
      </c>
      <c r="O813" s="36"/>
      <c r="P813" s="36"/>
    </row>
    <row r="814" spans="1:16" ht="13.7" customHeight="1" x14ac:dyDescent="0.25">
      <c r="A814" s="73" t="s">
        <v>23</v>
      </c>
      <c r="B814" s="83">
        <v>901808735</v>
      </c>
      <c r="C814" s="74" t="s">
        <v>272</v>
      </c>
      <c r="D814" s="83" t="s">
        <v>271</v>
      </c>
      <c r="E814" s="75" t="s">
        <v>394</v>
      </c>
      <c r="F814" s="76" t="s">
        <v>1364</v>
      </c>
      <c r="G814" s="83">
        <v>300348</v>
      </c>
      <c r="H814" s="72">
        <v>45827</v>
      </c>
      <c r="I814" s="166">
        <v>23346544.780000001</v>
      </c>
      <c r="J814" s="166">
        <v>2334654.48</v>
      </c>
      <c r="K814" s="166">
        <v>1411272.38</v>
      </c>
      <c r="L814" s="166">
        <v>0</v>
      </c>
      <c r="M814" s="185">
        <v>0</v>
      </c>
      <c r="N814" s="166">
        <f t="shared" si="43"/>
        <v>19600617.920000002</v>
      </c>
      <c r="O814" s="36"/>
      <c r="P814" s="36"/>
    </row>
    <row r="815" spans="1:16" ht="13.7" customHeight="1" x14ac:dyDescent="0.25">
      <c r="A815" s="73" t="s">
        <v>381</v>
      </c>
      <c r="B815" s="83">
        <v>12979612</v>
      </c>
      <c r="C815" s="74" t="s">
        <v>491</v>
      </c>
      <c r="D815" s="83" t="s">
        <v>490</v>
      </c>
      <c r="E815" s="75" t="s">
        <v>394</v>
      </c>
      <c r="F815" s="76" t="s">
        <v>1365</v>
      </c>
      <c r="G815" s="83">
        <v>302024</v>
      </c>
      <c r="H815" s="72">
        <v>45833</v>
      </c>
      <c r="I815" s="166">
        <v>125746085.7</v>
      </c>
      <c r="J815" s="166">
        <v>12574608.57</v>
      </c>
      <c r="K815" s="166">
        <v>7894982.3499999996</v>
      </c>
      <c r="L815" s="166">
        <v>0</v>
      </c>
      <c r="M815" s="185">
        <v>0</v>
      </c>
      <c r="N815" s="166">
        <f t="shared" si="43"/>
        <v>105276494.78</v>
      </c>
      <c r="O815" s="36"/>
      <c r="P815" s="36"/>
    </row>
    <row r="816" spans="1:16" ht="13.7" customHeight="1" x14ac:dyDescent="0.25">
      <c r="A816" s="73" t="s">
        <v>23</v>
      </c>
      <c r="B816" s="83">
        <v>901843292</v>
      </c>
      <c r="C816" s="74" t="s">
        <v>487</v>
      </c>
      <c r="D816" s="83" t="s">
        <v>486</v>
      </c>
      <c r="E816" s="75" t="s">
        <v>394</v>
      </c>
      <c r="F816" s="76" t="s">
        <v>1366</v>
      </c>
      <c r="G816" s="83">
        <v>301418</v>
      </c>
      <c r="H816" s="72">
        <v>45833</v>
      </c>
      <c r="I816" s="166">
        <v>334193686.20000005</v>
      </c>
      <c r="J816" s="166">
        <v>33419368.620000001</v>
      </c>
      <c r="K816" s="166">
        <v>35104378.799999997</v>
      </c>
      <c r="L816" s="166">
        <v>0</v>
      </c>
      <c r="M816" s="185">
        <v>0</v>
      </c>
      <c r="N816" s="166">
        <f t="shared" si="43"/>
        <v>265669938.78000003</v>
      </c>
      <c r="O816" s="36"/>
      <c r="P816" s="36"/>
    </row>
    <row r="817" spans="1:19" ht="13.7" customHeight="1" x14ac:dyDescent="0.25">
      <c r="A817" s="73" t="s">
        <v>23</v>
      </c>
      <c r="B817" s="83">
        <v>800253526</v>
      </c>
      <c r="C817" s="74" t="s">
        <v>1005</v>
      </c>
      <c r="D817" s="83" t="s">
        <v>60</v>
      </c>
      <c r="E817" s="75" t="s">
        <v>378</v>
      </c>
      <c r="F817" s="76" t="s">
        <v>888</v>
      </c>
      <c r="G817" s="83" t="s">
        <v>60</v>
      </c>
      <c r="H817" s="72">
        <v>45813</v>
      </c>
      <c r="I817" s="166">
        <v>43722.82</v>
      </c>
      <c r="J817" s="166"/>
      <c r="K817" s="166">
        <v>0</v>
      </c>
      <c r="L817" s="166"/>
      <c r="M817" s="185">
        <v>277.18000000000029</v>
      </c>
      <c r="N817" s="166">
        <f t="shared" si="43"/>
        <v>44000</v>
      </c>
      <c r="O817" s="36"/>
      <c r="P817" s="36"/>
      <c r="S817" s="100"/>
    </row>
    <row r="818" spans="1:19" ht="13.7" customHeight="1" x14ac:dyDescent="0.25">
      <c r="A818" s="73" t="s">
        <v>23</v>
      </c>
      <c r="B818" s="83">
        <v>800099317</v>
      </c>
      <c r="C818" s="74" t="s">
        <v>850</v>
      </c>
      <c r="D818" s="83" t="s">
        <v>60</v>
      </c>
      <c r="E818" s="75" t="s">
        <v>378</v>
      </c>
      <c r="F818" s="76" t="s">
        <v>888</v>
      </c>
      <c r="G818" s="83" t="s">
        <v>60</v>
      </c>
      <c r="H818" s="72">
        <v>45813</v>
      </c>
      <c r="I818" s="166">
        <v>3128280.74</v>
      </c>
      <c r="J818" s="166"/>
      <c r="K818" s="166">
        <v>0</v>
      </c>
      <c r="L818" s="166"/>
      <c r="M818" s="185">
        <v>-280.74</v>
      </c>
      <c r="N818" s="166">
        <f t="shared" si="43"/>
        <v>3128000</v>
      </c>
      <c r="O818" s="36"/>
      <c r="P818" s="36"/>
      <c r="S818" s="100"/>
    </row>
    <row r="819" spans="1:19" ht="13.7" customHeight="1" x14ac:dyDescent="0.25">
      <c r="A819" s="73" t="s">
        <v>23</v>
      </c>
      <c r="B819" s="83">
        <v>891500580</v>
      </c>
      <c r="C819" s="74" t="s">
        <v>672</v>
      </c>
      <c r="D819" s="83" t="s">
        <v>60</v>
      </c>
      <c r="E819" s="75" t="s">
        <v>378</v>
      </c>
      <c r="F819" s="76" t="s">
        <v>888</v>
      </c>
      <c r="G819" s="83" t="s">
        <v>60</v>
      </c>
      <c r="H819" s="72">
        <v>45813</v>
      </c>
      <c r="I819" s="166">
        <v>6151.22</v>
      </c>
      <c r="J819" s="166"/>
      <c r="K819" s="166">
        <v>0</v>
      </c>
      <c r="L819" s="166"/>
      <c r="M819" s="185">
        <v>-151.22</v>
      </c>
      <c r="N819" s="166">
        <f t="shared" si="43"/>
        <v>6000</v>
      </c>
      <c r="O819" s="36"/>
      <c r="P819" s="36"/>
      <c r="S819" s="100"/>
    </row>
    <row r="820" spans="1:19" ht="13.7" customHeight="1" x14ac:dyDescent="0.25">
      <c r="A820" s="73" t="s">
        <v>23</v>
      </c>
      <c r="B820" s="83">
        <v>800100519</v>
      </c>
      <c r="C820" s="74" t="s">
        <v>666</v>
      </c>
      <c r="D820" s="83" t="s">
        <v>60</v>
      </c>
      <c r="E820" s="75" t="s">
        <v>378</v>
      </c>
      <c r="F820" s="76" t="s">
        <v>888</v>
      </c>
      <c r="G820" s="83" t="s">
        <v>60</v>
      </c>
      <c r="H820" s="72">
        <v>45813</v>
      </c>
      <c r="I820" s="166">
        <v>25659.95</v>
      </c>
      <c r="J820" s="166"/>
      <c r="K820" s="166">
        <v>0</v>
      </c>
      <c r="L820" s="166"/>
      <c r="M820" s="185">
        <v>340.05</v>
      </c>
      <c r="N820" s="166">
        <f t="shared" si="43"/>
        <v>26000</v>
      </c>
      <c r="O820" s="36"/>
      <c r="P820" s="36"/>
      <c r="S820" s="100"/>
    </row>
    <row r="821" spans="1:19" ht="13.7" customHeight="1" x14ac:dyDescent="0.25">
      <c r="A821" s="73" t="s">
        <v>23</v>
      </c>
      <c r="B821" s="83">
        <v>890981106</v>
      </c>
      <c r="C821" s="74" t="s">
        <v>1002</v>
      </c>
      <c r="D821" s="83" t="s">
        <v>60</v>
      </c>
      <c r="E821" s="75" t="s">
        <v>378</v>
      </c>
      <c r="F821" s="76" t="s">
        <v>888</v>
      </c>
      <c r="G821" s="83" t="s">
        <v>60</v>
      </c>
      <c r="H821" s="72">
        <v>45814</v>
      </c>
      <c r="I821" s="166">
        <v>34978.26</v>
      </c>
      <c r="J821" s="166"/>
      <c r="K821" s="166">
        <v>0</v>
      </c>
      <c r="L821" s="166"/>
      <c r="M821" s="185">
        <v>21.74</v>
      </c>
      <c r="N821" s="166">
        <f t="shared" si="43"/>
        <v>35000</v>
      </c>
      <c r="O821" s="36"/>
      <c r="P821" s="36"/>
      <c r="S821" s="100"/>
    </row>
    <row r="822" spans="1:19" ht="13.7" customHeight="1" x14ac:dyDescent="0.25">
      <c r="A822" s="73" t="s">
        <v>23</v>
      </c>
      <c r="B822" s="83">
        <v>800095785</v>
      </c>
      <c r="C822" s="74" t="s">
        <v>1222</v>
      </c>
      <c r="D822" s="83" t="s">
        <v>60</v>
      </c>
      <c r="E822" s="75" t="s">
        <v>378</v>
      </c>
      <c r="F822" s="76" t="s">
        <v>888</v>
      </c>
      <c r="G822" s="83" t="s">
        <v>60</v>
      </c>
      <c r="H822" s="72">
        <v>45814</v>
      </c>
      <c r="I822" s="166">
        <v>25210.080000000002</v>
      </c>
      <c r="J822" s="166"/>
      <c r="K822" s="166">
        <v>0</v>
      </c>
      <c r="L822" s="166"/>
      <c r="M822" s="185">
        <v>-210.08</v>
      </c>
      <c r="N822" s="166">
        <f t="shared" si="43"/>
        <v>25000</v>
      </c>
      <c r="O822" s="36"/>
      <c r="P822" s="36"/>
      <c r="S822" s="100"/>
    </row>
    <row r="823" spans="1:19" ht="13.7" customHeight="1" x14ac:dyDescent="0.25">
      <c r="A823" s="73" t="s">
        <v>23</v>
      </c>
      <c r="B823" s="83">
        <v>800051168</v>
      </c>
      <c r="C823" s="74" t="s">
        <v>1333</v>
      </c>
      <c r="D823" s="83" t="s">
        <v>60</v>
      </c>
      <c r="E823" s="75" t="s">
        <v>378</v>
      </c>
      <c r="F823" s="76" t="s">
        <v>888</v>
      </c>
      <c r="G823" s="83" t="s">
        <v>60</v>
      </c>
      <c r="H823" s="72">
        <v>45814</v>
      </c>
      <c r="I823" s="166">
        <v>600042.19999999995</v>
      </c>
      <c r="J823" s="166"/>
      <c r="K823" s="166">
        <v>0</v>
      </c>
      <c r="L823" s="166"/>
      <c r="M823" s="185">
        <v>-42.2</v>
      </c>
      <c r="N823" s="166">
        <f t="shared" si="43"/>
        <v>600000</v>
      </c>
      <c r="O823" s="36"/>
      <c r="P823" s="36"/>
      <c r="S823" s="100"/>
    </row>
    <row r="824" spans="1:19" ht="13.7" customHeight="1" x14ac:dyDescent="0.25">
      <c r="A824" s="73" t="s">
        <v>23</v>
      </c>
      <c r="B824" s="83">
        <v>891480032</v>
      </c>
      <c r="C824" s="74" t="s">
        <v>851</v>
      </c>
      <c r="D824" s="83" t="s">
        <v>60</v>
      </c>
      <c r="E824" s="75" t="s">
        <v>378</v>
      </c>
      <c r="F824" s="76" t="s">
        <v>888</v>
      </c>
      <c r="G824" s="83" t="s">
        <v>60</v>
      </c>
      <c r="H824" s="72">
        <v>45814</v>
      </c>
      <c r="I824" s="166">
        <v>11968.55</v>
      </c>
      <c r="J824" s="166"/>
      <c r="K824" s="166">
        <v>0</v>
      </c>
      <c r="L824" s="166"/>
      <c r="M824" s="185">
        <v>31.45</v>
      </c>
      <c r="N824" s="166">
        <f t="shared" si="43"/>
        <v>12000</v>
      </c>
      <c r="O824" s="36"/>
      <c r="P824" s="36"/>
      <c r="S824" s="100"/>
    </row>
    <row r="825" spans="1:19" ht="13.7" customHeight="1" x14ac:dyDescent="0.25">
      <c r="A825" s="73" t="s">
        <v>23</v>
      </c>
      <c r="B825" s="83">
        <v>800191427</v>
      </c>
      <c r="C825" s="74" t="s">
        <v>1022</v>
      </c>
      <c r="D825" s="83" t="s">
        <v>60</v>
      </c>
      <c r="E825" s="75" t="s">
        <v>378</v>
      </c>
      <c r="F825" s="76" t="s">
        <v>888</v>
      </c>
      <c r="G825" s="83" t="s">
        <v>60</v>
      </c>
      <c r="H825" s="72">
        <v>45814</v>
      </c>
      <c r="I825" s="166">
        <v>126050.42</v>
      </c>
      <c r="J825" s="166"/>
      <c r="K825" s="166">
        <v>0</v>
      </c>
      <c r="L825" s="166"/>
      <c r="M825" s="185">
        <v>-50.42</v>
      </c>
      <c r="N825" s="166">
        <f t="shared" si="43"/>
        <v>126000</v>
      </c>
      <c r="O825" s="36"/>
      <c r="P825" s="36"/>
      <c r="S825" s="100"/>
    </row>
    <row r="826" spans="1:19" ht="13.7" customHeight="1" x14ac:dyDescent="0.25">
      <c r="A826" s="73" t="s">
        <v>23</v>
      </c>
      <c r="B826" s="83">
        <v>800117687</v>
      </c>
      <c r="C826" s="74" t="s">
        <v>674</v>
      </c>
      <c r="D826" s="83" t="s">
        <v>60</v>
      </c>
      <c r="E826" s="75" t="s">
        <v>378</v>
      </c>
      <c r="F826" s="76" t="s">
        <v>888</v>
      </c>
      <c r="G826" s="83" t="s">
        <v>60</v>
      </c>
      <c r="H826" s="72">
        <v>45814</v>
      </c>
      <c r="I826" s="166">
        <v>825033.18</v>
      </c>
      <c r="J826" s="166"/>
      <c r="K826" s="166">
        <v>0</v>
      </c>
      <c r="L826" s="166"/>
      <c r="M826" s="185">
        <v>-33.18</v>
      </c>
      <c r="N826" s="166">
        <f t="shared" si="43"/>
        <v>825000</v>
      </c>
      <c r="O826" s="36"/>
      <c r="P826" s="36"/>
      <c r="S826" s="100"/>
    </row>
    <row r="827" spans="1:19" ht="13.7" customHeight="1" x14ac:dyDescent="0.25">
      <c r="A827" s="73" t="s">
        <v>23</v>
      </c>
      <c r="B827" s="83">
        <v>892120020</v>
      </c>
      <c r="C827" s="74" t="s">
        <v>756</v>
      </c>
      <c r="D827" s="83" t="s">
        <v>60</v>
      </c>
      <c r="E827" s="75" t="s">
        <v>378</v>
      </c>
      <c r="F827" s="76" t="s">
        <v>888</v>
      </c>
      <c r="G827" s="83" t="s">
        <v>60</v>
      </c>
      <c r="H827" s="72">
        <v>45817</v>
      </c>
      <c r="I827" s="166">
        <v>4000941.62</v>
      </c>
      <c r="J827" s="166"/>
      <c r="K827" s="166">
        <v>0</v>
      </c>
      <c r="L827" s="166"/>
      <c r="M827" s="185">
        <v>58.38</v>
      </c>
      <c r="N827" s="166">
        <f t="shared" si="43"/>
        <v>4001000</v>
      </c>
      <c r="O827" s="36"/>
      <c r="P827" s="36"/>
      <c r="S827" s="100"/>
    </row>
    <row r="828" spans="1:19" ht="13.7" customHeight="1" x14ac:dyDescent="0.25">
      <c r="A828" s="73" t="s">
        <v>23</v>
      </c>
      <c r="B828" s="83">
        <v>891680057</v>
      </c>
      <c r="C828" s="74" t="s">
        <v>1020</v>
      </c>
      <c r="D828" s="83" t="s">
        <v>60</v>
      </c>
      <c r="E828" s="75" t="s">
        <v>378</v>
      </c>
      <c r="F828" s="76" t="s">
        <v>888</v>
      </c>
      <c r="G828" s="83" t="s">
        <v>60</v>
      </c>
      <c r="H828" s="72">
        <v>45817</v>
      </c>
      <c r="I828" s="166">
        <v>202040.08</v>
      </c>
      <c r="J828" s="166"/>
      <c r="K828" s="166">
        <v>0</v>
      </c>
      <c r="L828" s="166"/>
      <c r="M828" s="185">
        <v>-40.08</v>
      </c>
      <c r="N828" s="166">
        <f t="shared" si="43"/>
        <v>202000</v>
      </c>
      <c r="O828" s="36"/>
      <c r="P828" s="36"/>
      <c r="S828" s="100"/>
    </row>
    <row r="829" spans="1:19" ht="13.7" customHeight="1" x14ac:dyDescent="0.25">
      <c r="A829" s="73" t="s">
        <v>23</v>
      </c>
      <c r="B829" s="83">
        <v>890201190</v>
      </c>
      <c r="C829" s="74" t="s">
        <v>1224</v>
      </c>
      <c r="D829" s="83" t="s">
        <v>60</v>
      </c>
      <c r="E829" s="75" t="s">
        <v>378</v>
      </c>
      <c r="F829" s="76" t="s">
        <v>888</v>
      </c>
      <c r="G829" s="83" t="s">
        <v>60</v>
      </c>
      <c r="H829" s="72">
        <v>45817</v>
      </c>
      <c r="I829" s="166">
        <v>635644.74</v>
      </c>
      <c r="J829" s="166"/>
      <c r="K829" s="166">
        <v>0</v>
      </c>
      <c r="L829" s="166"/>
      <c r="M829" s="185">
        <v>355.26</v>
      </c>
      <c r="N829" s="166">
        <f t="shared" si="43"/>
        <v>636000</v>
      </c>
      <c r="O829" s="36"/>
      <c r="P829" s="36"/>
      <c r="S829" s="100"/>
    </row>
    <row r="830" spans="1:19" ht="13.7" customHeight="1" x14ac:dyDescent="0.25">
      <c r="A830" s="73" t="s">
        <v>23</v>
      </c>
      <c r="B830" s="83">
        <v>891500869</v>
      </c>
      <c r="C830" s="74" t="s">
        <v>1334</v>
      </c>
      <c r="D830" s="83" t="s">
        <v>60</v>
      </c>
      <c r="E830" s="75" t="s">
        <v>378</v>
      </c>
      <c r="F830" s="76" t="s">
        <v>888</v>
      </c>
      <c r="G830" s="83" t="s">
        <v>60</v>
      </c>
      <c r="H830" s="72">
        <v>45817</v>
      </c>
      <c r="I830" s="166">
        <v>675047.46</v>
      </c>
      <c r="J830" s="166"/>
      <c r="K830" s="166">
        <v>0</v>
      </c>
      <c r="L830" s="166"/>
      <c r="M830" s="185">
        <v>-47.46</v>
      </c>
      <c r="N830" s="166">
        <f t="shared" si="43"/>
        <v>675000</v>
      </c>
      <c r="O830" s="36"/>
      <c r="P830" s="36"/>
      <c r="S830" s="100"/>
    </row>
    <row r="831" spans="1:19" ht="13.7" customHeight="1" x14ac:dyDescent="0.25">
      <c r="A831" s="73" t="s">
        <v>23</v>
      </c>
      <c r="B831" s="83">
        <v>899999090</v>
      </c>
      <c r="C831" s="74" t="s">
        <v>1001</v>
      </c>
      <c r="D831" s="83" t="s">
        <v>60</v>
      </c>
      <c r="E831" s="75" t="s">
        <v>378</v>
      </c>
      <c r="F831" s="76" t="s">
        <v>1323</v>
      </c>
      <c r="G831" s="83" t="s">
        <v>60</v>
      </c>
      <c r="H831" s="72">
        <v>45818</v>
      </c>
      <c r="I831" s="166">
        <v>441959275.31999999</v>
      </c>
      <c r="J831" s="166"/>
      <c r="K831" s="166">
        <v>0</v>
      </c>
      <c r="L831" s="166"/>
      <c r="M831" s="185">
        <v>-275.32</v>
      </c>
      <c r="N831" s="166">
        <f t="shared" si="43"/>
        <v>441959000</v>
      </c>
      <c r="O831" s="36"/>
      <c r="P831" s="36"/>
      <c r="S831" s="100"/>
    </row>
    <row r="832" spans="1:19" ht="13.7" customHeight="1" x14ac:dyDescent="0.25">
      <c r="A832" s="73" t="s">
        <v>23</v>
      </c>
      <c r="B832" s="83">
        <v>890480022</v>
      </c>
      <c r="C832" s="74" t="s">
        <v>1223</v>
      </c>
      <c r="D832" s="83" t="s">
        <v>60</v>
      </c>
      <c r="E832" s="75" t="s">
        <v>378</v>
      </c>
      <c r="F832" s="76" t="s">
        <v>888</v>
      </c>
      <c r="G832" s="83" t="s">
        <v>60</v>
      </c>
      <c r="H832" s="72">
        <v>45826</v>
      </c>
      <c r="I832" s="166">
        <v>2127575.5</v>
      </c>
      <c r="J832" s="166"/>
      <c r="K832" s="166">
        <v>0</v>
      </c>
      <c r="L832" s="166"/>
      <c r="M832" s="185">
        <v>424.5</v>
      </c>
      <c r="N832" s="166">
        <f t="shared" si="43"/>
        <v>2128000</v>
      </c>
      <c r="O832" s="36"/>
      <c r="P832" s="36"/>
      <c r="S832" s="100"/>
    </row>
    <row r="833" spans="1:19" ht="13.7" customHeight="1" x14ac:dyDescent="0.25">
      <c r="A833" s="73" t="s">
        <v>23</v>
      </c>
      <c r="B833" s="83">
        <v>800197268</v>
      </c>
      <c r="C833" s="74" t="s">
        <v>449</v>
      </c>
      <c r="D833" s="83" t="s">
        <v>60</v>
      </c>
      <c r="E833" s="75" t="s">
        <v>378</v>
      </c>
      <c r="F833" s="76" t="s">
        <v>1255</v>
      </c>
      <c r="G833" s="83" t="s">
        <v>60</v>
      </c>
      <c r="H833" s="72">
        <v>45826</v>
      </c>
      <c r="I833" s="166">
        <v>265162080.94999999</v>
      </c>
      <c r="J833" s="166"/>
      <c r="K833" s="166">
        <v>0</v>
      </c>
      <c r="L833" s="166"/>
      <c r="M833" s="185">
        <v>-80.95</v>
      </c>
      <c r="N833" s="166">
        <f t="shared" si="43"/>
        <v>265162000</v>
      </c>
      <c r="O833" s="36"/>
      <c r="P833" s="36"/>
      <c r="S833" s="100"/>
    </row>
    <row r="834" spans="1:19" ht="13.7" customHeight="1" x14ac:dyDescent="0.25">
      <c r="F834" s="107" t="s">
        <v>1377</v>
      </c>
      <c r="I834" s="184">
        <f t="shared" ref="I834:N834" si="44">+SUM(I785:I833)</f>
        <v>5739868063.3999987</v>
      </c>
      <c r="J834" s="184">
        <f t="shared" si="44"/>
        <v>-993584142.19999993</v>
      </c>
      <c r="K834" s="184">
        <f t="shared" si="44"/>
        <v>436179930.22999996</v>
      </c>
      <c r="L834" s="184">
        <f t="shared" si="44"/>
        <v>40160893.5</v>
      </c>
      <c r="M834" s="184">
        <f t="shared" si="44"/>
        <v>296.91000000000037</v>
      </c>
      <c r="N834" s="184">
        <f t="shared" si="44"/>
        <v>6257111678.7799988</v>
      </c>
      <c r="O834" s="100"/>
      <c r="P834" s="36"/>
    </row>
    <row r="835" spans="1:19" ht="135" x14ac:dyDescent="0.25">
      <c r="A835" s="73" t="s">
        <v>23</v>
      </c>
      <c r="B835" s="83">
        <v>901819116</v>
      </c>
      <c r="C835" s="74" t="s">
        <v>431</v>
      </c>
      <c r="D835" s="83" t="s">
        <v>430</v>
      </c>
      <c r="E835" s="75" t="s">
        <v>394</v>
      </c>
      <c r="F835" s="76" t="s">
        <v>1378</v>
      </c>
      <c r="G835" s="83">
        <v>303615</v>
      </c>
      <c r="H835" s="72">
        <v>45860</v>
      </c>
      <c r="I835" s="166">
        <v>0</v>
      </c>
      <c r="J835" s="166">
        <v>-146549142</v>
      </c>
      <c r="K835" s="166">
        <v>0</v>
      </c>
      <c r="L835" s="166"/>
      <c r="M835" s="185">
        <v>0</v>
      </c>
      <c r="N835" s="166">
        <f t="shared" ref="N835:N921" si="45">+I835-J835-K835-L835+M835</f>
        <v>146549142</v>
      </c>
      <c r="O835" s="36"/>
      <c r="P835" s="36"/>
    </row>
    <row r="836" spans="1:19" ht="150" x14ac:dyDescent="0.25">
      <c r="A836" s="73" t="s">
        <v>23</v>
      </c>
      <c r="B836" s="83">
        <v>900591185</v>
      </c>
      <c r="C836" s="74" t="s">
        <v>695</v>
      </c>
      <c r="D836" s="83" t="s">
        <v>694</v>
      </c>
      <c r="E836" s="75" t="s">
        <v>394</v>
      </c>
      <c r="F836" s="76" t="s">
        <v>1379</v>
      </c>
      <c r="G836" s="83">
        <v>303616</v>
      </c>
      <c r="H836" s="72">
        <v>45860</v>
      </c>
      <c r="I836" s="166">
        <v>457492869</v>
      </c>
      <c r="J836" s="166">
        <v>45749286</v>
      </c>
      <c r="K836" s="166">
        <v>37750247.410000004</v>
      </c>
      <c r="L836" s="166">
        <v>0</v>
      </c>
      <c r="M836" s="185">
        <v>0</v>
      </c>
      <c r="N836" s="166">
        <f t="shared" si="45"/>
        <v>373993335.58999997</v>
      </c>
      <c r="O836" s="36"/>
      <c r="P836" s="36"/>
    </row>
    <row r="837" spans="1:19" ht="120" x14ac:dyDescent="0.25">
      <c r="A837" s="73" t="s">
        <v>23</v>
      </c>
      <c r="B837" s="83">
        <v>901803620</v>
      </c>
      <c r="C837" s="74" t="s">
        <v>285</v>
      </c>
      <c r="D837" s="83" t="s">
        <v>284</v>
      </c>
      <c r="E837" s="75" t="s">
        <v>394</v>
      </c>
      <c r="F837" s="76" t="s">
        <v>1380</v>
      </c>
      <c r="G837" s="83">
        <v>304148</v>
      </c>
      <c r="H837" s="72">
        <v>45860</v>
      </c>
      <c r="I837" s="166">
        <v>987681573.77999997</v>
      </c>
      <c r="J837" s="166">
        <v>98768157.379999995</v>
      </c>
      <c r="K837" s="166">
        <v>96841715.200000003</v>
      </c>
      <c r="L837" s="166">
        <v>0</v>
      </c>
      <c r="M837" s="185">
        <v>0</v>
      </c>
      <c r="N837" s="166">
        <f t="shared" si="45"/>
        <v>792071701.19999993</v>
      </c>
      <c r="O837" s="36"/>
      <c r="P837" s="36"/>
    </row>
    <row r="838" spans="1:19" ht="120" x14ac:dyDescent="0.25">
      <c r="A838" s="73" t="s">
        <v>381</v>
      </c>
      <c r="B838" s="83">
        <v>9050725</v>
      </c>
      <c r="C838" s="74" t="s">
        <v>288</v>
      </c>
      <c r="D838" s="83" t="s">
        <v>287</v>
      </c>
      <c r="E838" s="75" t="s">
        <v>394</v>
      </c>
      <c r="F838" s="76" t="s">
        <v>1381</v>
      </c>
      <c r="G838" s="83">
        <v>304150</v>
      </c>
      <c r="H838" s="72">
        <v>45860</v>
      </c>
      <c r="I838" s="166">
        <v>40075441.530000001</v>
      </c>
      <c r="J838" s="166">
        <v>4007544.15</v>
      </c>
      <c r="K838" s="166">
        <v>2439695.2599999998</v>
      </c>
      <c r="L838" s="166"/>
      <c r="M838" s="185">
        <v>0</v>
      </c>
      <c r="N838" s="166">
        <f t="shared" si="45"/>
        <v>33628202.120000005</v>
      </c>
      <c r="O838" s="36"/>
      <c r="P838" s="36"/>
    </row>
    <row r="839" spans="1:19" ht="13.7" customHeight="1" x14ac:dyDescent="0.25">
      <c r="A839" s="73" t="s">
        <v>23</v>
      </c>
      <c r="B839" s="83">
        <v>802008390</v>
      </c>
      <c r="C839" s="74" t="s">
        <v>692</v>
      </c>
      <c r="D839" s="83" t="s">
        <v>693</v>
      </c>
      <c r="E839" s="75" t="s">
        <v>394</v>
      </c>
      <c r="F839" s="76" t="s">
        <v>1382</v>
      </c>
      <c r="G839" s="83">
        <v>304358</v>
      </c>
      <c r="H839" s="72">
        <v>45860</v>
      </c>
      <c r="I839" s="166">
        <v>51882192.469999999</v>
      </c>
      <c r="J839" s="166">
        <v>5188219.25</v>
      </c>
      <c r="K839" s="166">
        <v>3232623.54</v>
      </c>
      <c r="L839" s="166">
        <v>0</v>
      </c>
      <c r="M839" s="185">
        <v>0</v>
      </c>
      <c r="N839" s="166">
        <f t="shared" si="45"/>
        <v>43461349.68</v>
      </c>
      <c r="O839" s="36"/>
      <c r="P839" s="36"/>
    </row>
    <row r="840" spans="1:19" ht="13.7" customHeight="1" x14ac:dyDescent="0.25">
      <c r="A840" s="73" t="s">
        <v>23</v>
      </c>
      <c r="B840" s="83">
        <v>901895097</v>
      </c>
      <c r="C840" s="74" t="s">
        <v>932</v>
      </c>
      <c r="D840" s="83" t="s">
        <v>931</v>
      </c>
      <c r="E840" s="75" t="s">
        <v>394</v>
      </c>
      <c r="F840" s="76" t="s">
        <v>1383</v>
      </c>
      <c r="G840" s="83">
        <v>304152</v>
      </c>
      <c r="H840" s="72">
        <v>45861</v>
      </c>
      <c r="I840" s="166">
        <v>420681388</v>
      </c>
      <c r="J840" s="166">
        <v>42068138.800000004</v>
      </c>
      <c r="K840" s="166">
        <v>34947403.140000001</v>
      </c>
      <c r="L840" s="166">
        <v>0</v>
      </c>
      <c r="M840" s="185">
        <v>0</v>
      </c>
      <c r="N840" s="166">
        <f t="shared" si="45"/>
        <v>343665846.06</v>
      </c>
      <c r="O840" s="36"/>
      <c r="P840" s="36"/>
    </row>
    <row r="841" spans="1:19" ht="13.7" customHeight="1" x14ac:dyDescent="0.25">
      <c r="A841" s="73" t="s">
        <v>23</v>
      </c>
      <c r="B841" s="83">
        <v>901843292</v>
      </c>
      <c r="C841" s="74" t="s">
        <v>487</v>
      </c>
      <c r="D841" s="83" t="s">
        <v>486</v>
      </c>
      <c r="E841" s="75" t="s">
        <v>394</v>
      </c>
      <c r="F841" s="76" t="s">
        <v>1384</v>
      </c>
      <c r="G841" s="83">
        <v>304360</v>
      </c>
      <c r="H841" s="72">
        <v>45860</v>
      </c>
      <c r="I841" s="166">
        <v>476365420.04000002</v>
      </c>
      <c r="J841" s="166">
        <v>47636542</v>
      </c>
      <c r="K841" s="166">
        <v>40214522.189999998</v>
      </c>
      <c r="L841" s="166">
        <v>0</v>
      </c>
      <c r="M841" s="185">
        <v>0</v>
      </c>
      <c r="N841" s="166">
        <f t="shared" si="45"/>
        <v>388514355.85000002</v>
      </c>
      <c r="O841" s="36"/>
      <c r="P841" s="36"/>
    </row>
    <row r="842" spans="1:19" ht="13.7" customHeight="1" x14ac:dyDescent="0.25">
      <c r="A842" s="73" t="s">
        <v>381</v>
      </c>
      <c r="B842" s="83">
        <v>12979612</v>
      </c>
      <c r="C842" s="74" t="s">
        <v>491</v>
      </c>
      <c r="D842" s="83" t="s">
        <v>490</v>
      </c>
      <c r="E842" s="75" t="s">
        <v>394</v>
      </c>
      <c r="F842" s="76" t="s">
        <v>1385</v>
      </c>
      <c r="G842" s="83">
        <v>304362</v>
      </c>
      <c r="H842" s="72">
        <v>45861</v>
      </c>
      <c r="I842" s="166">
        <v>75473458.680000007</v>
      </c>
      <c r="J842" s="166">
        <v>7547345.8700000001</v>
      </c>
      <c r="K842" s="166">
        <v>4744071.79</v>
      </c>
      <c r="L842" s="166">
        <v>0</v>
      </c>
      <c r="M842" s="185">
        <v>0</v>
      </c>
      <c r="N842" s="166">
        <f t="shared" si="45"/>
        <v>63182041.020000003</v>
      </c>
      <c r="O842" s="36"/>
      <c r="P842" s="36"/>
    </row>
    <row r="843" spans="1:19" ht="13.7" customHeight="1" x14ac:dyDescent="0.25">
      <c r="A843" s="73" t="s">
        <v>23</v>
      </c>
      <c r="B843" s="83">
        <v>901896417</v>
      </c>
      <c r="C843" s="74" t="s">
        <v>930</v>
      </c>
      <c r="D843" s="83" t="s">
        <v>929</v>
      </c>
      <c r="E843" s="75" t="s">
        <v>394</v>
      </c>
      <c r="F843" s="76" t="s">
        <v>1386</v>
      </c>
      <c r="G843" s="83">
        <v>304154</v>
      </c>
      <c r="H843" s="72">
        <v>45860</v>
      </c>
      <c r="I843" s="166">
        <v>67788112.370000005</v>
      </c>
      <c r="J843" s="166">
        <v>6778811.2400000002</v>
      </c>
      <c r="K843" s="166">
        <v>4207579.3900000006</v>
      </c>
      <c r="L843" s="166">
        <v>0</v>
      </c>
      <c r="M843" s="185">
        <v>0</v>
      </c>
      <c r="N843" s="166">
        <f t="shared" si="45"/>
        <v>56801721.740000002</v>
      </c>
      <c r="O843" s="36"/>
      <c r="P843" s="36"/>
    </row>
    <row r="844" spans="1:19" ht="13.7" customHeight="1" x14ac:dyDescent="0.25">
      <c r="A844" s="73" t="s">
        <v>23</v>
      </c>
      <c r="B844" s="83">
        <v>901871898</v>
      </c>
      <c r="C844" s="74" t="s">
        <v>614</v>
      </c>
      <c r="D844" s="83" t="s">
        <v>613</v>
      </c>
      <c r="E844" s="75" t="s">
        <v>394</v>
      </c>
      <c r="F844" s="76" t="s">
        <v>1387</v>
      </c>
      <c r="G844" s="83">
        <v>304365</v>
      </c>
      <c r="H844" s="72">
        <v>45861</v>
      </c>
      <c r="I844" s="166">
        <v>30769726.349999998</v>
      </c>
      <c r="J844" s="166">
        <v>3076972.64</v>
      </c>
      <c r="K844" s="166">
        <v>881819.55</v>
      </c>
      <c r="L844" s="166">
        <v>0</v>
      </c>
      <c r="M844" s="185">
        <v>0</v>
      </c>
      <c r="N844" s="166">
        <f t="shared" si="45"/>
        <v>26810934.159999996</v>
      </c>
      <c r="O844" s="36"/>
      <c r="P844" s="36"/>
    </row>
    <row r="845" spans="1:19" ht="13.7" customHeight="1" x14ac:dyDescent="0.25">
      <c r="A845" s="73" t="s">
        <v>23</v>
      </c>
      <c r="B845" s="83">
        <v>901871560</v>
      </c>
      <c r="C845" s="74" t="s">
        <v>616</v>
      </c>
      <c r="D845" s="83" t="s">
        <v>615</v>
      </c>
      <c r="E845" s="75" t="s">
        <v>394</v>
      </c>
      <c r="F845" s="76" t="s">
        <v>1388</v>
      </c>
      <c r="G845" s="83">
        <v>304368</v>
      </c>
      <c r="H845" s="72">
        <v>45860</v>
      </c>
      <c r="I845" s="166">
        <v>86672818.25999999</v>
      </c>
      <c r="J845" s="166">
        <v>8667281.8300000001</v>
      </c>
      <c r="K845" s="166">
        <v>6972801.2599999998</v>
      </c>
      <c r="L845" s="166">
        <v>24260223</v>
      </c>
      <c r="M845" s="185">
        <v>0</v>
      </c>
      <c r="N845" s="166">
        <f t="shared" si="45"/>
        <v>46772512.169999987</v>
      </c>
      <c r="O845" s="36"/>
      <c r="P845" s="36"/>
    </row>
    <row r="846" spans="1:19" ht="13.7" customHeight="1" x14ac:dyDescent="0.25">
      <c r="A846" s="73" t="s">
        <v>23</v>
      </c>
      <c r="B846" s="83">
        <v>900506471</v>
      </c>
      <c r="C846" s="74" t="s">
        <v>202</v>
      </c>
      <c r="D846" s="83" t="s">
        <v>201</v>
      </c>
      <c r="E846" s="75" t="s">
        <v>394</v>
      </c>
      <c r="F846" s="76" t="s">
        <v>1389</v>
      </c>
      <c r="G846" s="83">
        <v>304156</v>
      </c>
      <c r="H846" s="72">
        <v>45860</v>
      </c>
      <c r="I846" s="166">
        <v>0</v>
      </c>
      <c r="J846" s="166">
        <v>-26778425.420000002</v>
      </c>
      <c r="K846" s="166">
        <v>0</v>
      </c>
      <c r="L846" s="166">
        <v>0</v>
      </c>
      <c r="M846" s="185">
        <v>0</v>
      </c>
      <c r="N846" s="166">
        <f t="shared" si="45"/>
        <v>26778425.420000002</v>
      </c>
      <c r="O846" s="36"/>
      <c r="P846" s="36"/>
    </row>
    <row r="847" spans="1:19" ht="13.7" customHeight="1" x14ac:dyDescent="0.25">
      <c r="A847" s="73" t="s">
        <v>23</v>
      </c>
      <c r="B847" s="83">
        <v>900506471</v>
      </c>
      <c r="C847" s="74" t="s">
        <v>202</v>
      </c>
      <c r="D847" s="83" t="s">
        <v>201</v>
      </c>
      <c r="E847" s="75" t="s">
        <v>394</v>
      </c>
      <c r="F847" s="76" t="s">
        <v>1390</v>
      </c>
      <c r="G847" s="83">
        <v>304158</v>
      </c>
      <c r="H847" s="72">
        <v>45860</v>
      </c>
      <c r="I847" s="166">
        <v>23780426.16</v>
      </c>
      <c r="J847" s="166">
        <v>0</v>
      </c>
      <c r="K847" s="166">
        <v>1498766.36</v>
      </c>
      <c r="L847" s="166">
        <v>0</v>
      </c>
      <c r="M847" s="185">
        <v>0</v>
      </c>
      <c r="N847" s="166">
        <f t="shared" si="45"/>
        <v>22281659.800000001</v>
      </c>
      <c r="O847" s="36"/>
      <c r="P847" s="36"/>
    </row>
    <row r="848" spans="1:19" ht="13.7" customHeight="1" x14ac:dyDescent="0.25">
      <c r="A848" s="73" t="s">
        <v>23</v>
      </c>
      <c r="B848" s="83">
        <v>901841741</v>
      </c>
      <c r="C848" s="74" t="s">
        <v>495</v>
      </c>
      <c r="D848" s="83" t="s">
        <v>494</v>
      </c>
      <c r="E848" s="75" t="s">
        <v>394</v>
      </c>
      <c r="F848" s="76" t="s">
        <v>1391</v>
      </c>
      <c r="G848" s="83">
        <v>304160</v>
      </c>
      <c r="H848" s="72">
        <v>45860</v>
      </c>
      <c r="I848" s="166">
        <v>5890865.29</v>
      </c>
      <c r="J848" s="166">
        <v>589086.53</v>
      </c>
      <c r="K848" s="166">
        <v>154697.08000000002</v>
      </c>
      <c r="L848" s="166">
        <v>0</v>
      </c>
      <c r="M848" s="185">
        <v>0</v>
      </c>
      <c r="N848" s="166">
        <f t="shared" si="45"/>
        <v>5147081.68</v>
      </c>
      <c r="O848" s="36"/>
      <c r="P848" s="36"/>
    </row>
    <row r="849" spans="1:16" ht="13.7" customHeight="1" x14ac:dyDescent="0.25">
      <c r="A849" s="73" t="s">
        <v>23</v>
      </c>
      <c r="B849" s="83">
        <v>901800251</v>
      </c>
      <c r="C849" s="74" t="s">
        <v>243</v>
      </c>
      <c r="D849" s="83" t="s">
        <v>242</v>
      </c>
      <c r="E849" s="75" t="s">
        <v>394</v>
      </c>
      <c r="F849" s="76" t="s">
        <v>1392</v>
      </c>
      <c r="G849" s="83">
        <v>304540</v>
      </c>
      <c r="H849" s="72">
        <v>45860</v>
      </c>
      <c r="I849" s="166">
        <v>55550821.109999999</v>
      </c>
      <c r="J849" s="166">
        <v>5555082.1100000003</v>
      </c>
      <c r="K849" s="166">
        <v>3313317.18</v>
      </c>
      <c r="L849" s="166">
        <v>0</v>
      </c>
      <c r="M849" s="185">
        <v>0</v>
      </c>
      <c r="N849" s="166">
        <f t="shared" si="45"/>
        <v>46682421.82</v>
      </c>
      <c r="O849" s="36"/>
      <c r="P849" s="36"/>
    </row>
    <row r="850" spans="1:16" ht="13.7" customHeight="1" x14ac:dyDescent="0.25">
      <c r="A850" s="73" t="s">
        <v>23</v>
      </c>
      <c r="B850" s="83">
        <v>901835722</v>
      </c>
      <c r="C850" s="74" t="s">
        <v>459</v>
      </c>
      <c r="D850" s="83" t="s">
        <v>458</v>
      </c>
      <c r="E850" s="75" t="s">
        <v>394</v>
      </c>
      <c r="F850" s="76" t="s">
        <v>1393</v>
      </c>
      <c r="G850" s="83">
        <v>304812</v>
      </c>
      <c r="H850" s="72">
        <v>45861</v>
      </c>
      <c r="I850" s="166">
        <v>702677554.69999993</v>
      </c>
      <c r="J850" s="166">
        <v>70267755.469999999</v>
      </c>
      <c r="K850" s="166">
        <v>56728028.710000001</v>
      </c>
      <c r="L850" s="166">
        <v>0</v>
      </c>
      <c r="M850" s="185">
        <v>0</v>
      </c>
      <c r="N850" s="166">
        <f t="shared" si="45"/>
        <v>575681770.51999986</v>
      </c>
      <c r="O850" s="36"/>
      <c r="P850" s="36"/>
    </row>
    <row r="851" spans="1:16" ht="13.7" customHeight="1" x14ac:dyDescent="0.25">
      <c r="A851" s="73" t="s">
        <v>23</v>
      </c>
      <c r="B851" s="83">
        <v>901831256</v>
      </c>
      <c r="C851" s="74" t="s">
        <v>485</v>
      </c>
      <c r="D851" s="83" t="s">
        <v>484</v>
      </c>
      <c r="E851" s="75" t="s">
        <v>394</v>
      </c>
      <c r="F851" s="76" t="s">
        <v>1394</v>
      </c>
      <c r="G851" s="83">
        <v>304545</v>
      </c>
      <c r="H851" s="72">
        <v>45860</v>
      </c>
      <c r="I851" s="166">
        <v>63288546</v>
      </c>
      <c r="J851" s="166">
        <v>6328854.5999999996</v>
      </c>
      <c r="K851" s="166">
        <v>3988773.91</v>
      </c>
      <c r="L851" s="166">
        <v>0</v>
      </c>
      <c r="M851" s="185">
        <v>0</v>
      </c>
      <c r="N851" s="166">
        <f t="shared" si="45"/>
        <v>52970917.489999995</v>
      </c>
      <c r="O851" s="36"/>
      <c r="P851" s="36"/>
    </row>
    <row r="852" spans="1:16" ht="13.7" customHeight="1" x14ac:dyDescent="0.25">
      <c r="A852" s="73" t="s">
        <v>23</v>
      </c>
      <c r="B852" s="83">
        <v>901792473</v>
      </c>
      <c r="C852" s="74" t="s">
        <v>254</v>
      </c>
      <c r="D852" s="83" t="s">
        <v>253</v>
      </c>
      <c r="E852" s="75" t="s">
        <v>394</v>
      </c>
      <c r="F852" s="76" t="s">
        <v>1395</v>
      </c>
      <c r="G852" s="83">
        <v>304546</v>
      </c>
      <c r="H852" s="72">
        <v>45860</v>
      </c>
      <c r="I852" s="166">
        <v>0</v>
      </c>
      <c r="J852" s="166">
        <v>-341085284.60000002</v>
      </c>
      <c r="K852" s="166">
        <v>0</v>
      </c>
      <c r="L852" s="166"/>
      <c r="M852" s="185">
        <v>0</v>
      </c>
      <c r="N852" s="166">
        <f t="shared" si="45"/>
        <v>341085284.60000002</v>
      </c>
      <c r="O852" s="36"/>
      <c r="P852" s="36"/>
    </row>
    <row r="853" spans="1:16" ht="13.7" customHeight="1" x14ac:dyDescent="0.25">
      <c r="A853" s="73" t="s">
        <v>23</v>
      </c>
      <c r="B853" s="83">
        <v>900727376</v>
      </c>
      <c r="C853" s="74" t="s">
        <v>691</v>
      </c>
      <c r="D853" s="83" t="s">
        <v>690</v>
      </c>
      <c r="E853" s="75" t="s">
        <v>394</v>
      </c>
      <c r="F853" s="76" t="s">
        <v>1396</v>
      </c>
      <c r="G853" s="83">
        <v>304162</v>
      </c>
      <c r="H853" s="72">
        <v>45860</v>
      </c>
      <c r="I853" s="166">
        <v>30030000</v>
      </c>
      <c r="J853" s="166">
        <v>3003000</v>
      </c>
      <c r="K853" s="166">
        <v>845382.35</v>
      </c>
      <c r="L853" s="166">
        <v>0</v>
      </c>
      <c r="M853" s="185">
        <v>0</v>
      </c>
      <c r="N853" s="166">
        <f t="shared" si="45"/>
        <v>26181617.649999999</v>
      </c>
      <c r="O853" s="36"/>
      <c r="P853" s="36"/>
    </row>
    <row r="854" spans="1:16" ht="13.7" customHeight="1" x14ac:dyDescent="0.25">
      <c r="A854" s="73" t="s">
        <v>23</v>
      </c>
      <c r="B854" s="83">
        <v>900749719</v>
      </c>
      <c r="C854" s="74" t="s">
        <v>463</v>
      </c>
      <c r="D854" s="83" t="s">
        <v>462</v>
      </c>
      <c r="E854" s="75" t="s">
        <v>394</v>
      </c>
      <c r="F854" s="76" t="s">
        <v>1397</v>
      </c>
      <c r="G854" s="83">
        <v>305399</v>
      </c>
      <c r="H854" s="72">
        <v>45863</v>
      </c>
      <c r="I854" s="166">
        <v>144151672.01000002</v>
      </c>
      <c r="J854" s="166">
        <v>14415167.199999999</v>
      </c>
      <c r="K854" s="166">
        <v>12405768.369999999</v>
      </c>
      <c r="L854" s="166">
        <v>0</v>
      </c>
      <c r="M854" s="185">
        <v>0</v>
      </c>
      <c r="N854" s="166">
        <f t="shared" si="45"/>
        <v>117330736.44000001</v>
      </c>
      <c r="O854" s="36"/>
      <c r="P854" s="36"/>
    </row>
    <row r="855" spans="1:16" ht="13.7" customHeight="1" x14ac:dyDescent="0.25">
      <c r="A855" s="73" t="s">
        <v>23</v>
      </c>
      <c r="B855" s="83">
        <v>900084333</v>
      </c>
      <c r="C855" s="74" t="s">
        <v>698</v>
      </c>
      <c r="D855" s="83" t="s">
        <v>241</v>
      </c>
      <c r="E855" s="75" t="s">
        <v>394</v>
      </c>
      <c r="F855" s="76" t="s">
        <v>1398</v>
      </c>
      <c r="G855" s="83">
        <v>304548</v>
      </c>
      <c r="H855" s="72">
        <v>45861</v>
      </c>
      <c r="I855" s="166">
        <v>755692129.62</v>
      </c>
      <c r="J855" s="166">
        <v>75569212.959999993</v>
      </c>
      <c r="K855" s="166">
        <v>68298987.320000008</v>
      </c>
      <c r="L855" s="166">
        <v>84991547</v>
      </c>
      <c r="M855" s="185">
        <v>0</v>
      </c>
      <c r="N855" s="166">
        <f t="shared" si="45"/>
        <v>526832382.33999991</v>
      </c>
      <c r="O855" s="36"/>
      <c r="P855" s="36"/>
    </row>
    <row r="856" spans="1:16" ht="13.7" customHeight="1" x14ac:dyDescent="0.25">
      <c r="A856" s="73" t="s">
        <v>23</v>
      </c>
      <c r="B856" s="83">
        <v>901785672</v>
      </c>
      <c r="C856" s="74" t="s">
        <v>175</v>
      </c>
      <c r="D856" s="83" t="s">
        <v>174</v>
      </c>
      <c r="E856" s="75" t="s">
        <v>394</v>
      </c>
      <c r="F856" s="76" t="s">
        <v>1399</v>
      </c>
      <c r="G856" s="83">
        <v>304176</v>
      </c>
      <c r="H856" s="72">
        <v>45860</v>
      </c>
      <c r="I856" s="166">
        <v>36348375.710000001</v>
      </c>
      <c r="J856" s="166">
        <v>0</v>
      </c>
      <c r="K856" s="166">
        <v>2229774.31</v>
      </c>
      <c r="L856" s="166">
        <v>0</v>
      </c>
      <c r="M856" s="185">
        <v>0</v>
      </c>
      <c r="N856" s="166">
        <f t="shared" si="45"/>
        <v>34118601.399999999</v>
      </c>
      <c r="O856" s="36"/>
      <c r="P856" s="36"/>
    </row>
    <row r="857" spans="1:16" ht="13.7" customHeight="1" x14ac:dyDescent="0.25">
      <c r="A857" s="73" t="s">
        <v>23</v>
      </c>
      <c r="B857" s="83">
        <v>901785672</v>
      </c>
      <c r="C857" s="74" t="s">
        <v>175</v>
      </c>
      <c r="D857" s="83" t="s">
        <v>174</v>
      </c>
      <c r="E857" s="75" t="s">
        <v>394</v>
      </c>
      <c r="F857" s="76" t="s">
        <v>1400</v>
      </c>
      <c r="G857" s="83">
        <v>304178</v>
      </c>
      <c r="H857" s="72">
        <v>45860</v>
      </c>
      <c r="I857" s="166">
        <v>0</v>
      </c>
      <c r="J857" s="166">
        <v>-26144483.43</v>
      </c>
      <c r="K857" s="166">
        <v>0</v>
      </c>
      <c r="L857" s="166"/>
      <c r="M857" s="185">
        <v>0</v>
      </c>
      <c r="N857" s="166">
        <f t="shared" si="45"/>
        <v>26144483.43</v>
      </c>
      <c r="O857" s="36"/>
      <c r="P857" s="36"/>
    </row>
    <row r="858" spans="1:16" ht="13.7" customHeight="1" x14ac:dyDescent="0.25">
      <c r="A858" s="73" t="s">
        <v>23</v>
      </c>
      <c r="B858" s="83">
        <v>900084333</v>
      </c>
      <c r="C858" s="74" t="s">
        <v>219</v>
      </c>
      <c r="D858" s="83" t="s">
        <v>218</v>
      </c>
      <c r="E858" s="75" t="s">
        <v>394</v>
      </c>
      <c r="F858" s="76" t="s">
        <v>1401</v>
      </c>
      <c r="G858" s="83">
        <v>305400</v>
      </c>
      <c r="H858" s="72">
        <v>45863</v>
      </c>
      <c r="I858" s="166">
        <v>480781529.12</v>
      </c>
      <c r="J858" s="166">
        <v>48078152.909999996</v>
      </c>
      <c r="K858" s="166">
        <v>41998329.399999999</v>
      </c>
      <c r="L858" s="166">
        <v>159807583</v>
      </c>
      <c r="M858" s="185">
        <v>0</v>
      </c>
      <c r="N858" s="166">
        <f t="shared" si="45"/>
        <v>230897463.81000006</v>
      </c>
      <c r="O858" s="36"/>
      <c r="P858" s="36"/>
    </row>
    <row r="859" spans="1:16" ht="13.7" customHeight="1" x14ac:dyDescent="0.25">
      <c r="A859" s="73" t="s">
        <v>23</v>
      </c>
      <c r="B859" s="83">
        <v>901882234</v>
      </c>
      <c r="C859" s="74" t="s">
        <v>835</v>
      </c>
      <c r="D859" s="83" t="s">
        <v>834</v>
      </c>
      <c r="E859" s="75" t="s">
        <v>394</v>
      </c>
      <c r="F859" s="76" t="s">
        <v>1402</v>
      </c>
      <c r="G859" s="83">
        <v>305445</v>
      </c>
      <c r="H859" s="72">
        <v>45867</v>
      </c>
      <c r="I859" s="166">
        <v>32449326.479999997</v>
      </c>
      <c r="J859" s="166">
        <v>3244932.65</v>
      </c>
      <c r="K859" s="166">
        <v>2000756.79</v>
      </c>
      <c r="L859" s="166">
        <v>0</v>
      </c>
      <c r="M859" s="185">
        <v>0</v>
      </c>
      <c r="N859" s="166">
        <f t="shared" si="45"/>
        <v>27203637.039999999</v>
      </c>
      <c r="O859" s="36"/>
      <c r="P859" s="36"/>
    </row>
    <row r="860" spans="1:16" ht="13.7" customHeight="1" x14ac:dyDescent="0.25">
      <c r="A860" s="73" t="s">
        <v>23</v>
      </c>
      <c r="B860" s="83">
        <v>901888797</v>
      </c>
      <c r="C860" s="74" t="s">
        <v>813</v>
      </c>
      <c r="D860" s="83" t="s">
        <v>812</v>
      </c>
      <c r="E860" s="75" t="s">
        <v>394</v>
      </c>
      <c r="F860" s="76" t="s">
        <v>1403</v>
      </c>
      <c r="G860" s="83">
        <v>305403</v>
      </c>
      <c r="H860" s="72">
        <v>45863</v>
      </c>
      <c r="I860" s="166">
        <v>39219600</v>
      </c>
      <c r="J860" s="166">
        <v>3921960</v>
      </c>
      <c r="K860" s="166">
        <v>4246828.24</v>
      </c>
      <c r="L860" s="166">
        <v>0</v>
      </c>
      <c r="M860" s="185">
        <v>0</v>
      </c>
      <c r="N860" s="166">
        <f t="shared" si="45"/>
        <v>31050811.759999998</v>
      </c>
      <c r="O860" s="36"/>
      <c r="P860" s="36"/>
    </row>
    <row r="861" spans="1:16" ht="13.7" customHeight="1" x14ac:dyDescent="0.25">
      <c r="A861" s="73" t="s">
        <v>23</v>
      </c>
      <c r="B861" s="83">
        <v>901786317</v>
      </c>
      <c r="C861" s="74" t="s">
        <v>207</v>
      </c>
      <c r="D861" s="83" t="s">
        <v>206</v>
      </c>
      <c r="E861" s="75" t="s">
        <v>394</v>
      </c>
      <c r="F861" s="76" t="s">
        <v>1404</v>
      </c>
      <c r="G861" s="83">
        <v>304550</v>
      </c>
      <c r="H861" s="72">
        <v>45860</v>
      </c>
      <c r="I861" s="166">
        <v>0</v>
      </c>
      <c r="J861" s="166">
        <v>-784656453.29999995</v>
      </c>
      <c r="K861" s="166">
        <v>0</v>
      </c>
      <c r="L861" s="166">
        <v>0</v>
      </c>
      <c r="M861" s="185">
        <v>0</v>
      </c>
      <c r="N861" s="166">
        <f t="shared" si="45"/>
        <v>784656453.29999995</v>
      </c>
      <c r="O861" s="36"/>
      <c r="P861" s="36"/>
    </row>
    <row r="862" spans="1:16" ht="13.7" customHeight="1" x14ac:dyDescent="0.25">
      <c r="A862" s="73" t="s">
        <v>23</v>
      </c>
      <c r="B862" s="83">
        <v>901785672</v>
      </c>
      <c r="C862" s="74" t="s">
        <v>175</v>
      </c>
      <c r="D862" s="83" t="s">
        <v>847</v>
      </c>
      <c r="E862" s="75" t="s">
        <v>394</v>
      </c>
      <c r="F862" s="76" t="s">
        <v>1405</v>
      </c>
      <c r="G862" s="83">
        <v>304370</v>
      </c>
      <c r="H862" s="72">
        <v>45860</v>
      </c>
      <c r="I862" s="166">
        <v>32822578.740000002</v>
      </c>
      <c r="J862" s="166">
        <v>3282257.87</v>
      </c>
      <c r="K862" s="166">
        <v>1985903.92</v>
      </c>
      <c r="L862" s="166">
        <v>0</v>
      </c>
      <c r="M862" s="185">
        <v>0</v>
      </c>
      <c r="N862" s="166">
        <f t="shared" si="45"/>
        <v>27554416.950000003</v>
      </c>
      <c r="O862" s="36"/>
      <c r="P862" s="36"/>
    </row>
    <row r="863" spans="1:16" ht="13.7" customHeight="1" x14ac:dyDescent="0.25">
      <c r="A863" s="73" t="s">
        <v>23</v>
      </c>
      <c r="B863" s="83">
        <v>901841724</v>
      </c>
      <c r="C863" s="74" t="s">
        <v>497</v>
      </c>
      <c r="D863" s="83" t="s">
        <v>496</v>
      </c>
      <c r="E863" s="75" t="s">
        <v>394</v>
      </c>
      <c r="F863" s="76" t="s">
        <v>1406</v>
      </c>
      <c r="G863" s="83">
        <v>305404</v>
      </c>
      <c r="H863" s="72">
        <v>45863</v>
      </c>
      <c r="I863" s="166">
        <v>2752631.8000000003</v>
      </c>
      <c r="J863" s="166">
        <v>275263.18</v>
      </c>
      <c r="K863" s="166">
        <v>168986.53</v>
      </c>
      <c r="L863" s="166">
        <v>0</v>
      </c>
      <c r="M863" s="185">
        <v>0</v>
      </c>
      <c r="N863" s="166">
        <f t="shared" si="45"/>
        <v>2308382.0900000003</v>
      </c>
      <c r="O863" s="36"/>
      <c r="P863" s="36"/>
    </row>
    <row r="864" spans="1:16" ht="13.7" customHeight="1" x14ac:dyDescent="0.25">
      <c r="A864" s="73" t="s">
        <v>23</v>
      </c>
      <c r="B864" s="83">
        <v>901804711</v>
      </c>
      <c r="C864" s="74" t="s">
        <v>250</v>
      </c>
      <c r="D864" s="83" t="s">
        <v>249</v>
      </c>
      <c r="E864" s="75" t="s">
        <v>394</v>
      </c>
      <c r="F864" s="76" t="s">
        <v>1407</v>
      </c>
      <c r="G864" s="83">
        <v>305493</v>
      </c>
      <c r="H864" s="72">
        <v>45863</v>
      </c>
      <c r="I864" s="166">
        <v>28018424.07</v>
      </c>
      <c r="J864" s="166">
        <v>2801842.41</v>
      </c>
      <c r="K864" s="166">
        <v>1765867.0599999998</v>
      </c>
      <c r="L864" s="166">
        <v>0</v>
      </c>
      <c r="M864" s="185">
        <v>0</v>
      </c>
      <c r="N864" s="166">
        <f t="shared" si="45"/>
        <v>23450714.600000001</v>
      </c>
      <c r="O864" s="36"/>
      <c r="P864" s="36"/>
    </row>
    <row r="865" spans="1:19" ht="13.7" customHeight="1" x14ac:dyDescent="0.25">
      <c r="A865" s="73" t="s">
        <v>23</v>
      </c>
      <c r="B865" s="83">
        <v>891480022</v>
      </c>
      <c r="C865" s="74" t="s">
        <v>892</v>
      </c>
      <c r="D865" s="83" t="s">
        <v>60</v>
      </c>
      <c r="E865" s="75" t="s">
        <v>378</v>
      </c>
      <c r="F865" s="76" t="s">
        <v>1416</v>
      </c>
      <c r="G865" s="83" t="s">
        <v>60</v>
      </c>
      <c r="H865" s="72">
        <v>45841</v>
      </c>
      <c r="I865" s="166">
        <v>4287567.96</v>
      </c>
      <c r="J865" s="166"/>
      <c r="K865" s="166">
        <v>0</v>
      </c>
      <c r="L865" s="166"/>
      <c r="M865" s="185">
        <v>432.04</v>
      </c>
      <c r="N865" s="166">
        <f t="shared" si="45"/>
        <v>4288000</v>
      </c>
      <c r="O865" s="36"/>
      <c r="P865" s="36"/>
    </row>
    <row r="866" spans="1:19" ht="13.7" customHeight="1" x14ac:dyDescent="0.25">
      <c r="A866" s="73" t="s">
        <v>23</v>
      </c>
      <c r="B866" s="83">
        <v>800128428</v>
      </c>
      <c r="C866" s="74" t="s">
        <v>997</v>
      </c>
      <c r="D866" s="83" t="s">
        <v>60</v>
      </c>
      <c r="E866" s="75" t="s">
        <v>378</v>
      </c>
      <c r="F866" s="76" t="s">
        <v>1417</v>
      </c>
      <c r="G866" s="83" t="s">
        <v>60</v>
      </c>
      <c r="H866" s="72">
        <v>45841</v>
      </c>
      <c r="I866" s="166">
        <v>31512.61</v>
      </c>
      <c r="J866" s="166"/>
      <c r="K866" s="166">
        <v>0</v>
      </c>
      <c r="L866" s="166"/>
      <c r="M866" s="185">
        <v>487.39</v>
      </c>
      <c r="N866" s="166">
        <f t="shared" si="45"/>
        <v>32000</v>
      </c>
      <c r="O866" s="36"/>
      <c r="P866" s="36"/>
    </row>
    <row r="867" spans="1:19" ht="13.7" customHeight="1" x14ac:dyDescent="0.25">
      <c r="A867" s="73" t="s">
        <v>23</v>
      </c>
      <c r="B867" s="83">
        <v>891680067</v>
      </c>
      <c r="C867" s="74" t="s">
        <v>996</v>
      </c>
      <c r="D867" s="83" t="s">
        <v>60</v>
      </c>
      <c r="E867" s="75" t="s">
        <v>378</v>
      </c>
      <c r="F867" s="76" t="s">
        <v>1418</v>
      </c>
      <c r="G867" s="83" t="s">
        <v>60</v>
      </c>
      <c r="H867" s="72">
        <v>45841</v>
      </c>
      <c r="I867" s="166">
        <v>710032.52</v>
      </c>
      <c r="J867" s="166"/>
      <c r="K867" s="166">
        <v>0</v>
      </c>
      <c r="L867" s="166"/>
      <c r="M867" s="185">
        <v>-32.520000000000003</v>
      </c>
      <c r="N867" s="166">
        <f t="shared" si="45"/>
        <v>710000</v>
      </c>
      <c r="O867" s="36"/>
      <c r="P867" s="36"/>
      <c r="S867" s="100"/>
    </row>
    <row r="868" spans="1:19" ht="13.7" customHeight="1" x14ac:dyDescent="0.25">
      <c r="A868" s="73" t="s">
        <v>23</v>
      </c>
      <c r="B868" s="83">
        <v>800253526</v>
      </c>
      <c r="C868" s="74" t="s">
        <v>1005</v>
      </c>
      <c r="D868" s="83" t="s">
        <v>60</v>
      </c>
      <c r="E868" s="75" t="s">
        <v>378</v>
      </c>
      <c r="F868" s="76" t="s">
        <v>1419</v>
      </c>
      <c r="G868" s="83" t="s">
        <v>60</v>
      </c>
      <c r="H868" s="72">
        <v>45842</v>
      </c>
      <c r="I868" s="166">
        <v>1104297.17</v>
      </c>
      <c r="J868" s="166"/>
      <c r="K868" s="166">
        <v>0</v>
      </c>
      <c r="L868" s="166"/>
      <c r="M868" s="185">
        <v>-297.17</v>
      </c>
      <c r="N868" s="166">
        <f t="shared" si="45"/>
        <v>1104000</v>
      </c>
      <c r="O868" s="36"/>
      <c r="P868" s="36"/>
      <c r="S868" s="100"/>
    </row>
    <row r="869" spans="1:19" ht="13.7" customHeight="1" x14ac:dyDescent="0.25">
      <c r="A869" s="73" t="s">
        <v>23</v>
      </c>
      <c r="B869" s="83">
        <v>890981391</v>
      </c>
      <c r="C869" s="74" t="s">
        <v>895</v>
      </c>
      <c r="D869" s="83" t="s">
        <v>60</v>
      </c>
      <c r="E869" s="75" t="s">
        <v>378</v>
      </c>
      <c r="F869" s="76" t="s">
        <v>1420</v>
      </c>
      <c r="G869" s="83" t="s">
        <v>60</v>
      </c>
      <c r="H869" s="72">
        <v>45842</v>
      </c>
      <c r="I869" s="166">
        <v>3970162.77</v>
      </c>
      <c r="J869" s="166"/>
      <c r="K869" s="166">
        <v>0</v>
      </c>
      <c r="L869" s="166"/>
      <c r="M869" s="185">
        <v>-162.77000000000001</v>
      </c>
      <c r="N869" s="166">
        <f t="shared" si="45"/>
        <v>3970000</v>
      </c>
      <c r="O869" s="36"/>
      <c r="P869" s="36"/>
      <c r="S869" s="100"/>
    </row>
    <row r="870" spans="1:19" ht="13.7" customHeight="1" x14ac:dyDescent="0.25">
      <c r="A870" s="73" t="s">
        <v>23</v>
      </c>
      <c r="B870" s="83">
        <v>800051167</v>
      </c>
      <c r="C870" s="74" t="s">
        <v>1409</v>
      </c>
      <c r="D870" s="83" t="s">
        <v>60</v>
      </c>
      <c r="E870" s="75" t="s">
        <v>378</v>
      </c>
      <c r="F870" s="76" t="s">
        <v>1421</v>
      </c>
      <c r="G870" s="83" t="s">
        <v>60</v>
      </c>
      <c r="H870" s="72">
        <v>45842</v>
      </c>
      <c r="I870" s="166">
        <v>3245808.3</v>
      </c>
      <c r="J870" s="166"/>
      <c r="K870" s="166">
        <v>0</v>
      </c>
      <c r="L870" s="166"/>
      <c r="M870" s="185">
        <v>191.7</v>
      </c>
      <c r="N870" s="166">
        <f t="shared" si="45"/>
        <v>3246000</v>
      </c>
      <c r="O870" s="36"/>
      <c r="P870" s="36"/>
      <c r="S870" s="100"/>
    </row>
    <row r="871" spans="1:19" ht="13.7" customHeight="1" x14ac:dyDescent="0.25">
      <c r="A871" s="73" t="s">
        <v>23</v>
      </c>
      <c r="B871" s="83">
        <v>891480031</v>
      </c>
      <c r="C871" s="74" t="s">
        <v>999</v>
      </c>
      <c r="D871" s="83" t="s">
        <v>60</v>
      </c>
      <c r="E871" s="75" t="s">
        <v>378</v>
      </c>
      <c r="F871" s="76" t="s">
        <v>1422</v>
      </c>
      <c r="G871" s="83" t="s">
        <v>60</v>
      </c>
      <c r="H871" s="72">
        <v>45842</v>
      </c>
      <c r="I871" s="166">
        <v>15864643.66</v>
      </c>
      <c r="J871" s="166"/>
      <c r="K871" s="166">
        <v>0</v>
      </c>
      <c r="L871" s="166"/>
      <c r="M871" s="185">
        <v>356.34</v>
      </c>
      <c r="N871" s="166">
        <f t="shared" si="45"/>
        <v>15865000</v>
      </c>
      <c r="O871" s="36"/>
      <c r="P871" s="36"/>
      <c r="S871" s="100"/>
    </row>
    <row r="872" spans="1:19" ht="13.7" customHeight="1" x14ac:dyDescent="0.25">
      <c r="A872" s="73" t="s">
        <v>23</v>
      </c>
      <c r="B872" s="83">
        <v>800138959</v>
      </c>
      <c r="C872" s="74" t="s">
        <v>700</v>
      </c>
      <c r="D872" s="83" t="s">
        <v>60</v>
      </c>
      <c r="E872" s="75" t="s">
        <v>378</v>
      </c>
      <c r="F872" s="76" t="s">
        <v>1423</v>
      </c>
      <c r="G872" s="83" t="s">
        <v>60</v>
      </c>
      <c r="H872" s="72">
        <v>45842</v>
      </c>
      <c r="I872" s="166">
        <v>1351534.3</v>
      </c>
      <c r="J872" s="166"/>
      <c r="K872" s="166">
        <v>0</v>
      </c>
      <c r="L872" s="166"/>
      <c r="M872" s="185">
        <v>465.7</v>
      </c>
      <c r="N872" s="166">
        <f t="shared" si="45"/>
        <v>1352000</v>
      </c>
      <c r="O872" s="36"/>
      <c r="P872" s="36"/>
      <c r="S872" s="100"/>
    </row>
    <row r="873" spans="1:19" ht="13.7" customHeight="1" x14ac:dyDescent="0.25">
      <c r="A873" s="73" t="s">
        <v>23</v>
      </c>
      <c r="B873" s="83">
        <v>800138959</v>
      </c>
      <c r="C873" s="74" t="s">
        <v>700</v>
      </c>
      <c r="D873" s="83" t="s">
        <v>60</v>
      </c>
      <c r="E873" s="75" t="s">
        <v>378</v>
      </c>
      <c r="F873" s="76" t="s">
        <v>1424</v>
      </c>
      <c r="G873" s="83" t="s">
        <v>60</v>
      </c>
      <c r="H873" s="72">
        <v>45842</v>
      </c>
      <c r="I873" s="166">
        <v>67576.710000000006</v>
      </c>
      <c r="J873" s="166"/>
      <c r="K873" s="166">
        <v>0</v>
      </c>
      <c r="L873" s="166"/>
      <c r="M873" s="185">
        <v>423.29</v>
      </c>
      <c r="N873" s="166">
        <f t="shared" si="45"/>
        <v>68000</v>
      </c>
      <c r="O873" s="36"/>
      <c r="P873" s="36"/>
      <c r="S873" s="100"/>
    </row>
    <row r="874" spans="1:19" ht="13.7" customHeight="1" x14ac:dyDescent="0.25">
      <c r="A874" s="73" t="s">
        <v>23</v>
      </c>
      <c r="B874" s="83">
        <v>800138959</v>
      </c>
      <c r="C874" s="74" t="s">
        <v>700</v>
      </c>
      <c r="D874" s="83" t="s">
        <v>60</v>
      </c>
      <c r="E874" s="75" t="s">
        <v>378</v>
      </c>
      <c r="F874" s="76" t="s">
        <v>1425</v>
      </c>
      <c r="G874" s="83" t="s">
        <v>60</v>
      </c>
      <c r="H874" s="72">
        <v>45842</v>
      </c>
      <c r="I874" s="166">
        <v>202730.14</v>
      </c>
      <c r="J874" s="166"/>
      <c r="K874" s="166">
        <v>0</v>
      </c>
      <c r="L874" s="166"/>
      <c r="M874" s="185">
        <v>269.86</v>
      </c>
      <c r="N874" s="166">
        <f t="shared" si="45"/>
        <v>203000</v>
      </c>
      <c r="O874" s="36"/>
      <c r="P874" s="36"/>
      <c r="S874" s="100"/>
    </row>
    <row r="875" spans="1:19" x14ac:dyDescent="0.25">
      <c r="A875" s="73" t="s">
        <v>23</v>
      </c>
      <c r="B875" s="83">
        <v>800051168</v>
      </c>
      <c r="C875" s="74" t="s">
        <v>1333</v>
      </c>
      <c r="D875" s="83" t="s">
        <v>60</v>
      </c>
      <c r="E875" s="75" t="s">
        <v>378</v>
      </c>
      <c r="F875" s="76" t="s">
        <v>1426</v>
      </c>
      <c r="G875" s="83" t="s">
        <v>60</v>
      </c>
      <c r="H875" s="72">
        <v>45845</v>
      </c>
      <c r="I875" s="166">
        <v>48787.94</v>
      </c>
      <c r="J875" s="166"/>
      <c r="K875" s="166">
        <v>0</v>
      </c>
      <c r="L875" s="166"/>
      <c r="M875" s="185">
        <v>212.06</v>
      </c>
      <c r="N875" s="166">
        <f t="shared" ref="N875:N914" si="46">+I875-J875-K875-L875+M875</f>
        <v>49000</v>
      </c>
      <c r="O875" s="36"/>
      <c r="P875" s="36"/>
    </row>
    <row r="876" spans="1:19" ht="30" x14ac:dyDescent="0.25">
      <c r="A876" s="73" t="s">
        <v>23</v>
      </c>
      <c r="B876" s="83">
        <v>800070682</v>
      </c>
      <c r="C876" s="74" t="s">
        <v>995</v>
      </c>
      <c r="D876" s="83" t="s">
        <v>60</v>
      </c>
      <c r="E876" s="75" t="s">
        <v>378</v>
      </c>
      <c r="F876" s="76" t="s">
        <v>1427</v>
      </c>
      <c r="G876" s="83" t="s">
        <v>60</v>
      </c>
      <c r="H876" s="72">
        <v>45845</v>
      </c>
      <c r="I876" s="166">
        <v>116013.51</v>
      </c>
      <c r="J876" s="166"/>
      <c r="K876" s="166">
        <v>0</v>
      </c>
      <c r="L876" s="166"/>
      <c r="M876" s="185">
        <v>-13.51</v>
      </c>
      <c r="N876" s="166">
        <f t="shared" si="46"/>
        <v>116000</v>
      </c>
      <c r="O876" s="36"/>
      <c r="P876" s="36"/>
    </row>
    <row r="877" spans="1:19" ht="30" x14ac:dyDescent="0.25">
      <c r="A877" s="73" t="s">
        <v>23</v>
      </c>
      <c r="B877" s="83">
        <v>800070682</v>
      </c>
      <c r="C877" s="74" t="s">
        <v>995</v>
      </c>
      <c r="D877" s="83" t="s">
        <v>60</v>
      </c>
      <c r="E877" s="75" t="s">
        <v>378</v>
      </c>
      <c r="F877" s="76" t="s">
        <v>1428</v>
      </c>
      <c r="G877" s="83" t="s">
        <v>60</v>
      </c>
      <c r="H877" s="72">
        <v>45845</v>
      </c>
      <c r="I877" s="166">
        <v>17402.03</v>
      </c>
      <c r="J877" s="166"/>
      <c r="K877" s="166">
        <v>0</v>
      </c>
      <c r="L877" s="166"/>
      <c r="M877" s="185">
        <v>-402.03</v>
      </c>
      <c r="N877" s="166">
        <f t="shared" si="46"/>
        <v>17000</v>
      </c>
      <c r="O877" s="36"/>
      <c r="P877" s="36"/>
    </row>
    <row r="878" spans="1:19" x14ac:dyDescent="0.25">
      <c r="A878" s="73" t="s">
        <v>23</v>
      </c>
      <c r="B878" s="83">
        <v>800099317</v>
      </c>
      <c r="C878" s="74" t="s">
        <v>850</v>
      </c>
      <c r="D878" s="83" t="s">
        <v>60</v>
      </c>
      <c r="E878" s="75" t="s">
        <v>378</v>
      </c>
      <c r="F878" s="76" t="s">
        <v>1429</v>
      </c>
      <c r="G878" s="83" t="s">
        <v>60</v>
      </c>
      <c r="H878" s="72">
        <v>45845</v>
      </c>
      <c r="I878" s="166">
        <v>224531.83</v>
      </c>
      <c r="J878" s="166"/>
      <c r="K878" s="166">
        <v>0</v>
      </c>
      <c r="L878" s="166"/>
      <c r="M878" s="185">
        <v>468.17</v>
      </c>
      <c r="N878" s="166">
        <f t="shared" si="46"/>
        <v>225000</v>
      </c>
      <c r="O878" s="36"/>
      <c r="P878" s="36"/>
    </row>
    <row r="879" spans="1:19" ht="13.7" customHeight="1" x14ac:dyDescent="0.25">
      <c r="A879" s="73" t="s">
        <v>23</v>
      </c>
      <c r="B879" s="83">
        <v>891502307</v>
      </c>
      <c r="C879" s="74" t="s">
        <v>663</v>
      </c>
      <c r="D879" s="83" t="s">
        <v>60</v>
      </c>
      <c r="E879" s="75" t="s">
        <v>378</v>
      </c>
      <c r="F879" s="76" t="s">
        <v>1430</v>
      </c>
      <c r="G879" s="83" t="s">
        <v>60</v>
      </c>
      <c r="H879" s="72">
        <v>45845</v>
      </c>
      <c r="I879" s="166">
        <v>2775289.7</v>
      </c>
      <c r="J879" s="166"/>
      <c r="K879" s="166">
        <v>0</v>
      </c>
      <c r="L879" s="166"/>
      <c r="M879" s="185">
        <v>-289.7</v>
      </c>
      <c r="N879" s="166">
        <f t="shared" si="46"/>
        <v>2775000</v>
      </c>
      <c r="O879" s="36"/>
      <c r="P879" s="36"/>
    </row>
    <row r="880" spans="1:19" ht="13.7" customHeight="1" x14ac:dyDescent="0.25">
      <c r="A880" s="73" t="s">
        <v>23</v>
      </c>
      <c r="B880" s="83">
        <v>890980344</v>
      </c>
      <c r="C880" s="74" t="s">
        <v>1004</v>
      </c>
      <c r="D880" s="83" t="s">
        <v>60</v>
      </c>
      <c r="E880" s="75" t="s">
        <v>378</v>
      </c>
      <c r="F880" s="76" t="s">
        <v>1431</v>
      </c>
      <c r="G880" s="83" t="s">
        <v>60</v>
      </c>
      <c r="H880" s="72">
        <v>45845</v>
      </c>
      <c r="I880" s="166">
        <v>595871.41</v>
      </c>
      <c r="J880" s="166"/>
      <c r="K880" s="166">
        <v>0</v>
      </c>
      <c r="L880" s="166"/>
      <c r="M880" s="185">
        <v>128.59</v>
      </c>
      <c r="N880" s="166">
        <f t="shared" si="46"/>
        <v>596000</v>
      </c>
      <c r="O880" s="36"/>
      <c r="P880" s="36"/>
    </row>
    <row r="881" spans="1:16" ht="13.7" customHeight="1" x14ac:dyDescent="0.25">
      <c r="A881" s="73" t="s">
        <v>23</v>
      </c>
      <c r="B881" s="83">
        <v>800113389</v>
      </c>
      <c r="C881" s="74" t="s">
        <v>747</v>
      </c>
      <c r="D881" s="83" t="s">
        <v>60</v>
      </c>
      <c r="E881" s="75" t="s">
        <v>378</v>
      </c>
      <c r="F881" s="76" t="s">
        <v>1432</v>
      </c>
      <c r="G881" s="83" t="s">
        <v>60</v>
      </c>
      <c r="H881" s="72">
        <v>45845</v>
      </c>
      <c r="I881" s="166">
        <v>9924845.6899999995</v>
      </c>
      <c r="J881" s="166"/>
      <c r="K881" s="166">
        <v>0</v>
      </c>
      <c r="L881" s="166"/>
      <c r="M881" s="185">
        <v>0.31</v>
      </c>
      <c r="N881" s="166">
        <f t="shared" si="46"/>
        <v>9924846</v>
      </c>
      <c r="O881" s="36"/>
      <c r="P881" s="36"/>
    </row>
    <row r="882" spans="1:16" ht="13.7" customHeight="1" x14ac:dyDescent="0.25">
      <c r="A882" s="73" t="s">
        <v>23</v>
      </c>
      <c r="B882" s="83">
        <v>800113389</v>
      </c>
      <c r="C882" s="74" t="s">
        <v>747</v>
      </c>
      <c r="D882" s="83" t="s">
        <v>60</v>
      </c>
      <c r="E882" s="75" t="s">
        <v>378</v>
      </c>
      <c r="F882" s="76" t="s">
        <v>1433</v>
      </c>
      <c r="G882" s="83" t="s">
        <v>60</v>
      </c>
      <c r="H882" s="72">
        <v>45845</v>
      </c>
      <c r="I882" s="166">
        <v>595490.74</v>
      </c>
      <c r="J882" s="166"/>
      <c r="K882" s="166">
        <v>0</v>
      </c>
      <c r="L882" s="166"/>
      <c r="M882" s="185">
        <v>0.26</v>
      </c>
      <c r="N882" s="166">
        <f t="shared" si="46"/>
        <v>595491</v>
      </c>
      <c r="O882" s="36"/>
      <c r="P882" s="36"/>
    </row>
    <row r="883" spans="1:16" ht="13.7" customHeight="1" x14ac:dyDescent="0.25">
      <c r="A883" s="73" t="s">
        <v>23</v>
      </c>
      <c r="B883" s="83">
        <v>800117687</v>
      </c>
      <c r="C883" s="74" t="s">
        <v>674</v>
      </c>
      <c r="D883" s="83" t="s">
        <v>60</v>
      </c>
      <c r="E883" s="75" t="s">
        <v>378</v>
      </c>
      <c r="F883" s="76" t="s">
        <v>1434</v>
      </c>
      <c r="G883" s="83" t="s">
        <v>60</v>
      </c>
      <c r="H883" s="72">
        <v>45845</v>
      </c>
      <c r="I883" s="166">
        <v>110172.24</v>
      </c>
      <c r="J883" s="166"/>
      <c r="K883" s="166">
        <v>0</v>
      </c>
      <c r="L883" s="166"/>
      <c r="M883" s="185">
        <v>-172.24</v>
      </c>
      <c r="N883" s="166">
        <f t="shared" si="46"/>
        <v>110000</v>
      </c>
      <c r="O883" s="36"/>
      <c r="P883" s="36"/>
    </row>
    <row r="884" spans="1:16" ht="13.7" customHeight="1" x14ac:dyDescent="0.25">
      <c r="A884" s="73" t="s">
        <v>23</v>
      </c>
      <c r="B884" s="83">
        <v>892200592</v>
      </c>
      <c r="C884" s="74" t="s">
        <v>1009</v>
      </c>
      <c r="D884" s="83" t="s">
        <v>60</v>
      </c>
      <c r="E884" s="75" t="s">
        <v>378</v>
      </c>
      <c r="F884" s="76" t="s">
        <v>1435</v>
      </c>
      <c r="G884" s="83" t="s">
        <v>60</v>
      </c>
      <c r="H884" s="72">
        <v>45845</v>
      </c>
      <c r="I884" s="166">
        <v>2128966.4900000002</v>
      </c>
      <c r="J884" s="166"/>
      <c r="K884" s="166">
        <v>0</v>
      </c>
      <c r="L884" s="166"/>
      <c r="M884" s="185">
        <v>33.51</v>
      </c>
      <c r="N884" s="166">
        <f t="shared" si="46"/>
        <v>2129000</v>
      </c>
      <c r="O884" s="36"/>
      <c r="P884" s="36"/>
    </row>
    <row r="885" spans="1:16" ht="13.7" customHeight="1" x14ac:dyDescent="0.25">
      <c r="A885" s="73" t="s">
        <v>23</v>
      </c>
      <c r="B885" s="83">
        <v>890801143</v>
      </c>
      <c r="C885" s="74" t="s">
        <v>1003</v>
      </c>
      <c r="D885" s="83" t="s">
        <v>60</v>
      </c>
      <c r="E885" s="75" t="s">
        <v>378</v>
      </c>
      <c r="F885" s="76" t="s">
        <v>1436</v>
      </c>
      <c r="G885" s="83" t="s">
        <v>60</v>
      </c>
      <c r="H885" s="72">
        <v>45845</v>
      </c>
      <c r="I885" s="166">
        <v>3390654.53</v>
      </c>
      <c r="J885" s="166"/>
      <c r="K885" s="166">
        <v>0</v>
      </c>
      <c r="L885" s="166"/>
      <c r="M885" s="185">
        <v>345.47</v>
      </c>
      <c r="N885" s="166">
        <f t="shared" si="46"/>
        <v>3391000</v>
      </c>
      <c r="O885" s="36"/>
      <c r="P885" s="36"/>
    </row>
    <row r="886" spans="1:16" ht="13.7" customHeight="1" x14ac:dyDescent="0.25">
      <c r="A886" s="73" t="s">
        <v>23</v>
      </c>
      <c r="B886" s="83">
        <v>891500580</v>
      </c>
      <c r="C886" s="74" t="s">
        <v>672</v>
      </c>
      <c r="D886" s="83" t="s">
        <v>60</v>
      </c>
      <c r="E886" s="75" t="s">
        <v>378</v>
      </c>
      <c r="F886" s="76" t="s">
        <v>1437</v>
      </c>
      <c r="G886" s="83" t="s">
        <v>60</v>
      </c>
      <c r="H886" s="72">
        <v>45845</v>
      </c>
      <c r="I886" s="166">
        <v>4920.9799999999996</v>
      </c>
      <c r="J886" s="166"/>
      <c r="K886" s="166">
        <v>0</v>
      </c>
      <c r="L886" s="166"/>
      <c r="M886" s="185">
        <v>79.02</v>
      </c>
      <c r="N886" s="166">
        <f t="shared" si="46"/>
        <v>5000</v>
      </c>
      <c r="O886" s="36"/>
      <c r="P886" s="36"/>
    </row>
    <row r="887" spans="1:16" ht="13.7" customHeight="1" x14ac:dyDescent="0.25">
      <c r="A887" s="73" t="s">
        <v>23</v>
      </c>
      <c r="B887" s="83">
        <v>800099132</v>
      </c>
      <c r="C887" s="74" t="s">
        <v>1410</v>
      </c>
      <c r="D887" s="83" t="s">
        <v>60</v>
      </c>
      <c r="E887" s="75" t="s">
        <v>378</v>
      </c>
      <c r="F887" s="76" t="s">
        <v>1438</v>
      </c>
      <c r="G887" s="83" t="s">
        <v>60</v>
      </c>
      <c r="H887" s="72">
        <v>45845</v>
      </c>
      <c r="I887" s="166">
        <v>648830.14</v>
      </c>
      <c r="J887" s="166"/>
      <c r="K887" s="166">
        <v>0</v>
      </c>
      <c r="L887" s="166"/>
      <c r="M887" s="185">
        <v>169.86</v>
      </c>
      <c r="N887" s="166">
        <f t="shared" si="46"/>
        <v>649000</v>
      </c>
      <c r="O887" s="36"/>
      <c r="P887" s="36"/>
    </row>
    <row r="888" spans="1:16" ht="13.7" customHeight="1" x14ac:dyDescent="0.25">
      <c r="A888" s="73" t="s">
        <v>23</v>
      </c>
      <c r="B888" s="83">
        <v>890985354</v>
      </c>
      <c r="C888" s="74" t="s">
        <v>749</v>
      </c>
      <c r="D888" s="83" t="s">
        <v>60</v>
      </c>
      <c r="E888" s="75" t="s">
        <v>378</v>
      </c>
      <c r="F888" s="76" t="s">
        <v>1439</v>
      </c>
      <c r="G888" s="83" t="s">
        <v>60</v>
      </c>
      <c r="H888" s="72">
        <v>45845</v>
      </c>
      <c r="I888" s="166">
        <v>5884816.4400000004</v>
      </c>
      <c r="J888" s="166"/>
      <c r="K888" s="166">
        <v>0</v>
      </c>
      <c r="L888" s="166"/>
      <c r="M888" s="185">
        <v>183.56</v>
      </c>
      <c r="N888" s="166">
        <f t="shared" si="46"/>
        <v>5885000</v>
      </c>
      <c r="O888" s="36"/>
      <c r="P888" s="36"/>
    </row>
    <row r="889" spans="1:16" ht="13.7" customHeight="1" x14ac:dyDescent="0.25">
      <c r="A889" s="73" t="s">
        <v>23</v>
      </c>
      <c r="B889" s="83">
        <v>892115024</v>
      </c>
      <c r="C889" s="74" t="s">
        <v>755</v>
      </c>
      <c r="D889" s="83" t="s">
        <v>60</v>
      </c>
      <c r="E889" s="75" t="s">
        <v>378</v>
      </c>
      <c r="F889" s="76" t="s">
        <v>1440</v>
      </c>
      <c r="G889" s="83" t="s">
        <v>60</v>
      </c>
      <c r="H889" s="72">
        <v>45845</v>
      </c>
      <c r="I889" s="166">
        <v>45762.49</v>
      </c>
      <c r="J889" s="166"/>
      <c r="K889" s="166">
        <v>0</v>
      </c>
      <c r="L889" s="166"/>
      <c r="M889" s="185">
        <v>237.51</v>
      </c>
      <c r="N889" s="166">
        <f t="shared" si="46"/>
        <v>46000</v>
      </c>
      <c r="O889" s="36"/>
      <c r="P889" s="36"/>
    </row>
    <row r="890" spans="1:16" ht="13.7" customHeight="1" x14ac:dyDescent="0.25">
      <c r="A890" s="73" t="s">
        <v>23</v>
      </c>
      <c r="B890" s="83">
        <v>891480032</v>
      </c>
      <c r="C890" s="74" t="s">
        <v>851</v>
      </c>
      <c r="D890" s="83" t="s">
        <v>60</v>
      </c>
      <c r="E890" s="75" t="s">
        <v>378</v>
      </c>
      <c r="F890" s="76" t="s">
        <v>1441</v>
      </c>
      <c r="G890" s="83" t="s">
        <v>60</v>
      </c>
      <c r="H890" s="72">
        <v>45845</v>
      </c>
      <c r="I890" s="166">
        <v>9365.4500000000007</v>
      </c>
      <c r="J890" s="166"/>
      <c r="K890" s="166">
        <v>0</v>
      </c>
      <c r="L890" s="166"/>
      <c r="M890" s="185">
        <v>-365.45</v>
      </c>
      <c r="N890" s="166">
        <f t="shared" si="46"/>
        <v>9000</v>
      </c>
      <c r="O890" s="36"/>
      <c r="P890" s="36"/>
    </row>
    <row r="891" spans="1:16" ht="13.7" customHeight="1" x14ac:dyDescent="0.25">
      <c r="A891" s="73" t="s">
        <v>23</v>
      </c>
      <c r="B891" s="83">
        <v>800100519</v>
      </c>
      <c r="C891" s="74" t="s">
        <v>666</v>
      </c>
      <c r="D891" s="83" t="s">
        <v>60</v>
      </c>
      <c r="E891" s="75" t="s">
        <v>378</v>
      </c>
      <c r="F891" s="76" t="s">
        <v>1442</v>
      </c>
      <c r="G891" s="83" t="s">
        <v>60</v>
      </c>
      <c r="H891" s="72">
        <v>45845</v>
      </c>
      <c r="I891" s="166">
        <v>20527.96</v>
      </c>
      <c r="J891" s="166"/>
      <c r="K891" s="166">
        <v>0</v>
      </c>
      <c r="L891" s="166"/>
      <c r="M891" s="185">
        <v>472.04</v>
      </c>
      <c r="N891" s="166">
        <f t="shared" si="46"/>
        <v>21000</v>
      </c>
      <c r="O891" s="36"/>
      <c r="P891" s="36"/>
    </row>
    <row r="892" spans="1:16" ht="13.7" customHeight="1" x14ac:dyDescent="0.25">
      <c r="A892" s="73" t="s">
        <v>23</v>
      </c>
      <c r="B892" s="83">
        <v>800070375</v>
      </c>
      <c r="C892" s="74" t="s">
        <v>946</v>
      </c>
      <c r="D892" s="83" t="s">
        <v>60</v>
      </c>
      <c r="E892" s="75" t="s">
        <v>378</v>
      </c>
      <c r="F892" s="76" t="s">
        <v>1443</v>
      </c>
      <c r="G892" s="83" t="s">
        <v>60</v>
      </c>
      <c r="H892" s="72">
        <v>45845</v>
      </c>
      <c r="I892" s="166">
        <v>63484.32</v>
      </c>
      <c r="J892" s="166"/>
      <c r="K892" s="166">
        <v>0</v>
      </c>
      <c r="L892" s="166"/>
      <c r="M892" s="185">
        <v>-484.32</v>
      </c>
      <c r="N892" s="166">
        <f t="shared" si="46"/>
        <v>63000</v>
      </c>
      <c r="O892" s="36"/>
      <c r="P892" s="36"/>
    </row>
    <row r="893" spans="1:16" ht="13.7" customHeight="1" x14ac:dyDescent="0.25">
      <c r="A893" s="73" t="s">
        <v>23</v>
      </c>
      <c r="B893" s="83">
        <v>800191431</v>
      </c>
      <c r="C893" s="74" t="s">
        <v>1000</v>
      </c>
      <c r="D893" s="83" t="s">
        <v>60</v>
      </c>
      <c r="E893" s="75" t="s">
        <v>378</v>
      </c>
      <c r="F893" s="76" t="s">
        <v>1444</v>
      </c>
      <c r="G893" s="83" t="s">
        <v>60</v>
      </c>
      <c r="H893" s="72">
        <v>45845</v>
      </c>
      <c r="I893" s="166">
        <v>44117.65</v>
      </c>
      <c r="J893" s="166"/>
      <c r="K893" s="166">
        <v>0</v>
      </c>
      <c r="L893" s="166"/>
      <c r="M893" s="185">
        <v>-117.65</v>
      </c>
      <c r="N893" s="166">
        <f t="shared" si="46"/>
        <v>44000</v>
      </c>
      <c r="O893" s="36"/>
      <c r="P893" s="36"/>
    </row>
    <row r="894" spans="1:16" ht="13.7" customHeight="1" x14ac:dyDescent="0.25">
      <c r="A894" s="73" t="s">
        <v>23</v>
      </c>
      <c r="B894" s="83">
        <v>890981106</v>
      </c>
      <c r="C894" s="74" t="s">
        <v>1002</v>
      </c>
      <c r="D894" s="83" t="s">
        <v>60</v>
      </c>
      <c r="E894" s="75" t="s">
        <v>378</v>
      </c>
      <c r="F894" s="76" t="s">
        <v>1445</v>
      </c>
      <c r="G894" s="83" t="s">
        <v>60</v>
      </c>
      <c r="H894" s="72">
        <v>45845</v>
      </c>
      <c r="I894" s="166">
        <v>521957.45</v>
      </c>
      <c r="J894" s="166"/>
      <c r="K894" s="166">
        <v>0</v>
      </c>
      <c r="L894" s="166"/>
      <c r="M894" s="185">
        <v>42.55</v>
      </c>
      <c r="N894" s="166">
        <f t="shared" si="46"/>
        <v>522000</v>
      </c>
      <c r="O894" s="36"/>
      <c r="P894" s="36"/>
    </row>
    <row r="895" spans="1:16" ht="13.7" customHeight="1" x14ac:dyDescent="0.25">
      <c r="A895" s="73" t="s">
        <v>23</v>
      </c>
      <c r="B895" s="83">
        <v>890982278</v>
      </c>
      <c r="C895" s="74" t="s">
        <v>994</v>
      </c>
      <c r="D895" s="83" t="s">
        <v>60</v>
      </c>
      <c r="E895" s="75" t="s">
        <v>378</v>
      </c>
      <c r="F895" s="76" t="s">
        <v>1446</v>
      </c>
      <c r="G895" s="83" t="s">
        <v>60</v>
      </c>
      <c r="H895" s="72">
        <v>45845</v>
      </c>
      <c r="I895" s="166">
        <v>1521376.01</v>
      </c>
      <c r="J895" s="166"/>
      <c r="K895" s="166">
        <v>0</v>
      </c>
      <c r="L895" s="166"/>
      <c r="M895" s="185">
        <v>-376.01</v>
      </c>
      <c r="N895" s="166">
        <f t="shared" si="46"/>
        <v>1521000</v>
      </c>
      <c r="O895" s="36"/>
      <c r="P895" s="36"/>
    </row>
    <row r="896" spans="1:16" ht="13.7" customHeight="1" x14ac:dyDescent="0.25">
      <c r="A896" s="73" t="s">
        <v>23</v>
      </c>
      <c r="B896" s="83">
        <v>818001203</v>
      </c>
      <c r="C896" s="74" t="s">
        <v>1019</v>
      </c>
      <c r="D896" s="83" t="s">
        <v>60</v>
      </c>
      <c r="E896" s="75" t="s">
        <v>378</v>
      </c>
      <c r="F896" s="76" t="s">
        <v>1447</v>
      </c>
      <c r="G896" s="83" t="s">
        <v>60</v>
      </c>
      <c r="H896" s="72">
        <v>45846</v>
      </c>
      <c r="I896" s="166">
        <v>1347312.31</v>
      </c>
      <c r="J896" s="166"/>
      <c r="K896" s="166">
        <v>0</v>
      </c>
      <c r="L896" s="166"/>
      <c r="M896" s="185">
        <v>-312.31</v>
      </c>
      <c r="N896" s="166">
        <f t="shared" si="46"/>
        <v>1347000</v>
      </c>
      <c r="O896" s="36"/>
      <c r="P896" s="36"/>
    </row>
    <row r="897" spans="1:19" ht="13.7" customHeight="1" x14ac:dyDescent="0.25">
      <c r="A897" s="73" t="s">
        <v>23</v>
      </c>
      <c r="B897" s="83">
        <v>899999090</v>
      </c>
      <c r="C897" s="74" t="s">
        <v>1001</v>
      </c>
      <c r="D897" s="83" t="s">
        <v>60</v>
      </c>
      <c r="E897" s="75" t="s">
        <v>378</v>
      </c>
      <c r="F897" s="76" t="s">
        <v>1448</v>
      </c>
      <c r="G897" s="83" t="s">
        <v>60</v>
      </c>
      <c r="H897" s="72">
        <v>45846</v>
      </c>
      <c r="I897" s="166">
        <v>176437700.84</v>
      </c>
      <c r="J897" s="166"/>
      <c r="K897" s="166">
        <v>0</v>
      </c>
      <c r="L897" s="166"/>
      <c r="M897" s="185">
        <v>299.16000000000003</v>
      </c>
      <c r="N897" s="166">
        <f t="shared" si="46"/>
        <v>176438000</v>
      </c>
      <c r="O897" s="36"/>
      <c r="P897" s="36"/>
    </row>
    <row r="898" spans="1:19" ht="13.7" customHeight="1" x14ac:dyDescent="0.25">
      <c r="A898" s="73" t="s">
        <v>23</v>
      </c>
      <c r="B898" s="83">
        <v>800095589</v>
      </c>
      <c r="C898" s="74" t="s">
        <v>1010</v>
      </c>
      <c r="D898" s="83" t="s">
        <v>60</v>
      </c>
      <c r="E898" s="75" t="s">
        <v>378</v>
      </c>
      <c r="F898" s="76" t="s">
        <v>1449</v>
      </c>
      <c r="G898" s="83" t="s">
        <v>60</v>
      </c>
      <c r="H898" s="72">
        <v>45847</v>
      </c>
      <c r="I898" s="166">
        <v>94515.82</v>
      </c>
      <c r="J898" s="166"/>
      <c r="K898" s="166">
        <v>0</v>
      </c>
      <c r="L898" s="166"/>
      <c r="M898" s="185">
        <v>484.18</v>
      </c>
      <c r="N898" s="166">
        <f t="shared" si="46"/>
        <v>95000</v>
      </c>
      <c r="O898" s="36"/>
      <c r="P898" s="36"/>
    </row>
    <row r="899" spans="1:19" ht="13.7" customHeight="1" x14ac:dyDescent="0.25">
      <c r="A899" s="73" t="s">
        <v>23</v>
      </c>
      <c r="B899" s="83">
        <v>890201190</v>
      </c>
      <c r="C899" s="74" t="s">
        <v>1411</v>
      </c>
      <c r="D899" s="83" t="s">
        <v>60</v>
      </c>
      <c r="E899" s="75" t="s">
        <v>378</v>
      </c>
      <c r="F899" s="76" t="s">
        <v>1450</v>
      </c>
      <c r="G899" s="83" t="s">
        <v>60</v>
      </c>
      <c r="H899" s="72">
        <v>45847</v>
      </c>
      <c r="I899" s="166">
        <v>552148.59</v>
      </c>
      <c r="J899" s="166"/>
      <c r="K899" s="166">
        <v>0</v>
      </c>
      <c r="L899" s="166"/>
      <c r="M899" s="185">
        <v>-148.59</v>
      </c>
      <c r="N899" s="166">
        <f t="shared" si="46"/>
        <v>552000</v>
      </c>
      <c r="O899" s="36"/>
      <c r="P899" s="36"/>
    </row>
    <row r="900" spans="1:19" ht="13.7" customHeight="1" x14ac:dyDescent="0.25">
      <c r="A900" s="73" t="s">
        <v>23</v>
      </c>
      <c r="B900" s="83">
        <v>800103180</v>
      </c>
      <c r="C900" s="74" t="s">
        <v>1018</v>
      </c>
      <c r="D900" s="83" t="s">
        <v>60</v>
      </c>
      <c r="E900" s="75" t="s">
        <v>378</v>
      </c>
      <c r="F900" s="76" t="s">
        <v>1451</v>
      </c>
      <c r="G900" s="83" t="s">
        <v>60</v>
      </c>
      <c r="H900" s="72">
        <v>45847</v>
      </c>
      <c r="I900" s="166">
        <v>10619181.050000001</v>
      </c>
      <c r="J900" s="166"/>
      <c r="K900" s="166">
        <v>0</v>
      </c>
      <c r="L900" s="166"/>
      <c r="M900" s="185">
        <v>-181.05</v>
      </c>
      <c r="N900" s="166">
        <f t="shared" si="46"/>
        <v>10619000</v>
      </c>
      <c r="O900" s="36"/>
      <c r="P900" s="36"/>
    </row>
    <row r="901" spans="1:19" ht="13.7" customHeight="1" x14ac:dyDescent="0.25">
      <c r="A901" s="73" t="s">
        <v>23</v>
      </c>
      <c r="B901" s="83">
        <v>818000899</v>
      </c>
      <c r="C901" s="74" t="s">
        <v>1008</v>
      </c>
      <c r="D901" s="83" t="s">
        <v>60</v>
      </c>
      <c r="E901" s="75" t="s">
        <v>378</v>
      </c>
      <c r="F901" s="76" t="s">
        <v>1452</v>
      </c>
      <c r="G901" s="83" t="s">
        <v>60</v>
      </c>
      <c r="H901" s="72">
        <v>45848</v>
      </c>
      <c r="I901" s="166">
        <v>70538.13</v>
      </c>
      <c r="J901" s="166"/>
      <c r="K901" s="166">
        <v>0</v>
      </c>
      <c r="L901" s="166"/>
      <c r="M901" s="185">
        <v>461.87</v>
      </c>
      <c r="N901" s="166">
        <f t="shared" si="46"/>
        <v>71000</v>
      </c>
      <c r="O901" s="36"/>
      <c r="P901" s="36"/>
    </row>
    <row r="902" spans="1:19" ht="13.7" customHeight="1" x14ac:dyDescent="0.25">
      <c r="A902" s="73" t="s">
        <v>23</v>
      </c>
      <c r="B902" s="83">
        <v>892115155</v>
      </c>
      <c r="C902" s="74" t="s">
        <v>667</v>
      </c>
      <c r="D902" s="83" t="s">
        <v>60</v>
      </c>
      <c r="E902" s="75" t="s">
        <v>378</v>
      </c>
      <c r="F902" s="76" t="s">
        <v>1453</v>
      </c>
      <c r="G902" s="83" t="s">
        <v>60</v>
      </c>
      <c r="H902" s="72">
        <v>45848</v>
      </c>
      <c r="I902" s="166">
        <v>7821089.1900000004</v>
      </c>
      <c r="J902" s="166"/>
      <c r="K902" s="166">
        <v>0</v>
      </c>
      <c r="L902" s="166"/>
      <c r="M902" s="185">
        <v>-89.19</v>
      </c>
      <c r="N902" s="166">
        <f t="shared" si="46"/>
        <v>7821000</v>
      </c>
      <c r="O902" s="36"/>
      <c r="P902" s="36"/>
    </row>
    <row r="903" spans="1:19" ht="13.7" customHeight="1" x14ac:dyDescent="0.25">
      <c r="A903" s="73" t="s">
        <v>23</v>
      </c>
      <c r="B903" s="83">
        <v>891680081</v>
      </c>
      <c r="C903" s="74" t="s">
        <v>1014</v>
      </c>
      <c r="D903" s="83" t="s">
        <v>60</v>
      </c>
      <c r="E903" s="75" t="s">
        <v>378</v>
      </c>
      <c r="F903" s="76" t="s">
        <v>1454</v>
      </c>
      <c r="G903" s="83" t="s">
        <v>60</v>
      </c>
      <c r="H903" s="72">
        <v>45848</v>
      </c>
      <c r="I903" s="166">
        <v>1247297.83</v>
      </c>
      <c r="J903" s="166"/>
      <c r="K903" s="166">
        <v>0</v>
      </c>
      <c r="L903" s="166"/>
      <c r="M903" s="185">
        <v>-297.83</v>
      </c>
      <c r="N903" s="166">
        <f t="shared" si="46"/>
        <v>1247000</v>
      </c>
      <c r="O903" s="36"/>
      <c r="P903" s="36"/>
    </row>
    <row r="904" spans="1:19" ht="13.7" customHeight="1" x14ac:dyDescent="0.25">
      <c r="A904" s="73" t="s">
        <v>23</v>
      </c>
      <c r="B904" s="83">
        <v>891680081</v>
      </c>
      <c r="C904" s="74" t="s">
        <v>1014</v>
      </c>
      <c r="D904" s="83" t="s">
        <v>60</v>
      </c>
      <c r="E904" s="75" t="s">
        <v>378</v>
      </c>
      <c r="F904" s="76" t="s">
        <v>1455</v>
      </c>
      <c r="G904" s="83" t="s">
        <v>60</v>
      </c>
      <c r="H904" s="72">
        <v>45848</v>
      </c>
      <c r="I904" s="166">
        <v>24945.95</v>
      </c>
      <c r="J904" s="166"/>
      <c r="K904" s="166">
        <v>0</v>
      </c>
      <c r="L904" s="166"/>
      <c r="M904" s="185">
        <v>54.05</v>
      </c>
      <c r="N904" s="166">
        <f t="shared" si="46"/>
        <v>25000</v>
      </c>
      <c r="O904" s="36"/>
      <c r="P904" s="36"/>
    </row>
    <row r="905" spans="1:19" ht="13.7" customHeight="1" x14ac:dyDescent="0.25">
      <c r="A905" s="73" t="s">
        <v>23</v>
      </c>
      <c r="B905" s="83">
        <v>891680081</v>
      </c>
      <c r="C905" s="74" t="s">
        <v>1014</v>
      </c>
      <c r="D905" s="83" t="s">
        <v>60</v>
      </c>
      <c r="E905" s="75" t="s">
        <v>378</v>
      </c>
      <c r="F905" s="76" t="s">
        <v>1456</v>
      </c>
      <c r="G905" s="83" t="s">
        <v>60</v>
      </c>
      <c r="H905" s="72">
        <v>45848</v>
      </c>
      <c r="I905" s="166">
        <v>187094.67</v>
      </c>
      <c r="J905" s="166"/>
      <c r="K905" s="166">
        <v>0</v>
      </c>
      <c r="L905" s="166"/>
      <c r="M905" s="185">
        <v>-94.67</v>
      </c>
      <c r="N905" s="166">
        <f t="shared" si="46"/>
        <v>187000</v>
      </c>
      <c r="O905" s="36"/>
      <c r="P905" s="36"/>
    </row>
    <row r="906" spans="1:19" ht="13.7" customHeight="1" x14ac:dyDescent="0.25">
      <c r="A906" s="73" t="s">
        <v>23</v>
      </c>
      <c r="B906" s="83">
        <v>899999001</v>
      </c>
      <c r="C906" s="74" t="s">
        <v>53</v>
      </c>
      <c r="D906" s="83" t="s">
        <v>60</v>
      </c>
      <c r="E906" s="75" t="s">
        <v>378</v>
      </c>
      <c r="F906" s="76" t="s">
        <v>1457</v>
      </c>
      <c r="G906" s="83" t="s">
        <v>60</v>
      </c>
      <c r="H906" s="72">
        <v>45848</v>
      </c>
      <c r="I906" s="166">
        <v>559734472.13999999</v>
      </c>
      <c r="J906" s="166"/>
      <c r="K906" s="166">
        <v>0</v>
      </c>
      <c r="L906" s="166"/>
      <c r="M906" s="185">
        <v>-472.14</v>
      </c>
      <c r="N906" s="166">
        <f t="shared" si="46"/>
        <v>559734000</v>
      </c>
      <c r="O906" s="36"/>
      <c r="P906" s="36"/>
    </row>
    <row r="907" spans="1:19" ht="13.7" customHeight="1" x14ac:dyDescent="0.25">
      <c r="A907" s="73" t="s">
        <v>23</v>
      </c>
      <c r="B907" s="83">
        <v>800100053</v>
      </c>
      <c r="C907" s="74" t="s">
        <v>555</v>
      </c>
      <c r="D907" s="83" t="s">
        <v>60</v>
      </c>
      <c r="E907" s="75" t="s">
        <v>378</v>
      </c>
      <c r="F907" s="76" t="s">
        <v>1458</v>
      </c>
      <c r="G907" s="83" t="s">
        <v>60</v>
      </c>
      <c r="H907" s="72">
        <v>45849</v>
      </c>
      <c r="I907" s="166">
        <v>347479.73</v>
      </c>
      <c r="J907" s="166"/>
      <c r="K907" s="166">
        <v>0</v>
      </c>
      <c r="L907" s="166"/>
      <c r="M907" s="185">
        <v>-479.73</v>
      </c>
      <c r="N907" s="166">
        <f t="shared" si="46"/>
        <v>347000</v>
      </c>
      <c r="O907" s="36"/>
      <c r="P907" s="36"/>
      <c r="S907" s="100"/>
    </row>
    <row r="908" spans="1:19" ht="13.7" customHeight="1" x14ac:dyDescent="0.25">
      <c r="A908" s="73" t="s">
        <v>23</v>
      </c>
      <c r="B908" s="83">
        <v>800099061</v>
      </c>
      <c r="C908" s="74" t="s">
        <v>1412</v>
      </c>
      <c r="D908" s="83" t="s">
        <v>60</v>
      </c>
      <c r="E908" s="75" t="s">
        <v>378</v>
      </c>
      <c r="F908" s="76" t="s">
        <v>1459</v>
      </c>
      <c r="G908" s="83" t="s">
        <v>60</v>
      </c>
      <c r="H908" s="72">
        <v>45849</v>
      </c>
      <c r="I908" s="166">
        <v>5439982.4800000004</v>
      </c>
      <c r="J908" s="166"/>
      <c r="K908" s="166">
        <v>0</v>
      </c>
      <c r="L908" s="166"/>
      <c r="M908" s="185">
        <v>17.52</v>
      </c>
      <c r="N908" s="166">
        <f t="shared" si="46"/>
        <v>5440000</v>
      </c>
      <c r="O908" s="36"/>
      <c r="P908" s="36"/>
      <c r="S908" s="100"/>
    </row>
    <row r="909" spans="1:19" ht="13.7" customHeight="1" x14ac:dyDescent="0.25">
      <c r="A909" s="73" t="s">
        <v>23</v>
      </c>
      <c r="B909" s="83">
        <v>892120020</v>
      </c>
      <c r="C909" s="74" t="s">
        <v>756</v>
      </c>
      <c r="D909" s="83" t="s">
        <v>60</v>
      </c>
      <c r="E909" s="75" t="s">
        <v>378</v>
      </c>
      <c r="F909" s="76" t="s">
        <v>1460</v>
      </c>
      <c r="G909" s="83" t="s">
        <v>60</v>
      </c>
      <c r="H909" s="72">
        <v>45849</v>
      </c>
      <c r="I909" s="166">
        <v>76182.720000000001</v>
      </c>
      <c r="J909" s="166"/>
      <c r="K909" s="166">
        <v>0</v>
      </c>
      <c r="L909" s="166"/>
      <c r="M909" s="185">
        <v>-182.72</v>
      </c>
      <c r="N909" s="166">
        <f t="shared" si="46"/>
        <v>76000</v>
      </c>
      <c r="O909" s="36"/>
      <c r="P909" s="36"/>
      <c r="S909" s="100"/>
    </row>
    <row r="910" spans="1:19" ht="13.7" customHeight="1" x14ac:dyDescent="0.25">
      <c r="A910" s="73" t="s">
        <v>23</v>
      </c>
      <c r="B910" s="83">
        <v>891680011</v>
      </c>
      <c r="C910" s="74" t="s">
        <v>1017</v>
      </c>
      <c r="D910" s="83" t="s">
        <v>60</v>
      </c>
      <c r="E910" s="75" t="s">
        <v>378</v>
      </c>
      <c r="F910" s="76" t="s">
        <v>1461</v>
      </c>
      <c r="G910" s="83" t="s">
        <v>60</v>
      </c>
      <c r="H910" s="72">
        <v>45849</v>
      </c>
      <c r="I910" s="166">
        <v>56430.5</v>
      </c>
      <c r="J910" s="166"/>
      <c r="K910" s="166">
        <v>0</v>
      </c>
      <c r="L910" s="166"/>
      <c r="M910" s="185">
        <v>-430.5</v>
      </c>
      <c r="N910" s="166">
        <f t="shared" si="46"/>
        <v>56000</v>
      </c>
      <c r="O910" s="36"/>
      <c r="P910" s="36"/>
      <c r="S910" s="100"/>
    </row>
    <row r="911" spans="1:19" ht="13.7" customHeight="1" x14ac:dyDescent="0.25">
      <c r="A911" s="73" t="s">
        <v>23</v>
      </c>
      <c r="B911" s="83">
        <v>890480022</v>
      </c>
      <c r="C911" s="74" t="s">
        <v>1012</v>
      </c>
      <c r="D911" s="83" t="s">
        <v>60</v>
      </c>
      <c r="E911" s="75" t="s">
        <v>378</v>
      </c>
      <c r="F911" s="76" t="s">
        <v>1462</v>
      </c>
      <c r="G911" s="83" t="s">
        <v>60</v>
      </c>
      <c r="H911" s="72">
        <v>45849</v>
      </c>
      <c r="I911" s="166">
        <v>448443.34</v>
      </c>
      <c r="J911" s="166"/>
      <c r="K911" s="166">
        <v>0</v>
      </c>
      <c r="L911" s="166"/>
      <c r="M911" s="185">
        <v>-443.34</v>
      </c>
      <c r="N911" s="166">
        <f t="shared" si="46"/>
        <v>448000</v>
      </c>
      <c r="O911" s="36"/>
      <c r="P911" s="36"/>
      <c r="S911" s="100"/>
    </row>
    <row r="912" spans="1:19" ht="13.7" customHeight="1" x14ac:dyDescent="0.25">
      <c r="A912" s="73" t="s">
        <v>23</v>
      </c>
      <c r="B912" s="83">
        <v>891480025</v>
      </c>
      <c r="C912" s="74" t="s">
        <v>896</v>
      </c>
      <c r="D912" s="83" t="s">
        <v>60</v>
      </c>
      <c r="E912" s="75" t="s">
        <v>378</v>
      </c>
      <c r="F912" s="76" t="s">
        <v>1463</v>
      </c>
      <c r="G912" s="83" t="s">
        <v>60</v>
      </c>
      <c r="H912" s="72">
        <v>45852</v>
      </c>
      <c r="I912" s="166">
        <v>516392.77</v>
      </c>
      <c r="J912" s="166"/>
      <c r="K912" s="166">
        <v>0</v>
      </c>
      <c r="L912" s="166"/>
      <c r="M912" s="185">
        <v>-392.77</v>
      </c>
      <c r="N912" s="166">
        <f t="shared" si="46"/>
        <v>516000</v>
      </c>
      <c r="O912" s="36"/>
      <c r="P912" s="36"/>
      <c r="S912" s="100"/>
    </row>
    <row r="913" spans="1:20" ht="13.7" customHeight="1" x14ac:dyDescent="0.25">
      <c r="A913" s="73" t="s">
        <v>23</v>
      </c>
      <c r="B913" s="83">
        <v>891500978</v>
      </c>
      <c r="C913" s="74" t="s">
        <v>1413</v>
      </c>
      <c r="D913" s="83" t="s">
        <v>60</v>
      </c>
      <c r="E913" s="75" t="s">
        <v>378</v>
      </c>
      <c r="F913" s="76" t="s">
        <v>1464</v>
      </c>
      <c r="G913" s="83" t="s">
        <v>60</v>
      </c>
      <c r="H913" s="72">
        <v>45852</v>
      </c>
      <c r="I913" s="166">
        <v>2362615.9900000002</v>
      </c>
      <c r="J913" s="166"/>
      <c r="K913" s="166">
        <v>0</v>
      </c>
      <c r="L913" s="166"/>
      <c r="M913" s="185">
        <v>384.01</v>
      </c>
      <c r="N913" s="166">
        <f t="shared" si="46"/>
        <v>2363000</v>
      </c>
      <c r="O913" s="36"/>
      <c r="P913" s="36"/>
      <c r="S913" s="100"/>
    </row>
    <row r="914" spans="1:20" ht="13.7" customHeight="1" x14ac:dyDescent="0.25">
      <c r="A914" s="73" t="s">
        <v>23</v>
      </c>
      <c r="B914" s="83">
        <v>891680057</v>
      </c>
      <c r="C914" s="74" t="s">
        <v>1020</v>
      </c>
      <c r="D914" s="83" t="s">
        <v>60</v>
      </c>
      <c r="E914" s="75" t="s">
        <v>378</v>
      </c>
      <c r="F914" s="76" t="s">
        <v>1465</v>
      </c>
      <c r="G914" s="83" t="s">
        <v>60</v>
      </c>
      <c r="H914" s="72">
        <v>45852</v>
      </c>
      <c r="I914" s="166">
        <v>83364.55</v>
      </c>
      <c r="J914" s="166"/>
      <c r="K914" s="166">
        <v>0</v>
      </c>
      <c r="L914" s="166"/>
      <c r="M914" s="185">
        <v>-364.55</v>
      </c>
      <c r="N914" s="166">
        <f t="shared" si="46"/>
        <v>83000</v>
      </c>
      <c r="O914" s="36"/>
      <c r="P914" s="36"/>
      <c r="S914" s="100"/>
    </row>
    <row r="915" spans="1:20" ht="13.7" customHeight="1" x14ac:dyDescent="0.25">
      <c r="A915" s="73" t="s">
        <v>23</v>
      </c>
      <c r="B915" s="83">
        <v>891480024</v>
      </c>
      <c r="C915" s="74" t="s">
        <v>1016</v>
      </c>
      <c r="D915" s="83" t="s">
        <v>60</v>
      </c>
      <c r="E915" s="75" t="s">
        <v>378</v>
      </c>
      <c r="F915" s="76" t="s">
        <v>1466</v>
      </c>
      <c r="G915" s="83" t="s">
        <v>60</v>
      </c>
      <c r="H915" s="72">
        <v>45852</v>
      </c>
      <c r="I915" s="166">
        <v>872393.49</v>
      </c>
      <c r="J915" s="166"/>
      <c r="K915" s="166">
        <v>0</v>
      </c>
      <c r="L915" s="166"/>
      <c r="M915" s="185">
        <v>-393.49</v>
      </c>
      <c r="N915" s="166">
        <f t="shared" si="45"/>
        <v>872000</v>
      </c>
      <c r="O915" s="36"/>
      <c r="P915" s="36"/>
      <c r="S915" s="100"/>
    </row>
    <row r="916" spans="1:20" ht="13.7" customHeight="1" x14ac:dyDescent="0.25">
      <c r="A916" s="73" t="s">
        <v>23</v>
      </c>
      <c r="B916" s="83">
        <v>891500269</v>
      </c>
      <c r="C916" s="74" t="s">
        <v>1015</v>
      </c>
      <c r="D916" s="83" t="s">
        <v>60</v>
      </c>
      <c r="E916" s="75" t="s">
        <v>378</v>
      </c>
      <c r="F916" s="76" t="s">
        <v>1467</v>
      </c>
      <c r="G916" s="83" t="s">
        <v>60</v>
      </c>
      <c r="H916" s="72">
        <v>45852</v>
      </c>
      <c r="I916" s="166">
        <v>1744282.8</v>
      </c>
      <c r="J916" s="166"/>
      <c r="K916" s="166">
        <v>0</v>
      </c>
      <c r="L916" s="166"/>
      <c r="M916" s="185">
        <v>-282.8</v>
      </c>
      <c r="N916" s="166">
        <f t="shared" si="45"/>
        <v>1744000</v>
      </c>
      <c r="O916" s="36"/>
      <c r="P916" s="36"/>
      <c r="S916" s="100"/>
    </row>
    <row r="917" spans="1:20" ht="13.7" customHeight="1" x14ac:dyDescent="0.25">
      <c r="A917" s="73" t="s">
        <v>23</v>
      </c>
      <c r="B917" s="83">
        <v>891500725</v>
      </c>
      <c r="C917" s="74" t="s">
        <v>1414</v>
      </c>
      <c r="D917" s="83" t="s">
        <v>60</v>
      </c>
      <c r="E917" s="75" t="s">
        <v>378</v>
      </c>
      <c r="F917" s="76" t="s">
        <v>1468</v>
      </c>
      <c r="G917" s="83" t="s">
        <v>60</v>
      </c>
      <c r="H917" s="72">
        <v>45853</v>
      </c>
      <c r="I917" s="166">
        <v>811037.69</v>
      </c>
      <c r="J917" s="166"/>
      <c r="K917" s="166">
        <v>0</v>
      </c>
      <c r="L917" s="166"/>
      <c r="M917" s="185">
        <v>-37.69</v>
      </c>
      <c r="N917" s="166">
        <f t="shared" si="45"/>
        <v>811000</v>
      </c>
      <c r="O917" s="36"/>
      <c r="P917" s="36"/>
      <c r="S917" s="100"/>
    </row>
    <row r="918" spans="1:20" ht="13.7" customHeight="1" x14ac:dyDescent="0.25">
      <c r="A918" s="73" t="s">
        <v>23</v>
      </c>
      <c r="B918" s="83">
        <v>891500869</v>
      </c>
      <c r="C918" s="74" t="s">
        <v>1334</v>
      </c>
      <c r="D918" s="83" t="s">
        <v>60</v>
      </c>
      <c r="E918" s="75" t="s">
        <v>378</v>
      </c>
      <c r="F918" s="76" t="s">
        <v>1469</v>
      </c>
      <c r="G918" s="83" t="s">
        <v>60</v>
      </c>
      <c r="H918" s="72">
        <v>45853</v>
      </c>
      <c r="I918" s="166">
        <v>782244.49</v>
      </c>
      <c r="J918" s="166"/>
      <c r="K918" s="166">
        <v>0</v>
      </c>
      <c r="L918" s="166"/>
      <c r="M918" s="185">
        <v>-244.49</v>
      </c>
      <c r="N918" s="166">
        <f t="shared" si="45"/>
        <v>782000</v>
      </c>
      <c r="O918" s="36"/>
      <c r="P918" s="36"/>
      <c r="S918" s="100"/>
    </row>
    <row r="919" spans="1:20" ht="13.7" customHeight="1" x14ac:dyDescent="0.25">
      <c r="A919" s="73" t="s">
        <v>23</v>
      </c>
      <c r="B919" s="83">
        <v>800197268</v>
      </c>
      <c r="C919" s="74" t="s">
        <v>1415</v>
      </c>
      <c r="D919" s="83" t="s">
        <v>60</v>
      </c>
      <c r="E919" s="75" t="s">
        <v>378</v>
      </c>
      <c r="F919" s="76" t="s">
        <v>1470</v>
      </c>
      <c r="G919" s="83" t="s">
        <v>60</v>
      </c>
      <c r="H919" s="72">
        <v>45853</v>
      </c>
      <c r="I919" s="166">
        <v>32531977.609999999</v>
      </c>
      <c r="J919" s="166"/>
      <c r="K919" s="166">
        <v>0</v>
      </c>
      <c r="L919" s="166"/>
      <c r="M919" s="185">
        <v>22.39</v>
      </c>
      <c r="N919" s="166">
        <f t="shared" si="45"/>
        <v>32532000</v>
      </c>
      <c r="O919" s="36"/>
      <c r="P919" s="36"/>
      <c r="S919" s="100"/>
    </row>
    <row r="920" spans="1:20" ht="13.7" customHeight="1" x14ac:dyDescent="0.25">
      <c r="A920" s="73" t="s">
        <v>23</v>
      </c>
      <c r="B920" s="83">
        <v>800031075</v>
      </c>
      <c r="C920" s="74" t="s">
        <v>897</v>
      </c>
      <c r="D920" s="83" t="s">
        <v>60</v>
      </c>
      <c r="E920" s="75" t="s">
        <v>378</v>
      </c>
      <c r="F920" s="76" t="s">
        <v>1471</v>
      </c>
      <c r="G920" s="83" t="s">
        <v>60</v>
      </c>
      <c r="H920" s="72">
        <v>45854</v>
      </c>
      <c r="I920" s="166">
        <v>4717018.75</v>
      </c>
      <c r="J920" s="166"/>
      <c r="K920" s="166">
        <v>0</v>
      </c>
      <c r="L920" s="166"/>
      <c r="M920" s="185">
        <v>-18.75</v>
      </c>
      <c r="N920" s="166">
        <f t="shared" si="45"/>
        <v>4717000</v>
      </c>
      <c r="O920" s="36"/>
      <c r="P920" s="36"/>
      <c r="S920" s="100"/>
    </row>
    <row r="921" spans="1:20" ht="13.7" customHeight="1" x14ac:dyDescent="0.25">
      <c r="A921" s="73" t="s">
        <v>23</v>
      </c>
      <c r="B921" s="83">
        <v>800197268</v>
      </c>
      <c r="C921" s="74" t="s">
        <v>1415</v>
      </c>
      <c r="D921" s="83" t="s">
        <v>60</v>
      </c>
      <c r="E921" s="75" t="s">
        <v>378</v>
      </c>
      <c r="F921" s="76" t="s">
        <v>1472</v>
      </c>
      <c r="G921" s="83" t="s">
        <v>60</v>
      </c>
      <c r="H921" s="72">
        <v>45856</v>
      </c>
      <c r="I921" s="166">
        <v>130921234.70999999</v>
      </c>
      <c r="J921" s="166"/>
      <c r="K921" s="166">
        <v>0</v>
      </c>
      <c r="L921" s="166"/>
      <c r="M921" s="185">
        <v>-234.71</v>
      </c>
      <c r="N921" s="166">
        <f t="shared" si="45"/>
        <v>130921000</v>
      </c>
      <c r="O921" s="36"/>
      <c r="P921" s="36"/>
      <c r="S921" s="100"/>
    </row>
    <row r="922" spans="1:20" ht="13.7" customHeight="1" x14ac:dyDescent="0.25">
      <c r="F922" s="107" t="str">
        <f>"TOTAL "&amp;UPPER(TEXT((EOMONTH(FECHA,0)),"mmmm/yyyy"))</f>
        <v>TOTAL JULIO/2025</v>
      </c>
      <c r="I922" s="184">
        <f t="shared" ref="I922:N922" si="47">+SUM(I835:I921)</f>
        <v>6127713910.5699959</v>
      </c>
      <c r="J922" s="184">
        <f t="shared" si="47"/>
        <v>-818392921.70000005</v>
      </c>
      <c r="K922" s="184">
        <f t="shared" si="47"/>
        <v>433862646.26000011</v>
      </c>
      <c r="L922" s="184">
        <f t="shared" si="47"/>
        <v>269059353</v>
      </c>
      <c r="M922" s="184">
        <f t="shared" si="47"/>
        <v>-1092.28</v>
      </c>
      <c r="N922" s="184">
        <f t="shared" si="47"/>
        <v>6243183740.7300005</v>
      </c>
      <c r="O922" s="100"/>
      <c r="P922" s="36"/>
      <c r="S922" s="100"/>
    </row>
    <row r="923" spans="1:20" ht="13.7" customHeight="1" x14ac:dyDescent="0.25">
      <c r="F923" s="130" t="str">
        <f>"TOTAL ACUMULADO A "&amp;UPPER(TEXT((EOMONTH(FECHA,0)),"dd/mmm/yy"))</f>
        <v>TOTAL ACUMULADO A 31/JUL/25</v>
      </c>
      <c r="I923" s="168">
        <f t="shared" ref="I923:N923" si="48">+I533+I233+I181+I117+I86+I52+I32+I19+I17+I15+I13+I9+I330+I390+I481+I629+I679+I784+I834+I922</f>
        <v>130345049291.99997</v>
      </c>
      <c r="J923" s="168">
        <f t="shared" si="48"/>
        <v>7985967938.3399992</v>
      </c>
      <c r="K923" s="168">
        <f t="shared" si="48"/>
        <v>10450187924.4</v>
      </c>
      <c r="L923" s="168">
        <f t="shared" si="48"/>
        <v>978851131.85000014</v>
      </c>
      <c r="M923" s="168">
        <f t="shared" si="48"/>
        <v>3161.670000000001</v>
      </c>
      <c r="N923" s="168">
        <f t="shared" si="48"/>
        <v>110930045459.08</v>
      </c>
      <c r="O923" s="36"/>
      <c r="P923" s="36"/>
    </row>
    <row r="924" spans="1:20" ht="13.7" customHeight="1" x14ac:dyDescent="0.25">
      <c r="O924" s="100"/>
    </row>
    <row r="925" spans="1:20" ht="13.7" customHeight="1" x14ac:dyDescent="0.25">
      <c r="I925" s="132" t="s">
        <v>376</v>
      </c>
      <c r="J925" s="132" t="s">
        <v>377</v>
      </c>
      <c r="K925" s="132" t="s">
        <v>378</v>
      </c>
      <c r="L925" s="132" t="s">
        <v>741</v>
      </c>
      <c r="M925" s="199" t="s">
        <v>379</v>
      </c>
      <c r="N925" s="132" t="s">
        <v>380</v>
      </c>
    </row>
    <row r="926" spans="1:20" ht="13.7" customHeight="1" x14ac:dyDescent="0.25">
      <c r="G926" s="298" t="s">
        <v>392</v>
      </c>
      <c r="H926" s="98" t="s">
        <v>378</v>
      </c>
      <c r="I926" s="186">
        <f>SUMIF($E$8:E1838,H926,$I$8:I1838)</f>
        <v>10009376016.259998</v>
      </c>
      <c r="J926" s="186">
        <f>SUMIF($E$8:E1838,H926,$J$8:J1838)</f>
        <v>0</v>
      </c>
      <c r="K926" s="186">
        <f>SUMIF($E$8:E1838,H926,$K$8:K1838)</f>
        <v>0</v>
      </c>
      <c r="L926" s="186">
        <f>SUMIF($E$8:E1838,H926,$L$8:L1838)</f>
        <v>0</v>
      </c>
      <c r="M926" s="186">
        <f>SUMIF($E$8:E1838,H926,$M$8:M1838)</f>
        <v>3161.6700000000014</v>
      </c>
      <c r="N926" s="186">
        <f>SUMIF($E$8:E1838,H926,$N$8:N1838)</f>
        <v>10009379177.93</v>
      </c>
      <c r="S926" s="216"/>
      <c r="T926" s="216"/>
    </row>
    <row r="927" spans="1:20" ht="13.7" customHeight="1" x14ac:dyDescent="0.25">
      <c r="G927" s="298"/>
      <c r="H927" s="98" t="s">
        <v>393</v>
      </c>
      <c r="I927" s="186">
        <f>SUMIF($E$8:E1838,H927,$I$8:I1838)</f>
        <v>0</v>
      </c>
      <c r="J927" s="186">
        <f>SUMIF($E$8:E1838,H927,$J$8:J1838)</f>
        <v>0</v>
      </c>
      <c r="K927" s="186">
        <f>SUMIF($E$8:E1838,H927,$K$8:K1838)</f>
        <v>0</v>
      </c>
      <c r="L927" s="186">
        <f>SUMIF($E$8:E1838,H927,$L$8:L1838)</f>
        <v>0</v>
      </c>
      <c r="M927" s="186">
        <f>SUMIF($E$8:E1838,H927,$M$8:M1838)</f>
        <v>0</v>
      </c>
      <c r="N927" s="186">
        <f>SUMIF($E$8:E1838,H927,$N$8:N1838)</f>
        <v>0</v>
      </c>
    </row>
    <row r="928" spans="1:20" ht="13.7" customHeight="1" x14ac:dyDescent="0.25">
      <c r="G928" s="298"/>
      <c r="H928" s="98" t="s">
        <v>394</v>
      </c>
      <c r="I928" s="186">
        <f>SUMIF($E$8:E1170,H928,$I$8:I1170)</f>
        <v>120335673275.73978</v>
      </c>
      <c r="J928" s="186">
        <f>SUMIF($E$8:E1170,H928,$J$8:J1170)</f>
        <v>7985967938.340004</v>
      </c>
      <c r="K928" s="186">
        <f>SUMIF($E$8:E1838,H928,$K$8:K1838)</f>
        <v>10450187924.4</v>
      </c>
      <c r="L928" s="186">
        <f>SUMIF($E$8:E1838,H928,$L$8:L1838)</f>
        <v>978851131.85000014</v>
      </c>
      <c r="M928" s="186">
        <f>SUMIF($E$8:E1838,H928,$M$8:M1838)</f>
        <v>0</v>
      </c>
      <c r="N928" s="186">
        <f>SUMIF($E$8:E1838,H928,$N$8:N1838)</f>
        <v>100920666281.1499</v>
      </c>
      <c r="S928" s="216"/>
      <c r="T928" s="216"/>
    </row>
    <row r="929" spans="7:20" ht="13.7" customHeight="1" x14ac:dyDescent="0.25">
      <c r="G929" s="298"/>
      <c r="H929" s="147" t="s">
        <v>91</v>
      </c>
      <c r="I929" s="171">
        <f>SUM(I926:I928)</f>
        <v>130345049291.99977</v>
      </c>
      <c r="J929" s="171">
        <f>SUM(J926:J928)</f>
        <v>7985967938.340004</v>
      </c>
      <c r="K929" s="171">
        <f t="shared" ref="K929:M929" si="49">SUM(K926:K928)</f>
        <v>10450187924.4</v>
      </c>
      <c r="L929" s="171">
        <f t="shared" si="49"/>
        <v>978851131.85000014</v>
      </c>
      <c r="M929" s="171">
        <f t="shared" si="49"/>
        <v>3161.6700000000014</v>
      </c>
      <c r="N929" s="171">
        <f>SUM(N926:N928)</f>
        <v>110930045459.0799</v>
      </c>
      <c r="T929" s="68"/>
    </row>
    <row r="930" spans="7:20" ht="13.7" customHeight="1" x14ac:dyDescent="0.25"/>
    <row r="931" spans="7:20" ht="13.7" customHeight="1" x14ac:dyDescent="0.25">
      <c r="K931" s="100"/>
      <c r="N931" s="100"/>
    </row>
    <row r="932" spans="7:20" ht="13.7" customHeight="1" x14ac:dyDescent="0.25">
      <c r="I932" s="100"/>
      <c r="N932" s="100"/>
    </row>
    <row r="933" spans="7:20" ht="13.7" customHeight="1" x14ac:dyDescent="0.25">
      <c r="L933" s="100"/>
      <c r="N933" s="100"/>
    </row>
    <row r="934" spans="7:20" ht="13.7" customHeight="1" x14ac:dyDescent="0.25"/>
    <row r="935" spans="7:20" ht="13.7" customHeight="1" x14ac:dyDescent="0.25"/>
    <row r="936" spans="7:20" ht="13.7" customHeight="1" x14ac:dyDescent="0.25"/>
    <row r="937" spans="7:20" ht="13.7" customHeight="1" x14ac:dyDescent="0.25"/>
    <row r="938" spans="7:20" ht="13.7" customHeight="1" x14ac:dyDescent="0.25"/>
    <row r="939" spans="7:20" ht="13.7" customHeight="1" x14ac:dyDescent="0.25"/>
    <row r="940" spans="7:20" ht="13.7" customHeight="1" x14ac:dyDescent="0.25"/>
    <row r="941" spans="7:20" ht="13.7" customHeight="1" x14ac:dyDescent="0.25"/>
    <row r="942" spans="7:20" ht="13.7" customHeight="1" x14ac:dyDescent="0.25"/>
    <row r="943" spans="7:20" ht="13.7" customHeight="1" x14ac:dyDescent="0.25"/>
    <row r="944" spans="7:20" ht="13.7" customHeight="1" x14ac:dyDescent="0.25"/>
    <row r="945" ht="13.7" customHeight="1" x14ac:dyDescent="0.25"/>
    <row r="946" ht="13.7" customHeight="1" x14ac:dyDescent="0.25"/>
    <row r="947" ht="13.7" customHeight="1" x14ac:dyDescent="0.25"/>
    <row r="948" ht="13.7" customHeight="1" x14ac:dyDescent="0.25"/>
    <row r="949" ht="13.7" customHeight="1" x14ac:dyDescent="0.25"/>
    <row r="950" ht="13.7" customHeight="1" x14ac:dyDescent="0.25"/>
  </sheetData>
  <sheetProtection algorithmName="SHA-512" hashValue="aickMoOPlbTJfa44Be5UttH7G3eyA23xA+p/FUBbyQRNAFA4LGZq/fhhRsO9RI2HZe2ML/FgC4TX7mJKmRt2wQ==" saltValue="NPfzpOz5oZsavNIHoprHqA==" spinCount="100000" sheet="1" objects="1" scenarios="1"/>
  <mergeCells count="6">
    <mergeCell ref="G926:G929"/>
    <mergeCell ref="A1:N1"/>
    <mergeCell ref="A2:N2"/>
    <mergeCell ref="A3:N3"/>
    <mergeCell ref="A4:N4"/>
    <mergeCell ref="A5:N5"/>
  </mergeCells>
  <pageMargins left="0.70866141732283472" right="0.70866141732283472" top="0.74803149606299213" bottom="0.74803149606299213" header="0.31496062992125984" footer="0.31496062992125984"/>
  <pageSetup scale="10" orientation="landscape"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40"/>
  <sheetViews>
    <sheetView showGridLines="0" view="pageBreakPreview" zoomScale="85" zoomScaleNormal="85" zoomScaleSheetLayoutView="85" workbookViewId="0">
      <selection sqref="A1:I1"/>
    </sheetView>
  </sheetViews>
  <sheetFormatPr baseColWidth="10" defaultColWidth="11.42578125" defaultRowHeight="15" x14ac:dyDescent="0.25"/>
  <cols>
    <col min="1" max="9" width="26.85546875" customWidth="1"/>
    <col min="10" max="10" width="24.140625" customWidth="1"/>
    <col min="11" max="11" width="18" customWidth="1"/>
    <col min="12" max="12" width="19.42578125" customWidth="1"/>
    <col min="13" max="13" width="23.42578125" customWidth="1"/>
    <col min="14" max="14" width="16" customWidth="1"/>
  </cols>
  <sheetData>
    <row r="1" spans="1:10" ht="15.75" x14ac:dyDescent="0.25">
      <c r="A1" s="274" t="str">
        <f>CONTRATO</f>
        <v>Contrato Interadministrativo No. CO1.PCCNTR.5090635</v>
      </c>
      <c r="B1" s="274"/>
      <c r="C1" s="274"/>
      <c r="D1" s="274"/>
      <c r="E1" s="274"/>
      <c r="F1" s="274"/>
      <c r="G1" s="274"/>
      <c r="H1" s="274"/>
      <c r="I1" s="274"/>
    </row>
    <row r="2" spans="1:10" ht="15.75" x14ac:dyDescent="0.25">
      <c r="A2" s="274" t="s">
        <v>6</v>
      </c>
      <c r="B2" s="274"/>
      <c r="C2" s="274"/>
      <c r="D2" s="274"/>
      <c r="E2" s="274"/>
      <c r="F2" s="274"/>
      <c r="G2" s="274"/>
      <c r="H2" s="274"/>
      <c r="I2" s="274"/>
    </row>
    <row r="3" spans="1:10" ht="15.75" x14ac:dyDescent="0.25">
      <c r="A3" s="274" t="s">
        <v>17</v>
      </c>
      <c r="B3" s="274"/>
      <c r="C3" s="274"/>
      <c r="D3" s="274"/>
      <c r="E3" s="274"/>
      <c r="F3" s="274"/>
      <c r="G3" s="274"/>
      <c r="H3" s="274"/>
      <c r="I3" s="274"/>
    </row>
    <row r="4" spans="1:10" ht="18.75" x14ac:dyDescent="0.3">
      <c r="A4" s="271" t="s">
        <v>395</v>
      </c>
      <c r="B4" s="271"/>
      <c r="C4" s="271"/>
      <c r="D4" s="271"/>
      <c r="E4" s="271"/>
      <c r="F4" s="271"/>
      <c r="G4" s="271"/>
      <c r="H4" s="271"/>
      <c r="I4" s="271"/>
    </row>
    <row r="5" spans="1:10" ht="15.75" x14ac:dyDescent="0.25">
      <c r="A5" s="293" t="str">
        <f>periodo</f>
        <v>01 de julio al 31 de julio de 2025</v>
      </c>
      <c r="B5" s="293"/>
      <c r="C5" s="293"/>
      <c r="D5" s="293"/>
      <c r="E5" s="293"/>
      <c r="F5" s="293"/>
      <c r="G5" s="293"/>
      <c r="H5" s="293"/>
      <c r="I5" s="293"/>
    </row>
    <row r="6" spans="1:10" x14ac:dyDescent="0.25">
      <c r="D6" s="38"/>
      <c r="E6" s="38"/>
      <c r="F6" s="38"/>
      <c r="G6" s="38"/>
      <c r="J6" s="39"/>
    </row>
    <row r="7" spans="1:10" ht="75" x14ac:dyDescent="0.25">
      <c r="A7" s="131" t="s">
        <v>62</v>
      </c>
      <c r="B7" s="131" t="s">
        <v>396</v>
      </c>
      <c r="C7" s="131" t="s">
        <v>397</v>
      </c>
      <c r="D7" s="131" t="s">
        <v>398</v>
      </c>
      <c r="E7" s="131" t="s">
        <v>399</v>
      </c>
      <c r="F7" s="131" t="s">
        <v>400</v>
      </c>
      <c r="G7" s="131" t="s">
        <v>401</v>
      </c>
      <c r="H7" s="131" t="s">
        <v>402</v>
      </c>
      <c r="I7" s="131" t="s">
        <v>403</v>
      </c>
    </row>
    <row r="8" spans="1:10" ht="18.75" customHeight="1" x14ac:dyDescent="0.25">
      <c r="A8" s="85">
        <v>45138</v>
      </c>
      <c r="B8" s="166">
        <v>0</v>
      </c>
      <c r="C8" s="166">
        <v>802327919.61000001</v>
      </c>
      <c r="D8" s="167">
        <f t="shared" ref="D8:D9" si="0">SUM(B8:C8)</f>
        <v>802327919.61000001</v>
      </c>
      <c r="E8" s="127"/>
      <c r="F8" s="167">
        <v>0</v>
      </c>
      <c r="G8" s="166">
        <v>0</v>
      </c>
      <c r="H8" s="169">
        <v>0</v>
      </c>
      <c r="I8" s="169">
        <f>IF((D8-F8)&gt;0,0,(D8))</f>
        <v>0</v>
      </c>
    </row>
    <row r="9" spans="1:10" ht="18.75" customHeight="1" x14ac:dyDescent="0.25">
      <c r="A9" s="85">
        <v>45169</v>
      </c>
      <c r="B9" s="166">
        <f>959612149+334927232.29</f>
        <v>1294539381.29</v>
      </c>
      <c r="C9" s="166">
        <f>1879663809.62+736086589.48</f>
        <v>2615750399.0999999</v>
      </c>
      <c r="D9" s="167">
        <f t="shared" si="0"/>
        <v>3910289780.3899999</v>
      </c>
      <c r="E9" s="127"/>
      <c r="F9" s="167">
        <v>0</v>
      </c>
      <c r="G9" s="166">
        <v>0</v>
      </c>
      <c r="H9" s="169">
        <v>0</v>
      </c>
      <c r="I9" s="169">
        <f>IF((D9-F9)&gt;0,0,(D9))</f>
        <v>0</v>
      </c>
    </row>
    <row r="10" spans="1:10" ht="18.75" customHeight="1" x14ac:dyDescent="0.25">
      <c r="A10" s="85">
        <v>45199</v>
      </c>
      <c r="B10" s="166">
        <f>2207354+506027492.67+195866996</f>
        <v>704101842.67000008</v>
      </c>
      <c r="C10" s="166">
        <v>2113611015.24</v>
      </c>
      <c r="D10" s="167">
        <f t="shared" ref="D10:D12" si="1">SUM(B10:C10)</f>
        <v>2817712857.9099998</v>
      </c>
      <c r="E10" s="127"/>
      <c r="F10" s="167">
        <v>0</v>
      </c>
      <c r="G10" s="166">
        <v>0</v>
      </c>
      <c r="H10" s="169">
        <v>0</v>
      </c>
      <c r="I10" s="169">
        <f>IF((D10-F10)&gt;0,0,(D10))</f>
        <v>0</v>
      </c>
    </row>
    <row r="11" spans="1:10" ht="18.75" customHeight="1" x14ac:dyDescent="0.25">
      <c r="A11" s="85">
        <v>45230</v>
      </c>
      <c r="B11" s="166">
        <f>2876415+2315112+527374790.7</f>
        <v>532566317.69999999</v>
      </c>
      <c r="C11" s="166">
        <v>2558645170.04</v>
      </c>
      <c r="D11" s="167">
        <f t="shared" si="1"/>
        <v>3091211487.7399998</v>
      </c>
      <c r="E11" s="127"/>
      <c r="F11" s="167">
        <v>0</v>
      </c>
      <c r="G11" s="166">
        <v>0</v>
      </c>
      <c r="H11" s="169">
        <v>0</v>
      </c>
      <c r="I11" s="169">
        <f>IF((D11-F11)&gt;0,0,(D11))</f>
        <v>0</v>
      </c>
    </row>
    <row r="12" spans="1:10" ht="18.75" customHeight="1" x14ac:dyDescent="0.25">
      <c r="A12" s="85">
        <v>45260</v>
      </c>
      <c r="B12" s="166">
        <v>514734844.37</v>
      </c>
      <c r="C12" s="166">
        <v>2368335858.29</v>
      </c>
      <c r="D12" s="167">
        <f t="shared" si="1"/>
        <v>2883070702.6599998</v>
      </c>
      <c r="E12" s="127"/>
      <c r="F12" s="167">
        <v>0</v>
      </c>
      <c r="G12" s="166">
        <v>0</v>
      </c>
      <c r="H12" s="169">
        <v>0</v>
      </c>
      <c r="I12" s="169">
        <f>IF((D12-F12)&gt;0,0,(D12))</f>
        <v>0</v>
      </c>
    </row>
    <row r="13" spans="1:10" ht="18.75" customHeight="1" x14ac:dyDescent="0.25">
      <c r="A13" s="85">
        <v>45291</v>
      </c>
      <c r="B13" s="166">
        <v>528925444.06</v>
      </c>
      <c r="C13" s="166">
        <v>2312843567.5599999</v>
      </c>
      <c r="D13" s="167">
        <f t="shared" ref="D13" si="2">SUM(B13:C13)</f>
        <v>2841769011.6199999</v>
      </c>
      <c r="E13" s="127">
        <v>45273</v>
      </c>
      <c r="F13" s="167">
        <v>13504612748.309999</v>
      </c>
      <c r="G13" s="166">
        <v>0</v>
      </c>
      <c r="H13" s="169">
        <v>0</v>
      </c>
      <c r="I13" s="169">
        <v>0</v>
      </c>
    </row>
    <row r="14" spans="1:10" ht="18.75" customHeight="1" x14ac:dyDescent="0.25">
      <c r="A14" s="85">
        <v>45322</v>
      </c>
      <c r="B14" s="166">
        <v>515963225.82000005</v>
      </c>
      <c r="C14" s="166">
        <v>1935856331.5799999</v>
      </c>
      <c r="D14" s="167">
        <f t="shared" ref="D14" si="3">SUM(B14:C14)</f>
        <v>2451819557.4000001</v>
      </c>
      <c r="E14" s="127">
        <v>45308</v>
      </c>
      <c r="F14" s="167">
        <v>2778274637.5700002</v>
      </c>
      <c r="G14" s="166">
        <v>0</v>
      </c>
      <c r="H14" s="169">
        <v>0</v>
      </c>
      <c r="I14" s="169">
        <v>0</v>
      </c>
    </row>
    <row r="15" spans="1:10" ht="18.75" customHeight="1" x14ac:dyDescent="0.25">
      <c r="A15" s="85">
        <v>45351</v>
      </c>
      <c r="B15" s="166">
        <v>457854868.18000001</v>
      </c>
      <c r="C15" s="166">
        <v>2039712646.3099999</v>
      </c>
      <c r="D15" s="167">
        <f t="shared" ref="D15" si="4">SUM(B15:C15)</f>
        <v>2497567514.4899998</v>
      </c>
      <c r="E15" s="127">
        <v>45338</v>
      </c>
      <c r="F15" s="167">
        <v>2515313931.4500003</v>
      </c>
      <c r="G15" s="166">
        <v>0</v>
      </c>
      <c r="H15" s="169">
        <v>0</v>
      </c>
      <c r="I15" s="169">
        <v>0</v>
      </c>
    </row>
    <row r="16" spans="1:10" ht="18.75" customHeight="1" x14ac:dyDescent="0.25">
      <c r="A16" s="85">
        <v>45382</v>
      </c>
      <c r="B16" s="166">
        <v>469134217.24999994</v>
      </c>
      <c r="C16" s="166">
        <v>2109239817.95</v>
      </c>
      <c r="D16" s="167">
        <f t="shared" ref="D16:D21" si="5">SUM(B16:C16)</f>
        <v>2578374035.1999998</v>
      </c>
      <c r="E16" s="127">
        <v>45366</v>
      </c>
      <c r="F16" s="167">
        <f t="shared" ref="F16:F21" si="6">+D15</f>
        <v>2497567514.4899998</v>
      </c>
      <c r="G16" s="166">
        <v>0</v>
      </c>
      <c r="H16" s="169">
        <v>0</v>
      </c>
      <c r="I16" s="169">
        <v>0</v>
      </c>
    </row>
    <row r="17" spans="1:9" ht="18.75" customHeight="1" x14ac:dyDescent="0.25">
      <c r="A17" s="85">
        <v>45412</v>
      </c>
      <c r="B17" s="166">
        <v>436947420.63999987</v>
      </c>
      <c r="C17" s="166">
        <v>1742438421.3299999</v>
      </c>
      <c r="D17" s="167">
        <f t="shared" si="5"/>
        <v>2179385841.9699998</v>
      </c>
      <c r="E17" s="127">
        <v>45401</v>
      </c>
      <c r="F17" s="167">
        <f t="shared" si="6"/>
        <v>2578374035.1999998</v>
      </c>
      <c r="G17" s="166">
        <v>0</v>
      </c>
      <c r="H17" s="169">
        <v>0</v>
      </c>
      <c r="I17" s="169">
        <v>0</v>
      </c>
    </row>
    <row r="18" spans="1:9" ht="18.75" customHeight="1" x14ac:dyDescent="0.25">
      <c r="A18" s="85">
        <v>45443</v>
      </c>
      <c r="B18" s="166">
        <f>3560165213.35-3137627260.14</f>
        <v>422537953.21000004</v>
      </c>
      <c r="C18" s="166">
        <v>1954376580.6800001</v>
      </c>
      <c r="D18" s="167">
        <f t="shared" si="5"/>
        <v>2376914533.8900003</v>
      </c>
      <c r="E18" s="127">
        <v>45426</v>
      </c>
      <c r="F18" s="167">
        <f t="shared" si="6"/>
        <v>2179385841.9699998</v>
      </c>
      <c r="G18" s="166">
        <v>0</v>
      </c>
      <c r="H18" s="169">
        <v>0</v>
      </c>
      <c r="I18" s="169">
        <v>0</v>
      </c>
    </row>
    <row r="19" spans="1:9" ht="18.75" customHeight="1" x14ac:dyDescent="0.25">
      <c r="A19" s="85">
        <v>45473</v>
      </c>
      <c r="B19" s="166">
        <v>403325108.66000003</v>
      </c>
      <c r="C19" s="166">
        <v>1709216974.73</v>
      </c>
      <c r="D19" s="167">
        <f t="shared" si="5"/>
        <v>2112542083.3900001</v>
      </c>
      <c r="E19" s="127">
        <v>45457</v>
      </c>
      <c r="F19" s="167">
        <f t="shared" si="6"/>
        <v>2376914533.8900003</v>
      </c>
      <c r="G19" s="166">
        <v>0</v>
      </c>
      <c r="H19" s="169">
        <v>0</v>
      </c>
      <c r="I19" s="169"/>
    </row>
    <row r="20" spans="1:9" ht="18.75" customHeight="1" x14ac:dyDescent="0.25">
      <c r="A20" s="85">
        <v>45504</v>
      </c>
      <c r="B20" s="166">
        <f>11828394041.01-4071967171.55-7367557668.82</f>
        <v>388869200.64000034</v>
      </c>
      <c r="C20" s="166">
        <v>1839922053.79</v>
      </c>
      <c r="D20" s="167">
        <f t="shared" si="5"/>
        <v>2228791254.4300003</v>
      </c>
      <c r="E20" s="127">
        <v>45495</v>
      </c>
      <c r="F20" s="167">
        <f t="shared" si="6"/>
        <v>2112542083.3900001</v>
      </c>
      <c r="G20" s="166">
        <v>0</v>
      </c>
      <c r="H20" s="169">
        <v>0</v>
      </c>
      <c r="I20" s="169"/>
    </row>
    <row r="21" spans="1:9" ht="18.75" customHeight="1" x14ac:dyDescent="0.25">
      <c r="A21" s="85">
        <v>45535</v>
      </c>
      <c r="B21" s="166">
        <v>355107778.56999999</v>
      </c>
      <c r="C21" s="166">
        <v>1734155936.1800001</v>
      </c>
      <c r="D21" s="167">
        <f t="shared" si="5"/>
        <v>2089263714.75</v>
      </c>
      <c r="E21" s="127">
        <v>45519</v>
      </c>
      <c r="F21" s="167">
        <f t="shared" si="6"/>
        <v>2228791254.4300003</v>
      </c>
      <c r="G21" s="166">
        <v>0</v>
      </c>
      <c r="H21" s="169">
        <v>0</v>
      </c>
      <c r="I21" s="169"/>
    </row>
    <row r="22" spans="1:9" ht="18.75" customHeight="1" x14ac:dyDescent="0.25">
      <c r="A22" s="85">
        <v>45565</v>
      </c>
      <c r="B22" s="166">
        <v>323712075.38999993</v>
      </c>
      <c r="C22" s="166">
        <v>1508522140</v>
      </c>
      <c r="D22" s="167">
        <f t="shared" ref="D22" si="7">SUM(B22:C22)</f>
        <v>1832234215.3899999</v>
      </c>
      <c r="E22" s="127">
        <v>45546</v>
      </c>
      <c r="F22" s="167">
        <f>+D21</f>
        <v>2089263714.75</v>
      </c>
      <c r="G22" s="166">
        <v>0</v>
      </c>
      <c r="H22" s="169">
        <v>0</v>
      </c>
      <c r="I22" s="169"/>
    </row>
    <row r="23" spans="1:9" ht="18.75" customHeight="1" x14ac:dyDescent="0.25">
      <c r="A23" s="85">
        <v>45596</v>
      </c>
      <c r="B23" s="166">
        <v>311521897.30999994</v>
      </c>
      <c r="C23" s="166">
        <v>1374100964.1199999</v>
      </c>
      <c r="D23" s="167">
        <f t="shared" ref="D23:D24" si="8">SUM(B23:C23)</f>
        <v>1685622861.4299998</v>
      </c>
      <c r="E23" s="127">
        <v>45580</v>
      </c>
      <c r="F23" s="167">
        <f>+D22</f>
        <v>1832234215.3899999</v>
      </c>
      <c r="G23" s="166">
        <v>0</v>
      </c>
      <c r="H23" s="169">
        <v>0</v>
      </c>
      <c r="I23" s="169"/>
    </row>
    <row r="24" spans="1:9" ht="18.75" customHeight="1" x14ac:dyDescent="0.25">
      <c r="A24" s="85">
        <v>45626</v>
      </c>
      <c r="B24" s="166">
        <v>274860485.72000009</v>
      </c>
      <c r="C24" s="166">
        <v>1262803583.79</v>
      </c>
      <c r="D24" s="167">
        <f t="shared" si="8"/>
        <v>1537664069.51</v>
      </c>
      <c r="E24" s="127">
        <v>45610</v>
      </c>
      <c r="F24" s="167">
        <f>+D23</f>
        <v>1685622861.4299998</v>
      </c>
      <c r="G24" s="166">
        <v>0</v>
      </c>
      <c r="H24" s="169">
        <v>0</v>
      </c>
      <c r="I24" s="169"/>
    </row>
    <row r="25" spans="1:9" ht="18.75" customHeight="1" x14ac:dyDescent="0.25">
      <c r="A25" s="85">
        <v>45657</v>
      </c>
      <c r="B25" s="166">
        <v>260924261.47999999</v>
      </c>
      <c r="C25" s="166">
        <v>1207938850.25</v>
      </c>
      <c r="D25" s="167">
        <f t="shared" ref="D25:D30" si="9">SUM(B25:C25)</f>
        <v>1468863111.73</v>
      </c>
      <c r="E25" s="127">
        <v>45639</v>
      </c>
      <c r="F25" s="167">
        <f t="shared" ref="F25" si="10">+D24</f>
        <v>1537664069.51</v>
      </c>
      <c r="G25" s="166">
        <v>0</v>
      </c>
      <c r="H25" s="169">
        <f>++SUM($D$8:D24)-SUM($F$8:F25)</f>
        <v>0</v>
      </c>
      <c r="I25" s="169"/>
    </row>
    <row r="26" spans="1:9" ht="18.75" customHeight="1" x14ac:dyDescent="0.25">
      <c r="A26" s="85">
        <v>45688</v>
      </c>
      <c r="B26" s="166">
        <v>368360135.49000001</v>
      </c>
      <c r="C26" s="166">
        <f>1135486392.99+346334985.17</f>
        <v>1481821378.1600001</v>
      </c>
      <c r="D26" s="167">
        <f t="shared" si="9"/>
        <v>1850181513.6500001</v>
      </c>
      <c r="E26" s="127">
        <v>45670</v>
      </c>
      <c r="F26" s="167">
        <v>1429599390.99</v>
      </c>
      <c r="G26" s="166">
        <v>0</v>
      </c>
      <c r="H26" s="169">
        <v>0</v>
      </c>
      <c r="I26" s="169"/>
    </row>
    <row r="27" spans="1:9" ht="18.75" customHeight="1" x14ac:dyDescent="0.25">
      <c r="A27" s="85">
        <v>45716</v>
      </c>
      <c r="B27" s="166">
        <v>322581642.12</v>
      </c>
      <c r="C27" s="166">
        <v>1648748218.0099998</v>
      </c>
      <c r="D27" s="167">
        <f t="shared" si="9"/>
        <v>1971329860.1299996</v>
      </c>
      <c r="E27" s="127">
        <v>45700</v>
      </c>
      <c r="F27" s="167">
        <v>1889445234.3900001</v>
      </c>
      <c r="G27" s="166">
        <v>0</v>
      </c>
      <c r="H27" s="169">
        <v>0</v>
      </c>
      <c r="I27" s="169"/>
    </row>
    <row r="28" spans="1:9" ht="18.75" customHeight="1" x14ac:dyDescent="0.25">
      <c r="A28" s="85">
        <v>45747</v>
      </c>
      <c r="B28" s="166">
        <f>334336177.98+3036614.29+3295741.38</f>
        <v>340668533.65000004</v>
      </c>
      <c r="C28" s="166">
        <v>1743084504.3499999</v>
      </c>
      <c r="D28" s="167">
        <f t="shared" si="9"/>
        <v>2083753038</v>
      </c>
      <c r="E28" s="127">
        <v>45727</v>
      </c>
      <c r="F28" s="167">
        <f>+D27</f>
        <v>1971329860.1299996</v>
      </c>
      <c r="G28" s="166">
        <v>0</v>
      </c>
      <c r="H28" s="169">
        <v>0</v>
      </c>
      <c r="I28" s="169"/>
    </row>
    <row r="29" spans="1:9" ht="18.75" customHeight="1" x14ac:dyDescent="0.25">
      <c r="A29" s="85">
        <v>45777</v>
      </c>
      <c r="B29" s="166">
        <v>318619741.19</v>
      </c>
      <c r="C29" s="166">
        <v>1689882224.3</v>
      </c>
      <c r="D29" s="167">
        <f t="shared" si="9"/>
        <v>2008501965.49</v>
      </c>
      <c r="E29" s="127">
        <v>45768</v>
      </c>
      <c r="F29" s="167">
        <v>2077420682.3299999</v>
      </c>
      <c r="G29" s="166">
        <v>0</v>
      </c>
      <c r="H29" s="169">
        <v>0</v>
      </c>
      <c r="I29" s="169"/>
    </row>
    <row r="30" spans="1:9" ht="18.75" customHeight="1" x14ac:dyDescent="0.25">
      <c r="A30" s="85">
        <v>45808</v>
      </c>
      <c r="B30" s="166">
        <v>308336611.93000001</v>
      </c>
      <c r="C30" s="166">
        <v>1640670926.24</v>
      </c>
      <c r="D30" s="167">
        <f t="shared" si="9"/>
        <v>1949007538.1700001</v>
      </c>
      <c r="E30" s="127">
        <v>45791</v>
      </c>
      <c r="F30" s="167">
        <v>2014834321.1600037</v>
      </c>
      <c r="G30" s="166">
        <v>0</v>
      </c>
      <c r="H30" s="169">
        <f>++SUM($D$8:D30)-SUM($F$8:F31)</f>
        <v>0</v>
      </c>
      <c r="I30" s="169"/>
    </row>
    <row r="31" spans="1:9" ht="18.75" customHeight="1" x14ac:dyDescent="0.25">
      <c r="A31" s="85">
        <v>45838</v>
      </c>
      <c r="B31" s="166">
        <v>294299703.60999995</v>
      </c>
      <c r="C31" s="166">
        <v>1393906559.6400001</v>
      </c>
      <c r="D31" s="167">
        <f t="shared" ref="D31" si="11">SUM(B31:C31)</f>
        <v>1688206263.25</v>
      </c>
      <c r="E31" s="127">
        <v>45825</v>
      </c>
      <c r="F31" s="167">
        <v>1949007538.1700001</v>
      </c>
      <c r="G31" s="166">
        <v>0</v>
      </c>
      <c r="H31" s="169">
        <v>0</v>
      </c>
      <c r="I31" s="169"/>
    </row>
    <row r="32" spans="1:9" ht="18.75" customHeight="1" x14ac:dyDescent="0.25">
      <c r="A32" s="85">
        <v>45869</v>
      </c>
      <c r="B32" s="166">
        <v>296789849.39999789</v>
      </c>
      <c r="C32" s="166">
        <v>1540852075.6401231</v>
      </c>
      <c r="D32" s="167">
        <f t="shared" ref="D32" si="12">SUM(B32:C32)</f>
        <v>1837641925.0401211</v>
      </c>
      <c r="E32" s="127">
        <v>45852</v>
      </c>
      <c r="F32" s="167">
        <v>1688206263.25</v>
      </c>
      <c r="G32" s="166">
        <v>0</v>
      </c>
      <c r="H32" s="169">
        <f>++SUM($D$8:D32)-SUM($F$8:F32)</f>
        <v>1837641925.040123</v>
      </c>
      <c r="I32" s="169"/>
    </row>
    <row r="33" spans="1:9" ht="18.75" customHeight="1" x14ac:dyDescent="0.25">
      <c r="A33" s="130" t="s">
        <v>91</v>
      </c>
      <c r="B33" s="168">
        <f>SUM(B8:B32)</f>
        <v>10445282540.349998</v>
      </c>
      <c r="C33" s="168">
        <f>SUM(C8:C32)</f>
        <v>44328764116.890121</v>
      </c>
      <c r="D33" s="168">
        <f>SUM(D8:D32)</f>
        <v>54774046657.24012</v>
      </c>
      <c r="F33" s="168">
        <f>SUM(F8:F32)</f>
        <v>52936404732.199997</v>
      </c>
      <c r="G33" s="168">
        <f>SUM(G8:G22)</f>
        <v>0</v>
      </c>
      <c r="H33" s="168">
        <f>SUM(H8:H32)</f>
        <v>1837641925.040123</v>
      </c>
      <c r="I33" s="168">
        <f>+SUM(I8:I18)</f>
        <v>0</v>
      </c>
    </row>
    <row r="34" spans="1:9" x14ac:dyDescent="0.25">
      <c r="D34" s="36"/>
      <c r="E34" s="36"/>
      <c r="F34" s="68"/>
      <c r="G34" s="68"/>
    </row>
    <row r="35" spans="1:9" x14ac:dyDescent="0.25">
      <c r="A35" s="273"/>
      <c r="B35" s="273"/>
      <c r="C35" s="273"/>
      <c r="D35" s="273"/>
      <c r="E35" s="273"/>
      <c r="F35" s="273"/>
      <c r="G35" s="273"/>
      <c r="H35" s="273"/>
      <c r="I35" s="273"/>
    </row>
    <row r="36" spans="1:9" x14ac:dyDescent="0.25">
      <c r="A36" s="273"/>
      <c r="B36" s="273"/>
      <c r="C36" s="273"/>
      <c r="D36" s="273"/>
      <c r="E36" s="273"/>
      <c r="F36" s="273"/>
      <c r="G36" s="273"/>
      <c r="H36" s="273"/>
      <c r="I36" s="273"/>
    </row>
    <row r="37" spans="1:9" x14ac:dyDescent="0.25">
      <c r="D37" s="216"/>
      <c r="F37" s="216"/>
    </row>
    <row r="38" spans="1:9" x14ac:dyDescent="0.25">
      <c r="F38" s="216"/>
    </row>
    <row r="39" spans="1:9" x14ac:dyDescent="0.25">
      <c r="B39" s="100"/>
      <c r="F39" s="100"/>
    </row>
    <row r="40" spans="1:9" x14ac:dyDescent="0.25">
      <c r="F40" s="36"/>
    </row>
  </sheetData>
  <sheetProtection algorithmName="SHA-512" hashValue="rbzMfsv0BFd07JfWx7BdwfhBu4+iLTx2MlzjzNqIjSqDtYtmdcH071mh9Dof231nJ9Xht60KI0r+jr/Wpa8JDQ==" saltValue="8se7qeTSWET6iyR39ihuhA==" spinCount="100000" sheet="1" objects="1" scenarios="1"/>
  <mergeCells count="6">
    <mergeCell ref="A35:I36"/>
    <mergeCell ref="A1:I1"/>
    <mergeCell ref="A2:I2"/>
    <mergeCell ref="A3:I3"/>
    <mergeCell ref="A4:I4"/>
    <mergeCell ref="A5:I5"/>
  </mergeCells>
  <pageMargins left="0.70866141732283472" right="0.70866141732283472" top="0.74803149606299213" bottom="0.74803149606299213" header="0.31496062992125984" footer="0.31496062992125984"/>
  <pageSetup scale="45" orientation="landscape" r:id="rId1"/>
  <ignoredErrors>
    <ignoredError sqref="D8 D12:D14" formulaRange="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D13CA49B168B14E8EC4853C7414C7E8" ma:contentTypeVersion="16" ma:contentTypeDescription="Crear nuevo documento." ma:contentTypeScope="" ma:versionID="56b60a35a62c2b21fa90adc4c32eb1ef">
  <xsd:schema xmlns:xsd="http://www.w3.org/2001/XMLSchema" xmlns:xs="http://www.w3.org/2001/XMLSchema" xmlns:p="http://schemas.microsoft.com/office/2006/metadata/properties" xmlns:ns2="587857b3-3217-480f-bd82-0c10842dfc96" xmlns:ns3="924d4bc7-21cc-4237-b6b7-459e02780ede" targetNamespace="http://schemas.microsoft.com/office/2006/metadata/properties" ma:root="true" ma:fieldsID="1ace076177333c7da17fb368cb5442e4" ns2:_="" ns3:_="">
    <xsd:import namespace="587857b3-3217-480f-bd82-0c10842dfc96"/>
    <xsd:import namespace="924d4bc7-21cc-4237-b6b7-459e02780ed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57b3-3217-480f-bd82-0c10842dfc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48dc318-5de1-4747-92ed-e07023d138f3"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24d4bc7-21cc-4237-b6b7-459e02780ed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1b97dcff-0638-4ddc-9712-0220e95c8225}" ma:internalName="TaxCatchAll" ma:showField="CatchAllData" ma:web="924d4bc7-21cc-4237-b6b7-459e02780ed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24d4bc7-21cc-4237-b6b7-459e02780ede" xsi:nil="true"/>
    <lcf76f155ced4ddcb4097134ff3c332f xmlns="587857b3-3217-480f-bd82-0c10842dfc9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239DB65-234B-4668-9ACB-BED9A08E15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7857b3-3217-480f-bd82-0c10842dfc96"/>
    <ds:schemaRef ds:uri="924d4bc7-21cc-4237-b6b7-459e02780e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E5F2A15-ED4B-48A6-8C7D-6E32B7D73BEE}">
  <ds:schemaRefs>
    <ds:schemaRef ds:uri="http://schemas.microsoft.com/sharepoint/v3/contenttype/forms"/>
  </ds:schemaRefs>
</ds:datastoreItem>
</file>

<file path=customXml/itemProps3.xml><?xml version="1.0" encoding="utf-8"?>
<ds:datastoreItem xmlns:ds="http://schemas.openxmlformats.org/officeDocument/2006/customXml" ds:itemID="{FF19E9CF-9463-4709-BAEC-CCBB10AA45EE}">
  <ds:schemaRefs>
    <ds:schemaRef ds:uri="http://schemas.microsoft.com/office/2006/metadata/properties"/>
    <ds:schemaRef ds:uri="http://schemas.microsoft.com/office/infopath/2007/PartnerControls"/>
    <ds:schemaRef ds:uri="822469bc-35ca-4ded-89e3-9b8d582fc2a7"/>
    <ds:schemaRef ds:uri="6d3c9c2f-5e9a-4393-a1fe-83f1dbadb663"/>
    <ds:schemaRef ds:uri="924d4bc7-21cc-4237-b6b7-459e02780ede"/>
    <ds:schemaRef ds:uri="587857b3-3217-480f-bd82-0c10842dfc96"/>
  </ds:schemaRefs>
</ds:datastoreItem>
</file>

<file path=docMetadata/LabelInfo.xml><?xml version="1.0" encoding="utf-8"?>
<clbl:labelList xmlns:clbl="http://schemas.microsoft.com/office/2020/mipLabelMetadata">
  <clbl:label id="{2c265b7e-6857-49fe-ae12-61c1a6cdb046}" enabled="0" method="" siteId="{2c265b7e-6857-49fe-ae12-61c1a6cdb04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16</vt:i4>
      </vt:variant>
    </vt:vector>
  </HeadingPairs>
  <TitlesOfParts>
    <vt:vector size="25" baseType="lpstr">
      <vt:lpstr>Indice Informe Financiero</vt:lpstr>
      <vt:lpstr>0.Ficha Técnica</vt:lpstr>
      <vt:lpstr>1.Resumen Financiero Contrato</vt:lpstr>
      <vt:lpstr>2.Resumen Presupuestal</vt:lpstr>
      <vt:lpstr>3.Ingresos del Contrato</vt:lpstr>
      <vt:lpstr>4.E.F. Contratación Derivada</vt:lpstr>
      <vt:lpstr>5.Pagos Asistencia Ténica</vt:lpstr>
      <vt:lpstr>6.Reportes de Pagos</vt:lpstr>
      <vt:lpstr>7.Rendimientos Financieros</vt:lpstr>
      <vt:lpstr>'2.Resumen Presupuestal'!Área_de_impresión</vt:lpstr>
      <vt:lpstr>'3.Ingresos del Contrato'!Área_de_impresión</vt:lpstr>
      <vt:lpstr>'4.E.F. Contratación Derivada'!Área_de_impresión</vt:lpstr>
      <vt:lpstr>'5.Pagos Asistencia Ténica'!Área_de_impresión</vt:lpstr>
      <vt:lpstr>'6.Reportes de Pagos'!Área_de_impresión</vt:lpstr>
      <vt:lpstr>CONTRATO</vt:lpstr>
      <vt:lpstr>FECHA</vt:lpstr>
      <vt:lpstr>periodo</vt:lpstr>
      <vt:lpstr>'4.E.F. Contratación Derivada'!Títulos_a_imprimir</vt:lpstr>
      <vt:lpstr>VRCOMPROMISOS</vt:lpstr>
      <vt:lpstr>VRCONTRATOS</vt:lpstr>
      <vt:lpstr>VRFACT</vt:lpstr>
      <vt:lpstr>VRFINDETER</vt:lpstr>
      <vt:lpstr>VRLIBERACIONES</vt:lpstr>
      <vt:lpstr>VRPAGOSCTOS</vt:lpstr>
      <vt:lpstr>VRRTEGTIACTO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INFORME FINANCIERO JUNIO 2021</dc:title>
  <dc:subject>INFORME FINANCIERO JUNIO 2021</dc:subject>
  <dc:creator>ARIEL ALVIRA LUNA</dc:creator>
  <cp:keywords>COID254</cp:keywords>
  <dc:description/>
  <cp:lastModifiedBy>Cristian Emilio Sua Suarez</cp:lastModifiedBy>
  <cp:revision/>
  <dcterms:created xsi:type="dcterms:W3CDTF">2014-03-26T17:19:24Z</dcterms:created>
  <dcterms:modified xsi:type="dcterms:W3CDTF">2026-03-10T21:34:36Z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0x0101005D13CA49B168B14E8EC4853C7414C7E8</vt:lpwstr>
  </property>
  <property fmtid="{D5CDD505-2E9C-101B-9397-08002B2CF9AE}" pid="3" name="MediaServiceImageTags">
    <vt:lpwstr/>
  </property>
</Properties>
</file>