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JURIDICA1\Downloads\"/>
    </mc:Choice>
  </mc:AlternateContent>
  <xr:revisionPtr revIDLastSave="0" documentId="13_ncr:1_{6D68B3FA-320E-4B0A-8AB4-B6849E6E2B36}" xr6:coauthVersionLast="47" xr6:coauthVersionMax="47" xr10:uidLastSave="{00000000-0000-0000-0000-000000000000}"/>
  <bookViews>
    <workbookView xWindow="-120" yWindow="-120" windowWidth="29040" windowHeight="15720" xr2:uid="{4A3468D3-3B80-48C0-8A99-3E82697CF7E2}"/>
  </bookViews>
  <sheets>
    <sheet name="FORMATO DE OFERTA ECONOMICA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'FORMATO DE OFERTA ECONOMICA'!$A$7:$BE$42</definedName>
    <definedName name="ABREVIATURA" localSheetId="0">#REF!</definedName>
    <definedName name="ABREVIATURA">#REF!</definedName>
    <definedName name="ANEXO" localSheetId="0">[1]PRESUPUESTO!#REF!,[1]PRESUPUESTO!#REF!,[1]PRESUPUESTO!#REF!,[1]PRESUPUESTO!#REF!,[1]PRESUPUESTO!#REF!,[1]PRESUPUESTO!#REF!,[1]PRESUPUESTO!#REF!</definedName>
    <definedName name="ANEXO">[1]PRESUPUESTO!#REF!,[1]PRESUPUESTO!#REF!,[1]PRESUPUESTO!#REF!,[1]PRESUPUESTO!#REF!,[1]PRESUPUESTO!#REF!,[1]PRESUPUESTO!#REF!,[1]PRESUPUESTO!#REF!</definedName>
    <definedName name="_xlnm.Print_Area" localSheetId="0">#REF!</definedName>
    <definedName name="_xlnm.Print_Area">#REF!</definedName>
    <definedName name="AUTORIZACIONES" localSheetId="0">#REF!</definedName>
    <definedName name="AUTORIZACIONES">#REF!</definedName>
    <definedName name="CAJAS" localSheetId="0">#REF!</definedName>
    <definedName name="CAJAS">#REF!</definedName>
    <definedName name="Confirmacion">[2]Listas!$E$2:$E$3</definedName>
    <definedName name="HOSPITALIZACION" localSheetId="0">#REF!</definedName>
    <definedName name="HOSPITALIZACION">#REF!</definedName>
    <definedName name="INDICADOR">[3]!Tabla1[[#All],[TIPOS DE NOVEDADES]]</definedName>
    <definedName name="MI" localSheetId="0">[1]PRESUPUESTO!#REF!,[1]PRESUPUESTO!#REF!,[1]PRESUPUESTO!#REF!,[1]PRESUPUESTO!#REF!,[1]PRESUPUESTO!#REF!,[1]PRESUPUESTO!#REF!,[1]PRESUPUESTO!#REF!</definedName>
    <definedName name="MI">[1]PRESUPUESTO!#REF!,[1]PRESUPUESTO!#REF!,[1]PRESUPUESTO!#REF!,[1]PRESUPUESTO!#REF!,[1]PRESUPUESTO!#REF!,[1]PRESUPUESTO!#REF!,[1]PRESUPUESTO!#REF!</definedName>
    <definedName name="ML" localSheetId="0">[1]PRESUPUESTO!#REF!,[1]PRESUPUESTO!#REF!,[1]PRESUPUESTO!#REF!,[1]PRESUPUESTO!#REF!,[1]PRESUPUESTO!#REF!,[1]PRESUPUESTO!#REF!,[1]PRESUPUESTO!#REF!</definedName>
    <definedName name="ML">[1]PRESUPUESTO!#REF!,[1]PRESUPUESTO!#REF!,[1]PRESUPUESTO!#REF!,[1]PRESUPUESTO!#REF!,[1]PRESUPUESTO!#REF!,[1]PRESUPUESTO!#REF!,[1]PRESUPUESTO!#REF!</definedName>
    <definedName name="REFERENCIA" localSheetId="0">#REF!</definedName>
    <definedName name="REFERENCIA">#REF!</definedName>
    <definedName name="REVISION" localSheetId="0">#REF!</definedName>
    <definedName name="REVISION">#REF!</definedName>
    <definedName name="SUBA">'[4]SUB APU'!$A$1:$D$65536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5" i="8" l="1"/>
  <c r="J135" i="8" s="1"/>
  <c r="I134" i="8"/>
  <c r="J134" i="8" s="1"/>
  <c r="D143" i="8" s="1"/>
  <c r="I133" i="8"/>
  <c r="J133" i="8" s="1"/>
  <c r="D140" i="8" s="1"/>
  <c r="I132" i="8"/>
  <c r="J132" i="8" s="1"/>
  <c r="BD125" i="8"/>
  <c r="BC125" i="8"/>
  <c r="BB125" i="8"/>
  <c r="BA125" i="8"/>
  <c r="AZ125" i="8"/>
  <c r="AY125" i="8"/>
  <c r="AX125" i="8"/>
  <c r="AW125" i="8"/>
  <c r="AV125" i="8"/>
  <c r="AU125" i="8"/>
  <c r="I125" i="8"/>
  <c r="H125" i="8"/>
  <c r="Y125" i="8" s="1"/>
  <c r="G125" i="8"/>
  <c r="J125" i="8" s="1"/>
  <c r="E125" i="8"/>
  <c r="BD124" i="8"/>
  <c r="BC124" i="8"/>
  <c r="BB124" i="8"/>
  <c r="BA124" i="8"/>
  <c r="AZ124" i="8"/>
  <c r="AY124" i="8"/>
  <c r="AX124" i="8"/>
  <c r="AW124" i="8"/>
  <c r="AV124" i="8"/>
  <c r="AU124" i="8"/>
  <c r="I124" i="8"/>
  <c r="H124" i="8"/>
  <c r="W124" i="8" s="1"/>
  <c r="G124" i="8"/>
  <c r="E124" i="8"/>
  <c r="BD123" i="8"/>
  <c r="BC123" i="8"/>
  <c r="BB123" i="8"/>
  <c r="BA123" i="8"/>
  <c r="AZ123" i="8"/>
  <c r="AY123" i="8"/>
  <c r="AX123" i="8"/>
  <c r="AW123" i="8"/>
  <c r="AV123" i="8"/>
  <c r="AU123" i="8"/>
  <c r="I123" i="8"/>
  <c r="H123" i="8"/>
  <c r="U123" i="8" s="1"/>
  <c r="G123" i="8"/>
  <c r="E123" i="8"/>
  <c r="BD122" i="8"/>
  <c r="BC122" i="8"/>
  <c r="BB122" i="8"/>
  <c r="BA122" i="8"/>
  <c r="AZ122" i="8"/>
  <c r="AY122" i="8"/>
  <c r="AX122" i="8"/>
  <c r="AW122" i="8"/>
  <c r="AV122" i="8"/>
  <c r="AU122" i="8"/>
  <c r="I122" i="8"/>
  <c r="H122" i="8"/>
  <c r="O122" i="8" s="1"/>
  <c r="G122" i="8"/>
  <c r="E122" i="8"/>
  <c r="BD121" i="8"/>
  <c r="BC121" i="8"/>
  <c r="BB121" i="8"/>
  <c r="BA121" i="8"/>
  <c r="AZ121" i="8"/>
  <c r="AY121" i="8"/>
  <c r="AX121" i="8"/>
  <c r="AW121" i="8"/>
  <c r="AV121" i="8"/>
  <c r="AU121" i="8"/>
  <c r="I121" i="8"/>
  <c r="H121" i="8"/>
  <c r="Y121" i="8" s="1"/>
  <c r="G121" i="8"/>
  <c r="E121" i="8"/>
  <c r="BD120" i="8"/>
  <c r="BC120" i="8"/>
  <c r="BB120" i="8"/>
  <c r="BA120" i="8"/>
  <c r="AZ120" i="8"/>
  <c r="AY120" i="8"/>
  <c r="AX120" i="8"/>
  <c r="AW120" i="8"/>
  <c r="AV120" i="8"/>
  <c r="AU120" i="8"/>
  <c r="I120" i="8"/>
  <c r="K120" i="8" s="1"/>
  <c r="H120" i="8"/>
  <c r="Q120" i="8" s="1"/>
  <c r="G120" i="8"/>
  <c r="E120" i="8"/>
  <c r="BD119" i="8"/>
  <c r="BC119" i="8"/>
  <c r="BB119" i="8"/>
  <c r="BA119" i="8"/>
  <c r="AZ119" i="8"/>
  <c r="AY119" i="8"/>
  <c r="AX119" i="8"/>
  <c r="AW119" i="8"/>
  <c r="AV119" i="8"/>
  <c r="AU119" i="8"/>
  <c r="I119" i="8"/>
  <c r="H119" i="8"/>
  <c r="Y119" i="8" s="1"/>
  <c r="G119" i="8"/>
  <c r="E119" i="8"/>
  <c r="BD118" i="8"/>
  <c r="BC118" i="8"/>
  <c r="BB118" i="8"/>
  <c r="BA118" i="8"/>
  <c r="AZ118" i="8"/>
  <c r="AY118" i="8"/>
  <c r="AX118" i="8"/>
  <c r="AW118" i="8"/>
  <c r="AV118" i="8"/>
  <c r="AU118" i="8"/>
  <c r="I118" i="8"/>
  <c r="H118" i="8"/>
  <c r="W118" i="8" s="1"/>
  <c r="G118" i="8"/>
  <c r="E118" i="8"/>
  <c r="K118" i="8" s="1"/>
  <c r="BD117" i="8"/>
  <c r="BC117" i="8"/>
  <c r="BB117" i="8"/>
  <c r="BA117" i="8"/>
  <c r="AZ117" i="8"/>
  <c r="AY117" i="8"/>
  <c r="AX117" i="8"/>
  <c r="AW117" i="8"/>
  <c r="AV117" i="8"/>
  <c r="AU117" i="8"/>
  <c r="I117" i="8"/>
  <c r="H117" i="8"/>
  <c r="U117" i="8" s="1"/>
  <c r="G117" i="8"/>
  <c r="E117" i="8"/>
  <c r="BD116" i="8"/>
  <c r="BC116" i="8"/>
  <c r="BB116" i="8"/>
  <c r="BA116" i="8"/>
  <c r="AZ116" i="8"/>
  <c r="AY116" i="8"/>
  <c r="AX116" i="8"/>
  <c r="AW116" i="8"/>
  <c r="AV116" i="8"/>
  <c r="AU116" i="8"/>
  <c r="I116" i="8"/>
  <c r="H116" i="8"/>
  <c r="O116" i="8" s="1"/>
  <c r="G116" i="8"/>
  <c r="E116" i="8"/>
  <c r="J116" i="8" s="1"/>
  <c r="BD115" i="8"/>
  <c r="BC115" i="8"/>
  <c r="BB115" i="8"/>
  <c r="BA115" i="8"/>
  <c r="AZ115" i="8"/>
  <c r="AY115" i="8"/>
  <c r="AX115" i="8"/>
  <c r="AW115" i="8"/>
  <c r="AV115" i="8"/>
  <c r="AU115" i="8"/>
  <c r="I115" i="8"/>
  <c r="H115" i="8"/>
  <c r="Y115" i="8" s="1"/>
  <c r="G115" i="8"/>
  <c r="E115" i="8"/>
  <c r="BD114" i="8"/>
  <c r="BC114" i="8"/>
  <c r="BB114" i="8"/>
  <c r="BA114" i="8"/>
  <c r="AZ114" i="8"/>
  <c r="AY114" i="8"/>
  <c r="AX114" i="8"/>
  <c r="AW114" i="8"/>
  <c r="AV114" i="8"/>
  <c r="AU114" i="8"/>
  <c r="U114" i="8"/>
  <c r="I114" i="8"/>
  <c r="H114" i="8"/>
  <c r="Q114" i="8" s="1"/>
  <c r="G114" i="8"/>
  <c r="E114" i="8"/>
  <c r="K114" i="8" s="1"/>
  <c r="BD113" i="8"/>
  <c r="BC113" i="8"/>
  <c r="BB113" i="8"/>
  <c r="BA113" i="8"/>
  <c r="AZ113" i="8"/>
  <c r="AY113" i="8"/>
  <c r="AX113" i="8"/>
  <c r="AW113" i="8"/>
  <c r="AV113" i="8"/>
  <c r="AU113" i="8"/>
  <c r="I113" i="8"/>
  <c r="H113" i="8"/>
  <c r="Y113" i="8" s="1"/>
  <c r="G113" i="8"/>
  <c r="E113" i="8"/>
  <c r="J113" i="8" s="1"/>
  <c r="BD112" i="8"/>
  <c r="BC112" i="8"/>
  <c r="BB112" i="8"/>
  <c r="BA112" i="8"/>
  <c r="AZ112" i="8"/>
  <c r="AY112" i="8"/>
  <c r="AX112" i="8"/>
  <c r="AW112" i="8"/>
  <c r="AV112" i="8"/>
  <c r="AU112" i="8"/>
  <c r="I112" i="8"/>
  <c r="H112" i="8"/>
  <c r="W112" i="8" s="1"/>
  <c r="G112" i="8"/>
  <c r="E112" i="8"/>
  <c r="AW111" i="8"/>
  <c r="N101" i="8"/>
  <c r="N102" i="8" s="1"/>
  <c r="D96" i="8"/>
  <c r="D95" i="8"/>
  <c r="J94" i="8"/>
  <c r="D94" i="8"/>
  <c r="J93" i="8"/>
  <c r="I92" i="8"/>
  <c r="D99" i="8" s="1"/>
  <c r="H92" i="8"/>
  <c r="D98" i="8" s="1"/>
  <c r="R87" i="8"/>
  <c r="R80" i="8" s="1"/>
  <c r="P87" i="8"/>
  <c r="P83" i="8" s="1"/>
  <c r="L87" i="8"/>
  <c r="N81" i="8" s="1"/>
  <c r="L86" i="8"/>
  <c r="L79" i="8" s="1"/>
  <c r="AW83" i="8"/>
  <c r="I83" i="8"/>
  <c r="H83" i="8"/>
  <c r="Y83" i="8" s="1"/>
  <c r="G83" i="8"/>
  <c r="AW82" i="8"/>
  <c r="I82" i="8"/>
  <c r="H82" i="8"/>
  <c r="Y82" i="8" s="1"/>
  <c r="G82" i="8"/>
  <c r="I81" i="8"/>
  <c r="H81" i="8"/>
  <c r="M81" i="8" s="1"/>
  <c r="G81" i="8"/>
  <c r="AV80" i="8"/>
  <c r="AU80" i="8"/>
  <c r="AT80" i="8"/>
  <c r="AS80" i="8"/>
  <c r="AS81" i="8" s="1"/>
  <c r="AS84" i="8" s="1"/>
  <c r="AR80" i="8"/>
  <c r="AR81" i="8" s="1"/>
  <c r="AR84" i="8" s="1"/>
  <c r="AQ80" i="8"/>
  <c r="AQ81" i="8" s="1"/>
  <c r="AQ84" i="8" s="1"/>
  <c r="AP80" i="8"/>
  <c r="AP81" i="8" s="1"/>
  <c r="AO80" i="8"/>
  <c r="AO81" i="8" s="1"/>
  <c r="AN80" i="8"/>
  <c r="AN81" i="8" s="1"/>
  <c r="AN84" i="8" s="1"/>
  <c r="AM80" i="8"/>
  <c r="AK80" i="8"/>
  <c r="AJ80" i="8"/>
  <c r="I80" i="8"/>
  <c r="K80" i="8" s="1"/>
  <c r="H80" i="8"/>
  <c r="O80" i="8" s="1"/>
  <c r="G80" i="8"/>
  <c r="J80" i="8" s="1"/>
  <c r="AW79" i="8"/>
  <c r="I79" i="8"/>
  <c r="H79" i="8"/>
  <c r="Q79" i="8" s="1"/>
  <c r="G79" i="8"/>
  <c r="AW78" i="8"/>
  <c r="E75" i="8"/>
  <c r="E83" i="8" s="1"/>
  <c r="C164" i="8"/>
  <c r="F164" i="8" s="1"/>
  <c r="D50" i="8"/>
  <c r="D43" i="8"/>
  <c r="BD42" i="8"/>
  <c r="BC42" i="8"/>
  <c r="BB42" i="8"/>
  <c r="BA42" i="8"/>
  <c r="AZ42" i="8"/>
  <c r="AY42" i="8"/>
  <c r="AX42" i="8"/>
  <c r="AW42" i="8"/>
  <c r="AV42" i="8"/>
  <c r="AT42" i="8"/>
  <c r="F42" i="8"/>
  <c r="I42" i="8" s="1"/>
  <c r="AS41" i="8"/>
  <c r="AR41" i="8"/>
  <c r="AQ41" i="8"/>
  <c r="BB41" i="8" s="1"/>
  <c r="AP41" i="8"/>
  <c r="AO41" i="8"/>
  <c r="AN41" i="8"/>
  <c r="AM41" i="8"/>
  <c r="AL41" i="8"/>
  <c r="AK41" i="8"/>
  <c r="AV41" i="8" s="1"/>
  <c r="AJ41" i="8"/>
  <c r="BD40" i="8"/>
  <c r="BC40" i="8"/>
  <c r="BB40" i="8"/>
  <c r="BA40" i="8"/>
  <c r="AZ40" i="8"/>
  <c r="AY40" i="8"/>
  <c r="AX40" i="8"/>
  <c r="AW40" i="8"/>
  <c r="AV40" i="8"/>
  <c r="AT40" i="8"/>
  <c r="F40" i="8"/>
  <c r="I40" i="8" s="1"/>
  <c r="BD39" i="8"/>
  <c r="BC39" i="8"/>
  <c r="BB39" i="8"/>
  <c r="BA39" i="8"/>
  <c r="AZ39" i="8"/>
  <c r="AY39" i="8"/>
  <c r="AX39" i="8"/>
  <c r="AW39" i="8"/>
  <c r="AV39" i="8"/>
  <c r="AT39" i="8"/>
  <c r="F39" i="8"/>
  <c r="I39" i="8" s="1"/>
  <c r="BD38" i="8"/>
  <c r="BC38" i="8"/>
  <c r="BB38" i="8"/>
  <c r="BA38" i="8"/>
  <c r="AZ38" i="8"/>
  <c r="AY38" i="8"/>
  <c r="AX38" i="8"/>
  <c r="AW38" i="8"/>
  <c r="AV38" i="8"/>
  <c r="AT38" i="8"/>
  <c r="F38" i="8"/>
  <c r="I38" i="8" s="1"/>
  <c r="BD37" i="8"/>
  <c r="BC37" i="8"/>
  <c r="BB37" i="8"/>
  <c r="BA37" i="8"/>
  <c r="AZ37" i="8"/>
  <c r="AY37" i="8"/>
  <c r="AX37" i="8"/>
  <c r="AW37" i="8"/>
  <c r="AV37" i="8"/>
  <c r="AT37" i="8"/>
  <c r="F37" i="8"/>
  <c r="I37" i="8" s="1"/>
  <c r="BD36" i="8"/>
  <c r="BC36" i="8"/>
  <c r="BB36" i="8"/>
  <c r="BA36" i="8"/>
  <c r="AZ36" i="8"/>
  <c r="AY36" i="8"/>
  <c r="AX36" i="8"/>
  <c r="AW36" i="8"/>
  <c r="AV36" i="8"/>
  <c r="AT36" i="8"/>
  <c r="F36" i="8"/>
  <c r="H36" i="8" s="1"/>
  <c r="BD35" i="8"/>
  <c r="BC35" i="8"/>
  <c r="BB35" i="8"/>
  <c r="BA35" i="8"/>
  <c r="AZ35" i="8"/>
  <c r="AY35" i="8"/>
  <c r="AX35" i="8"/>
  <c r="AW35" i="8"/>
  <c r="AV35" i="8"/>
  <c r="AT35" i="8"/>
  <c r="F35" i="8"/>
  <c r="I35" i="8" s="1"/>
  <c r="BD34" i="8"/>
  <c r="BC34" i="8"/>
  <c r="BB34" i="8"/>
  <c r="BA34" i="8"/>
  <c r="AZ34" i="8"/>
  <c r="AY34" i="8"/>
  <c r="AX34" i="8"/>
  <c r="AW34" i="8"/>
  <c r="AV34" i="8"/>
  <c r="AT34" i="8"/>
  <c r="F34" i="8"/>
  <c r="BD33" i="8"/>
  <c r="BC33" i="8"/>
  <c r="BB33" i="8"/>
  <c r="BA33" i="8"/>
  <c r="AZ33" i="8"/>
  <c r="AY33" i="8"/>
  <c r="AX33" i="8"/>
  <c r="AW33" i="8"/>
  <c r="AV33" i="8"/>
  <c r="AT33" i="8"/>
  <c r="F33" i="8"/>
  <c r="I33" i="8" s="1"/>
  <c r="AS32" i="8"/>
  <c r="AR32" i="8"/>
  <c r="AQ32" i="8"/>
  <c r="AP32" i="8"/>
  <c r="AO32" i="8"/>
  <c r="AN32" i="8"/>
  <c r="AM32" i="8"/>
  <c r="AL32" i="8"/>
  <c r="AK32" i="8"/>
  <c r="AJ32" i="8"/>
  <c r="BD31" i="8"/>
  <c r="BC31" i="8"/>
  <c r="BB31" i="8"/>
  <c r="BA31" i="8"/>
  <c r="AZ31" i="8"/>
  <c r="AY31" i="8"/>
  <c r="AX31" i="8"/>
  <c r="AW31" i="8"/>
  <c r="AV31" i="8"/>
  <c r="AT31" i="8"/>
  <c r="F31" i="8"/>
  <c r="H31" i="8" s="1"/>
  <c r="O31" i="8" s="1"/>
  <c r="BD30" i="8"/>
  <c r="BC30" i="8"/>
  <c r="BB30" i="8"/>
  <c r="BA30" i="8"/>
  <c r="AZ30" i="8"/>
  <c r="AY30" i="8"/>
  <c r="AX30" i="8"/>
  <c r="AW30" i="8"/>
  <c r="AV30" i="8"/>
  <c r="AT30" i="8"/>
  <c r="F30" i="8"/>
  <c r="H30" i="8" s="1"/>
  <c r="O30" i="8" s="1"/>
  <c r="BD29" i="8"/>
  <c r="BC29" i="8"/>
  <c r="BB29" i="8"/>
  <c r="BA29" i="8"/>
  <c r="AZ29" i="8"/>
  <c r="AY29" i="8"/>
  <c r="AX29" i="8"/>
  <c r="AW29" i="8"/>
  <c r="AV29" i="8"/>
  <c r="AT29" i="8"/>
  <c r="F29" i="8"/>
  <c r="H29" i="8" s="1"/>
  <c r="U29" i="8" s="1"/>
  <c r="BD28" i="8"/>
  <c r="BC28" i="8"/>
  <c r="BB28" i="8"/>
  <c r="BA28" i="8"/>
  <c r="AZ28" i="8"/>
  <c r="AY28" i="8"/>
  <c r="AX28" i="8"/>
  <c r="AW28" i="8"/>
  <c r="AV28" i="8"/>
  <c r="AT28" i="8"/>
  <c r="F28" i="8"/>
  <c r="H28" i="8" s="1"/>
  <c r="W28" i="8" s="1"/>
  <c r="BD27" i="8"/>
  <c r="BC27" i="8"/>
  <c r="BB27" i="8"/>
  <c r="BA27" i="8"/>
  <c r="AZ27" i="8"/>
  <c r="AY27" i="8"/>
  <c r="AX27" i="8"/>
  <c r="AW27" i="8"/>
  <c r="AV27" i="8"/>
  <c r="AT27" i="8"/>
  <c r="F27" i="8"/>
  <c r="H27" i="8" s="1"/>
  <c r="W27" i="8" s="1"/>
  <c r="BD26" i="8"/>
  <c r="BC26" i="8"/>
  <c r="BB26" i="8"/>
  <c r="BA26" i="8"/>
  <c r="AZ26" i="8"/>
  <c r="AY26" i="8"/>
  <c r="AX26" i="8"/>
  <c r="AW26" i="8"/>
  <c r="AV26" i="8"/>
  <c r="AT26" i="8"/>
  <c r="F26" i="8"/>
  <c r="G26" i="8" s="1"/>
  <c r="BD25" i="8"/>
  <c r="BC25" i="8"/>
  <c r="BB25" i="8"/>
  <c r="BA25" i="8"/>
  <c r="AZ25" i="8"/>
  <c r="AY25" i="8"/>
  <c r="AX25" i="8"/>
  <c r="AW25" i="8"/>
  <c r="AV25" i="8"/>
  <c r="AT25" i="8"/>
  <c r="F25" i="8"/>
  <c r="I25" i="8" s="1"/>
  <c r="BD24" i="8"/>
  <c r="BC24" i="8"/>
  <c r="BB24" i="8"/>
  <c r="BA24" i="8"/>
  <c r="AZ24" i="8"/>
  <c r="AY24" i="8"/>
  <c r="AX24" i="8"/>
  <c r="AW24" i="8"/>
  <c r="AV24" i="8"/>
  <c r="AT24" i="8"/>
  <c r="F24" i="8"/>
  <c r="H24" i="8" s="1"/>
  <c r="Q24" i="8" s="1"/>
  <c r="BD23" i="8"/>
  <c r="BC23" i="8"/>
  <c r="BB23" i="8"/>
  <c r="BA23" i="8"/>
  <c r="AZ23" i="8"/>
  <c r="AY23" i="8"/>
  <c r="AX23" i="8"/>
  <c r="AW23" i="8"/>
  <c r="AV23" i="8"/>
  <c r="AT23" i="8"/>
  <c r="F23" i="8"/>
  <c r="H23" i="8" s="1"/>
  <c r="M23" i="8" s="1"/>
  <c r="BD22" i="8"/>
  <c r="BC22" i="8"/>
  <c r="BB22" i="8"/>
  <c r="BA22" i="8"/>
  <c r="AZ22" i="8"/>
  <c r="AY22" i="8"/>
  <c r="AX22" i="8"/>
  <c r="AW22" i="8"/>
  <c r="AV22" i="8"/>
  <c r="AT22" i="8"/>
  <c r="F22" i="8"/>
  <c r="I22" i="8" s="1"/>
  <c r="BD21" i="8"/>
  <c r="BC21" i="8"/>
  <c r="BB21" i="8"/>
  <c r="BA21" i="8"/>
  <c r="AZ21" i="8"/>
  <c r="AY21" i="8"/>
  <c r="AX21" i="8"/>
  <c r="AW21" i="8"/>
  <c r="AV21" i="8"/>
  <c r="AT21" i="8"/>
  <c r="F21" i="8"/>
  <c r="H21" i="8" s="1"/>
  <c r="BD20" i="8"/>
  <c r="BC20" i="8"/>
  <c r="BB20" i="8"/>
  <c r="BA20" i="8"/>
  <c r="AZ20" i="8"/>
  <c r="AY20" i="8"/>
  <c r="AX20" i="8"/>
  <c r="AW20" i="8"/>
  <c r="AV20" i="8"/>
  <c r="AT20" i="8"/>
  <c r="F20" i="8"/>
  <c r="I20" i="8" s="1"/>
  <c r="AS19" i="8"/>
  <c r="AS43" i="8" s="1"/>
  <c r="AR19" i="8"/>
  <c r="AQ19" i="8"/>
  <c r="AQ43" i="8" s="1"/>
  <c r="AP19" i="8"/>
  <c r="AP43" i="8" s="1"/>
  <c r="AO19" i="8"/>
  <c r="AO43" i="8" s="1"/>
  <c r="AN19" i="8"/>
  <c r="AN43" i="8" s="1"/>
  <c r="AM19" i="8"/>
  <c r="AL19" i="8"/>
  <c r="AK19" i="8"/>
  <c r="AJ19" i="8"/>
  <c r="BD18" i="8"/>
  <c r="BC18" i="8"/>
  <c r="BB18" i="8"/>
  <c r="BA18" i="8"/>
  <c r="AZ18" i="8"/>
  <c r="AY18" i="8"/>
  <c r="AX18" i="8"/>
  <c r="AW18" i="8"/>
  <c r="AV18" i="8"/>
  <c r="AT18" i="8"/>
  <c r="F18" i="8"/>
  <c r="I18" i="8" s="1"/>
  <c r="BD17" i="8"/>
  <c r="BC17" i="8"/>
  <c r="BB17" i="8"/>
  <c r="BA17" i="8"/>
  <c r="AZ17" i="8"/>
  <c r="AY17" i="8"/>
  <c r="AX17" i="8"/>
  <c r="AW17" i="8"/>
  <c r="AV17" i="8"/>
  <c r="AT17" i="8"/>
  <c r="F17" i="8"/>
  <c r="I17" i="8" s="1"/>
  <c r="BD16" i="8"/>
  <c r="BC16" i="8"/>
  <c r="BB16" i="8"/>
  <c r="BA16" i="8"/>
  <c r="AZ16" i="8"/>
  <c r="AY16" i="8"/>
  <c r="AX16" i="8"/>
  <c r="AW16" i="8"/>
  <c r="AV16" i="8"/>
  <c r="AT16" i="8"/>
  <c r="F16" i="8"/>
  <c r="H16" i="8" s="1"/>
  <c r="BD15" i="8"/>
  <c r="BC15" i="8"/>
  <c r="BB15" i="8"/>
  <c r="BA15" i="8"/>
  <c r="AZ15" i="8"/>
  <c r="AY15" i="8"/>
  <c r="AX15" i="8"/>
  <c r="AW15" i="8"/>
  <c r="AV15" i="8"/>
  <c r="AT15" i="8"/>
  <c r="F15" i="8"/>
  <c r="I15" i="8" s="1"/>
  <c r="BD14" i="8"/>
  <c r="BC14" i="8"/>
  <c r="BB14" i="8"/>
  <c r="BA14" i="8"/>
  <c r="AZ14" i="8"/>
  <c r="AY14" i="8"/>
  <c r="AX14" i="8"/>
  <c r="AW14" i="8"/>
  <c r="AV14" i="8"/>
  <c r="AT14" i="8"/>
  <c r="F14" i="8"/>
  <c r="G14" i="8" s="1"/>
  <c r="BD13" i="8"/>
  <c r="BC13" i="8"/>
  <c r="BB13" i="8"/>
  <c r="BA13" i="8"/>
  <c r="AZ13" i="8"/>
  <c r="AY13" i="8"/>
  <c r="AX13" i="8"/>
  <c r="AW13" i="8"/>
  <c r="AV13" i="8"/>
  <c r="AT13" i="8"/>
  <c r="F13" i="8"/>
  <c r="I13" i="8" s="1"/>
  <c r="BD12" i="8"/>
  <c r="BC12" i="8"/>
  <c r="BB12" i="8"/>
  <c r="BA12" i="8"/>
  <c r="AZ12" i="8"/>
  <c r="AY12" i="8"/>
  <c r="AX12" i="8"/>
  <c r="AW12" i="8"/>
  <c r="AV12" i="8"/>
  <c r="AT12" i="8"/>
  <c r="F12" i="8"/>
  <c r="I12" i="8" s="1"/>
  <c r="BD11" i="8"/>
  <c r="BC11" i="8"/>
  <c r="BB11" i="8"/>
  <c r="BA11" i="8"/>
  <c r="AZ11" i="8"/>
  <c r="AY11" i="8"/>
  <c r="AX11" i="8"/>
  <c r="AW11" i="8"/>
  <c r="AV11" i="8"/>
  <c r="AT11" i="8"/>
  <c r="F11" i="8"/>
  <c r="I11" i="8" s="1"/>
  <c r="BD10" i="8"/>
  <c r="BC10" i="8"/>
  <c r="BB10" i="8"/>
  <c r="BA10" i="8"/>
  <c r="AZ10" i="8"/>
  <c r="AY10" i="8"/>
  <c r="AX10" i="8"/>
  <c r="AW10" i="8"/>
  <c r="AV10" i="8"/>
  <c r="AT10" i="8"/>
  <c r="F10" i="8"/>
  <c r="I10" i="8" s="1"/>
  <c r="BD9" i="8"/>
  <c r="BC9" i="8"/>
  <c r="BB9" i="8"/>
  <c r="BA9" i="8"/>
  <c r="AZ9" i="8"/>
  <c r="AY9" i="8"/>
  <c r="AX9" i="8"/>
  <c r="AW9" i="8"/>
  <c r="AV9" i="8"/>
  <c r="AT9" i="8"/>
  <c r="F9" i="8"/>
  <c r="I9" i="8" s="1"/>
  <c r="AS8" i="8"/>
  <c r="AR8" i="8"/>
  <c r="AQ8" i="8"/>
  <c r="AP8" i="8"/>
  <c r="AO8" i="8"/>
  <c r="AN8" i="8"/>
  <c r="AM8" i="8"/>
  <c r="AL8" i="8"/>
  <c r="AK8" i="8"/>
  <c r="AJ8" i="8"/>
  <c r="I4" i="8"/>
  <c r="AW80" i="8" l="1"/>
  <c r="R89" i="8" s="1"/>
  <c r="S30" i="8"/>
  <c r="Y123" i="8"/>
  <c r="Y118" i="8"/>
  <c r="J120" i="8"/>
  <c r="AR43" i="8"/>
  <c r="D101" i="8"/>
  <c r="K121" i="8"/>
  <c r="M115" i="8"/>
  <c r="J122" i="8"/>
  <c r="H26" i="8"/>
  <c r="O26" i="8" s="1"/>
  <c r="I26" i="8"/>
  <c r="W30" i="8"/>
  <c r="G31" i="8"/>
  <c r="S123" i="8"/>
  <c r="AM81" i="8"/>
  <c r="AJ43" i="8"/>
  <c r="K125" i="8"/>
  <c r="Y112" i="8"/>
  <c r="AL43" i="8"/>
  <c r="BE9" i="8"/>
  <c r="E9" i="8" s="1"/>
  <c r="S117" i="8"/>
  <c r="Q122" i="8"/>
  <c r="W29" i="8"/>
  <c r="G30" i="8"/>
  <c r="D100" i="8"/>
  <c r="M123" i="8"/>
  <c r="AM43" i="8"/>
  <c r="Q116" i="8"/>
  <c r="S122" i="8"/>
  <c r="M83" i="8"/>
  <c r="K113" i="8"/>
  <c r="U122" i="8"/>
  <c r="Y81" i="8"/>
  <c r="W83" i="8"/>
  <c r="AK81" i="8"/>
  <c r="AK84" i="8" s="1"/>
  <c r="M117" i="8"/>
  <c r="BE119" i="8"/>
  <c r="BE39" i="8"/>
  <c r="E39" i="8" s="1"/>
  <c r="U23" i="8"/>
  <c r="G24" i="8"/>
  <c r="BE38" i="8"/>
  <c r="E38" i="8" s="1"/>
  <c r="Y117" i="8"/>
  <c r="O123" i="8"/>
  <c r="G28" i="8"/>
  <c r="S29" i="8"/>
  <c r="O81" i="8"/>
  <c r="M121" i="8"/>
  <c r="Q123" i="8"/>
  <c r="O121" i="8"/>
  <c r="I30" i="8"/>
  <c r="O115" i="8"/>
  <c r="Q118" i="8"/>
  <c r="K119" i="8"/>
  <c r="S121" i="8"/>
  <c r="W123" i="8"/>
  <c r="BE34" i="8"/>
  <c r="E34" i="8" s="1"/>
  <c r="BE121" i="8"/>
  <c r="AK43" i="8"/>
  <c r="BE115" i="8"/>
  <c r="K116" i="8"/>
  <c r="BE15" i="8"/>
  <c r="E15" i="8" s="1"/>
  <c r="BE10" i="8"/>
  <c r="E10" i="8" s="1"/>
  <c r="K10" i="8" s="1"/>
  <c r="BE16" i="8"/>
  <c r="E16" i="8" s="1"/>
  <c r="I27" i="8"/>
  <c r="BE40" i="8"/>
  <c r="E40" i="8" s="1"/>
  <c r="U80" i="8"/>
  <c r="Q112" i="8"/>
  <c r="S114" i="8"/>
  <c r="W117" i="8"/>
  <c r="M27" i="8"/>
  <c r="H35" i="8"/>
  <c r="S35" i="8" s="1"/>
  <c r="O83" i="8"/>
  <c r="BE112" i="8"/>
  <c r="W114" i="8"/>
  <c r="K115" i="8"/>
  <c r="S116" i="8"/>
  <c r="BE117" i="8"/>
  <c r="M120" i="8"/>
  <c r="BE125" i="8"/>
  <c r="H20" i="8"/>
  <c r="I24" i="8"/>
  <c r="I28" i="8"/>
  <c r="I31" i="8"/>
  <c r="O79" i="8"/>
  <c r="M82" i="8"/>
  <c r="J92" i="8"/>
  <c r="D103" i="8" s="1"/>
  <c r="D97" i="8"/>
  <c r="G102" i="8" s="1"/>
  <c r="C168" i="8" s="1"/>
  <c r="Y114" i="8"/>
  <c r="U116" i="8"/>
  <c r="K117" i="8"/>
  <c r="O120" i="8"/>
  <c r="K122" i="8"/>
  <c r="G20" i="8"/>
  <c r="M24" i="8"/>
  <c r="S28" i="8"/>
  <c r="O82" i="8"/>
  <c r="U83" i="8"/>
  <c r="BE114" i="8"/>
  <c r="W116" i="8"/>
  <c r="S120" i="8"/>
  <c r="K124" i="8"/>
  <c r="BE23" i="8"/>
  <c r="E23" i="8" s="1"/>
  <c r="O24" i="8"/>
  <c r="G29" i="8"/>
  <c r="Q82" i="8"/>
  <c r="BE116" i="8"/>
  <c r="U120" i="8"/>
  <c r="I14" i="8"/>
  <c r="G15" i="8"/>
  <c r="I16" i="8"/>
  <c r="BE18" i="8"/>
  <c r="E18" i="8" s="1"/>
  <c r="K18" i="8" s="1"/>
  <c r="S24" i="8"/>
  <c r="I29" i="8"/>
  <c r="BE35" i="8"/>
  <c r="E35" i="8" s="1"/>
  <c r="U82" i="8"/>
  <c r="BE118" i="8"/>
  <c r="W120" i="8"/>
  <c r="BE123" i="8"/>
  <c r="BE17" i="8"/>
  <c r="E17" i="8" s="1"/>
  <c r="K17" i="8" s="1"/>
  <c r="BE22" i="8"/>
  <c r="E22" i="8" s="1"/>
  <c r="K22" i="8" s="1"/>
  <c r="U24" i="8"/>
  <c r="BE28" i="8"/>
  <c r="E28" i="8" s="1"/>
  <c r="O29" i="8"/>
  <c r="BE36" i="8"/>
  <c r="E36" i="8" s="1"/>
  <c r="W82" i="8"/>
  <c r="Y120" i="8"/>
  <c r="K123" i="8"/>
  <c r="BE14" i="8"/>
  <c r="E14" i="8" s="1"/>
  <c r="W24" i="8"/>
  <c r="BE37" i="8"/>
  <c r="E37" i="8" s="1"/>
  <c r="K112" i="8"/>
  <c r="J114" i="8"/>
  <c r="S115" i="8"/>
  <c r="O117" i="8"/>
  <c r="J119" i="8"/>
  <c r="BE120" i="8"/>
  <c r="W122" i="8"/>
  <c r="Q124" i="8"/>
  <c r="G9" i="8"/>
  <c r="J9" i="8" s="1"/>
  <c r="BE12" i="8"/>
  <c r="E12" i="8" s="1"/>
  <c r="K12" i="8" s="1"/>
  <c r="BE20" i="8"/>
  <c r="E20" i="8" s="1"/>
  <c r="K20" i="8" s="1"/>
  <c r="Y24" i="8"/>
  <c r="BE113" i="8"/>
  <c r="Q117" i="8"/>
  <c r="BE122" i="8"/>
  <c r="Y124" i="8"/>
  <c r="G150" i="8"/>
  <c r="C173" i="8" s="1"/>
  <c r="F173" i="8" s="1"/>
  <c r="BE13" i="8"/>
  <c r="E13" i="8" s="1"/>
  <c r="K13" i="8" s="1"/>
  <c r="BE21" i="8"/>
  <c r="E21" i="8" s="1"/>
  <c r="BE41" i="8"/>
  <c r="BE42" i="8"/>
  <c r="E42" i="8" s="1"/>
  <c r="K42" i="8" s="1"/>
  <c r="Q80" i="8"/>
  <c r="M114" i="8"/>
  <c r="BE124" i="8"/>
  <c r="BE11" i="8"/>
  <c r="E11" i="8" s="1"/>
  <c r="K11" i="8" s="1"/>
  <c r="G27" i="8"/>
  <c r="S80" i="8"/>
  <c r="AT81" i="8"/>
  <c r="AT84" i="8" s="1"/>
  <c r="O114" i="8"/>
  <c r="K9" i="8"/>
  <c r="Y21" i="8"/>
  <c r="W21" i="8"/>
  <c r="U21" i="8"/>
  <c r="S21" i="8"/>
  <c r="Q21" i="8"/>
  <c r="O21" i="8"/>
  <c r="M21" i="8"/>
  <c r="Y16" i="8"/>
  <c r="W16" i="8"/>
  <c r="U16" i="8"/>
  <c r="S16" i="8"/>
  <c r="Q16" i="8"/>
  <c r="O16" i="8"/>
  <c r="M16" i="8"/>
  <c r="H14" i="8"/>
  <c r="I21" i="8"/>
  <c r="S23" i="8"/>
  <c r="G13" i="8"/>
  <c r="K38" i="8"/>
  <c r="M79" i="8"/>
  <c r="R83" i="8"/>
  <c r="S83" i="8" s="1"/>
  <c r="R82" i="8"/>
  <c r="S82" i="8" s="1"/>
  <c r="H13" i="8"/>
  <c r="W23" i="8"/>
  <c r="G25" i="8"/>
  <c r="K39" i="8"/>
  <c r="C163" i="8"/>
  <c r="D136" i="8"/>
  <c r="K132" i="8"/>
  <c r="D135" i="8"/>
  <c r="G12" i="8"/>
  <c r="G18" i="8"/>
  <c r="Y23" i="8"/>
  <c r="BE24" i="8"/>
  <c r="E24" i="8" s="1"/>
  <c r="H25" i="8"/>
  <c r="H12" i="8"/>
  <c r="H18" i="8"/>
  <c r="K35" i="8"/>
  <c r="G11" i="8"/>
  <c r="G17" i="8"/>
  <c r="M20" i="8"/>
  <c r="BE25" i="8"/>
  <c r="E25" i="8" s="1"/>
  <c r="Q27" i="8"/>
  <c r="Y27" i="8"/>
  <c r="U27" i="8"/>
  <c r="BE31" i="8"/>
  <c r="E31" i="8" s="1"/>
  <c r="I34" i="8"/>
  <c r="K34" i="8" s="1"/>
  <c r="H34" i="8"/>
  <c r="G34" i="8"/>
  <c r="J34" i="8" s="1"/>
  <c r="K40" i="8"/>
  <c r="H11" i="8"/>
  <c r="H17" i="8"/>
  <c r="O20" i="8"/>
  <c r="G23" i="8"/>
  <c r="U28" i="8"/>
  <c r="M28" i="8"/>
  <c r="Y28" i="8"/>
  <c r="Y31" i="8"/>
  <c r="U31" i="8"/>
  <c r="Q31" i="8"/>
  <c r="M31" i="8"/>
  <c r="G104" i="8"/>
  <c r="C169" i="8" s="1"/>
  <c r="F169" i="8" s="1"/>
  <c r="G10" i="8"/>
  <c r="G16" i="8"/>
  <c r="Q20" i="8"/>
  <c r="I23" i="8"/>
  <c r="BE26" i="8"/>
  <c r="E26" i="8" s="1"/>
  <c r="C165" i="8"/>
  <c r="H10" i="8"/>
  <c r="S20" i="8"/>
  <c r="G22" i="8"/>
  <c r="BE27" i="8"/>
  <c r="E27" i="8" s="1"/>
  <c r="Y29" i="8"/>
  <c r="Q29" i="8"/>
  <c r="M29" i="8"/>
  <c r="Y30" i="8"/>
  <c r="U30" i="8"/>
  <c r="Q30" i="8"/>
  <c r="M30" i="8"/>
  <c r="BE30" i="8"/>
  <c r="E30" i="8" s="1"/>
  <c r="H22" i="8"/>
  <c r="BE33" i="8"/>
  <c r="E33" i="8" s="1"/>
  <c r="H9" i="8"/>
  <c r="H15" i="8"/>
  <c r="W20" i="8"/>
  <c r="G21" i="8"/>
  <c r="O23" i="8"/>
  <c r="O27" i="8"/>
  <c r="O28" i="8"/>
  <c r="BE29" i="8"/>
  <c r="E29" i="8" s="1"/>
  <c r="S31" i="8"/>
  <c r="Y36" i="8"/>
  <c r="W36" i="8"/>
  <c r="U36" i="8"/>
  <c r="S36" i="8"/>
  <c r="Q36" i="8"/>
  <c r="O36" i="8"/>
  <c r="M36" i="8"/>
  <c r="K83" i="8"/>
  <c r="J83" i="8"/>
  <c r="D145" i="8"/>
  <c r="D146" i="8"/>
  <c r="Q23" i="8"/>
  <c r="S27" i="8"/>
  <c r="Q28" i="8"/>
  <c r="W31" i="8"/>
  <c r="G35" i="8"/>
  <c r="I36" i="8"/>
  <c r="AM84" i="8"/>
  <c r="Q115" i="8"/>
  <c r="Q121" i="8"/>
  <c r="D142" i="8"/>
  <c r="R86" i="8"/>
  <c r="R79" i="8" s="1"/>
  <c r="S79" i="8" s="1"/>
  <c r="G40" i="8"/>
  <c r="G42" i="8"/>
  <c r="E79" i="8"/>
  <c r="U79" i="8"/>
  <c r="W80" i="8"/>
  <c r="E81" i="8"/>
  <c r="AU81" i="8"/>
  <c r="AU84" i="8" s="1"/>
  <c r="Q83" i="8"/>
  <c r="AO84" i="8"/>
  <c r="T86" i="8"/>
  <c r="T81" i="8" s="1"/>
  <c r="U81" i="8" s="1"/>
  <c r="J112" i="8"/>
  <c r="M113" i="8"/>
  <c r="U115" i="8"/>
  <c r="Y116" i="8"/>
  <c r="J118" i="8"/>
  <c r="M119" i="8"/>
  <c r="U121" i="8"/>
  <c r="Y122" i="8"/>
  <c r="J124" i="8"/>
  <c r="M125" i="8"/>
  <c r="H40" i="8"/>
  <c r="H42" i="8"/>
  <c r="W79" i="8"/>
  <c r="Y80" i="8"/>
  <c r="AV81" i="8"/>
  <c r="AV84" i="8" s="1"/>
  <c r="AP84" i="8"/>
  <c r="O113" i="8"/>
  <c r="W115" i="8"/>
  <c r="O119" i="8"/>
  <c r="W121" i="8"/>
  <c r="O125" i="8"/>
  <c r="G33" i="8"/>
  <c r="G39" i="8"/>
  <c r="J39" i="8" s="1"/>
  <c r="Y79" i="8"/>
  <c r="AJ81" i="8"/>
  <c r="AJ84" i="8" s="1"/>
  <c r="M112" i="8"/>
  <c r="Q113" i="8"/>
  <c r="J117" i="8"/>
  <c r="M118" i="8"/>
  <c r="Q119" i="8"/>
  <c r="J123" i="8"/>
  <c r="M124" i="8"/>
  <c r="Q125" i="8"/>
  <c r="H33" i="8"/>
  <c r="H39" i="8"/>
  <c r="W81" i="8"/>
  <c r="E82" i="8"/>
  <c r="O112" i="8"/>
  <c r="S113" i="8"/>
  <c r="O118" i="8"/>
  <c r="S119" i="8"/>
  <c r="O124" i="8"/>
  <c r="S125" i="8"/>
  <c r="G38" i="8"/>
  <c r="J38" i="8" s="1"/>
  <c r="R88" i="8"/>
  <c r="R81" i="8" s="1"/>
  <c r="S81" i="8" s="1"/>
  <c r="U113" i="8"/>
  <c r="U119" i="8"/>
  <c r="U125" i="8"/>
  <c r="H38" i="8"/>
  <c r="S112" i="8"/>
  <c r="W113" i="8"/>
  <c r="S118" i="8"/>
  <c r="W119" i="8"/>
  <c r="S124" i="8"/>
  <c r="W125" i="8"/>
  <c r="G37" i="8"/>
  <c r="M80" i="8"/>
  <c r="U112" i="8"/>
  <c r="J115" i="8"/>
  <c r="M116" i="8"/>
  <c r="U118" i="8"/>
  <c r="J121" i="8"/>
  <c r="M122" i="8"/>
  <c r="U124" i="8"/>
  <c r="H37" i="8"/>
  <c r="G36" i="8"/>
  <c r="W35" i="8" l="1"/>
  <c r="Y35" i="8"/>
  <c r="S26" i="8"/>
  <c r="Q26" i="8"/>
  <c r="J15" i="8"/>
  <c r="M26" i="8"/>
  <c r="J16" i="8"/>
  <c r="J13" i="8"/>
  <c r="U26" i="8"/>
  <c r="K15" i="8"/>
  <c r="K14" i="8"/>
  <c r="Y26" i="8"/>
  <c r="Z114" i="8"/>
  <c r="Y126" i="8"/>
  <c r="W26" i="8"/>
  <c r="J22" i="8"/>
  <c r="K28" i="8"/>
  <c r="J28" i="8"/>
  <c r="Z28" i="8" s="1"/>
  <c r="Z122" i="8"/>
  <c r="AD122" i="8" s="1"/>
  <c r="AG122" i="8" s="1"/>
  <c r="Q126" i="8"/>
  <c r="J42" i="8"/>
  <c r="M35" i="8"/>
  <c r="J40" i="8"/>
  <c r="U35" i="8"/>
  <c r="O35" i="8"/>
  <c r="Z120" i="8"/>
  <c r="AB120" i="8" s="1"/>
  <c r="Q35" i="8"/>
  <c r="J10" i="8"/>
  <c r="Z119" i="8"/>
  <c r="AA119" i="8" s="1"/>
  <c r="Z80" i="8"/>
  <c r="AF80" i="8" s="1"/>
  <c r="Z125" i="8"/>
  <c r="AA125" i="8" s="1"/>
  <c r="J17" i="8"/>
  <c r="J14" i="8"/>
  <c r="K16" i="8"/>
  <c r="Z16" i="8" s="1"/>
  <c r="Z123" i="8"/>
  <c r="AC123" i="8" s="1"/>
  <c r="J35" i="8"/>
  <c r="Z35" i="8" s="1"/>
  <c r="J21" i="8"/>
  <c r="K21" i="8"/>
  <c r="J37" i="8"/>
  <c r="AC120" i="8"/>
  <c r="AA120" i="8"/>
  <c r="AI120" i="8"/>
  <c r="AF120" i="8"/>
  <c r="AE120" i="8"/>
  <c r="AD120" i="8"/>
  <c r="AG120" i="8" s="1"/>
  <c r="K36" i="8"/>
  <c r="J36" i="8"/>
  <c r="J18" i="8"/>
  <c r="AW81" i="8"/>
  <c r="P86" i="8" s="1"/>
  <c r="P81" i="8" s="1"/>
  <c r="Q81" i="8" s="1"/>
  <c r="Q84" i="8" s="1"/>
  <c r="K37" i="8"/>
  <c r="U84" i="8"/>
  <c r="J12" i="8"/>
  <c r="J20" i="8"/>
  <c r="Y20" i="8"/>
  <c r="U20" i="8"/>
  <c r="Z117" i="8"/>
  <c r="AE117" i="8" s="1"/>
  <c r="Z21" i="8"/>
  <c r="AC21" i="8" s="1"/>
  <c r="J11" i="8"/>
  <c r="Z113" i="8"/>
  <c r="AC113" i="8" s="1"/>
  <c r="Z116" i="8"/>
  <c r="AF116" i="8" s="1"/>
  <c r="Z115" i="8"/>
  <c r="AD115" i="8" s="1"/>
  <c r="AG115" i="8" s="1"/>
  <c r="K23" i="8"/>
  <c r="J23" i="8"/>
  <c r="U126" i="8"/>
  <c r="O84" i="8"/>
  <c r="G146" i="8"/>
  <c r="C172" i="8" s="1"/>
  <c r="AD113" i="8"/>
  <c r="AG113" i="8" s="1"/>
  <c r="AB125" i="8"/>
  <c r="K82" i="8"/>
  <c r="J82" i="8"/>
  <c r="K33" i="8"/>
  <c r="J33" i="8"/>
  <c r="W13" i="8"/>
  <c r="U13" i="8"/>
  <c r="S13" i="8"/>
  <c r="Q13" i="8"/>
  <c r="O13" i="8"/>
  <c r="M13" i="8"/>
  <c r="Y13" i="8"/>
  <c r="Z112" i="8"/>
  <c r="S84" i="8"/>
  <c r="Y22" i="8"/>
  <c r="W22" i="8"/>
  <c r="U22" i="8"/>
  <c r="S22" i="8"/>
  <c r="Q22" i="8"/>
  <c r="O22" i="8"/>
  <c r="M22" i="8"/>
  <c r="J27" i="8"/>
  <c r="K27" i="8"/>
  <c r="D168" i="8"/>
  <c r="E168" i="8" s="1"/>
  <c r="M38" i="8"/>
  <c r="Y38" i="8"/>
  <c r="W38" i="8"/>
  <c r="U38" i="8"/>
  <c r="S38" i="8"/>
  <c r="O38" i="8"/>
  <c r="Q38" i="8"/>
  <c r="AE115" i="8"/>
  <c r="Q39" i="8"/>
  <c r="O39" i="8"/>
  <c r="M39" i="8"/>
  <c r="Y39" i="8"/>
  <c r="W39" i="8"/>
  <c r="S39" i="8"/>
  <c r="U39" i="8"/>
  <c r="U42" i="8"/>
  <c r="S42" i="8"/>
  <c r="Q42" i="8"/>
  <c r="O42" i="8"/>
  <c r="M42" i="8"/>
  <c r="Y42" i="8"/>
  <c r="W42" i="8"/>
  <c r="Y15" i="8"/>
  <c r="W15" i="8"/>
  <c r="U15" i="8"/>
  <c r="S15" i="8"/>
  <c r="Q15" i="8"/>
  <c r="O15" i="8"/>
  <c r="M15" i="8"/>
  <c r="O17" i="8"/>
  <c r="M17" i="8"/>
  <c r="Y17" i="8"/>
  <c r="W17" i="8"/>
  <c r="U17" i="8"/>
  <c r="S17" i="8"/>
  <c r="Q17" i="8"/>
  <c r="O11" i="8"/>
  <c r="M11" i="8"/>
  <c r="Y11" i="8"/>
  <c r="W11" i="8"/>
  <c r="U11" i="8"/>
  <c r="S11" i="8"/>
  <c r="Q11" i="8"/>
  <c r="AD114" i="8"/>
  <c r="AC114" i="8"/>
  <c r="AB114" i="8"/>
  <c r="AA114" i="8"/>
  <c r="AI114" i="8"/>
  <c r="AF114" i="8"/>
  <c r="AE114" i="8"/>
  <c r="Y10" i="8"/>
  <c r="W10" i="8"/>
  <c r="U10" i="8"/>
  <c r="S10" i="8"/>
  <c r="Q10" i="8"/>
  <c r="O10" i="8"/>
  <c r="M10" i="8"/>
  <c r="U40" i="8"/>
  <c r="S40" i="8"/>
  <c r="Q40" i="8"/>
  <c r="O40" i="8"/>
  <c r="M40" i="8"/>
  <c r="Y40" i="8"/>
  <c r="W40" i="8"/>
  <c r="Z124" i="8"/>
  <c r="J30" i="8"/>
  <c r="K30" i="8"/>
  <c r="M84" i="8"/>
  <c r="Q33" i="8"/>
  <c r="O33" i="8"/>
  <c r="Y33" i="8"/>
  <c r="W33" i="8"/>
  <c r="S33" i="8"/>
  <c r="U33" i="8"/>
  <c r="M33" i="8"/>
  <c r="Z83" i="8"/>
  <c r="J25" i="8"/>
  <c r="K25" i="8"/>
  <c r="S18" i="8"/>
  <c r="Q18" i="8"/>
  <c r="O18" i="8"/>
  <c r="M18" i="8"/>
  <c r="Y18" i="8"/>
  <c r="W18" i="8"/>
  <c r="U18" i="8"/>
  <c r="D163" i="8"/>
  <c r="E163" i="8" s="1"/>
  <c r="AB119" i="8"/>
  <c r="AF119" i="8"/>
  <c r="AC119" i="8"/>
  <c r="K81" i="8"/>
  <c r="J81" i="8"/>
  <c r="J29" i="8"/>
  <c r="K29" i="8"/>
  <c r="D165" i="8"/>
  <c r="E165" i="8" s="1"/>
  <c r="S12" i="8"/>
  <c r="Q12" i="8"/>
  <c r="O12" i="8"/>
  <c r="M12" i="8"/>
  <c r="Y12" i="8"/>
  <c r="W12" i="8"/>
  <c r="U12" i="8"/>
  <c r="Y9" i="8"/>
  <c r="W9" i="8"/>
  <c r="U9" i="8"/>
  <c r="S9" i="8"/>
  <c r="Q9" i="8"/>
  <c r="O9" i="8"/>
  <c r="M9" i="8"/>
  <c r="Y14" i="8"/>
  <c r="W14" i="8"/>
  <c r="U14" i="8"/>
  <c r="S14" i="8"/>
  <c r="Q14" i="8"/>
  <c r="O14" i="8"/>
  <c r="M14" i="8"/>
  <c r="AI123" i="8"/>
  <c r="Y37" i="8"/>
  <c r="W37" i="8"/>
  <c r="U37" i="8"/>
  <c r="S37" i="8"/>
  <c r="Q37" i="8"/>
  <c r="O37" i="8"/>
  <c r="M37" i="8"/>
  <c r="U34" i="8"/>
  <c r="S34" i="8"/>
  <c r="O34" i="8"/>
  <c r="M34" i="8"/>
  <c r="W34" i="8"/>
  <c r="Y34" i="8"/>
  <c r="Q34" i="8"/>
  <c r="Z118" i="8"/>
  <c r="AD117" i="8"/>
  <c r="AG117" i="8" s="1"/>
  <c r="AA117" i="8"/>
  <c r="K79" i="8"/>
  <c r="J79" i="8"/>
  <c r="K31" i="8"/>
  <c r="J31" i="8"/>
  <c r="U25" i="8"/>
  <c r="Q25" i="8"/>
  <c r="M25" i="8"/>
  <c r="Y25" i="8"/>
  <c r="W25" i="8"/>
  <c r="S25" i="8"/>
  <c r="O25" i="8"/>
  <c r="Z121" i="8"/>
  <c r="S126" i="8"/>
  <c r="O126" i="8"/>
  <c r="M126" i="8"/>
  <c r="K26" i="8"/>
  <c r="J26" i="8"/>
  <c r="J24" i="8"/>
  <c r="K24" i="8"/>
  <c r="AC80" i="8" l="1"/>
  <c r="K84" i="8"/>
  <c r="AE113" i="8"/>
  <c r="AF113" i="8"/>
  <c r="AI119" i="8"/>
  <c r="AI113" i="8"/>
  <c r="AD21" i="8"/>
  <c r="AG21" i="8" s="1"/>
  <c r="AA123" i="8"/>
  <c r="AA21" i="8"/>
  <c r="AB123" i="8"/>
  <c r="AE122" i="8"/>
  <c r="AD123" i="8"/>
  <c r="AG123" i="8" s="1"/>
  <c r="AF122" i="8"/>
  <c r="AF35" i="8"/>
  <c r="AD35" i="8"/>
  <c r="AG35" i="8" s="1"/>
  <c r="AC35" i="8"/>
  <c r="AE123" i="8"/>
  <c r="AA80" i="8"/>
  <c r="Z20" i="8"/>
  <c r="AD20" i="8" s="1"/>
  <c r="AG20" i="8" s="1"/>
  <c r="AF123" i="8"/>
  <c r="AB80" i="8"/>
  <c r="AD80" i="8"/>
  <c r="AG80" i="8" s="1"/>
  <c r="AE21" i="8"/>
  <c r="AE80" i="8"/>
  <c r="AD119" i="8"/>
  <c r="AG119" i="8" s="1"/>
  <c r="AI115" i="8"/>
  <c r="AE119" i="8"/>
  <c r="AC115" i="8"/>
  <c r="AC125" i="8"/>
  <c r="AB113" i="8"/>
  <c r="AH113" i="8" s="1"/>
  <c r="F168" i="8"/>
  <c r="AD16" i="8"/>
  <c r="AG16" i="8" s="1"/>
  <c r="AC16" i="8"/>
  <c r="AF16" i="8"/>
  <c r="AE16" i="8"/>
  <c r="AA16" i="8"/>
  <c r="F165" i="8"/>
  <c r="Z14" i="8"/>
  <c r="AD125" i="8"/>
  <c r="AG125" i="8" s="1"/>
  <c r="AI117" i="8"/>
  <c r="AA122" i="8"/>
  <c r="AE125" i="8"/>
  <c r="AC116" i="8"/>
  <c r="Z23" i="8"/>
  <c r="AC23" i="8" s="1"/>
  <c r="AF117" i="8"/>
  <c r="AI122" i="8"/>
  <c r="Z82" i="8"/>
  <c r="AF82" i="8" s="1"/>
  <c r="AB122" i="8"/>
  <c r="AF125" i="8"/>
  <c r="AD116" i="8"/>
  <c r="AG116" i="8" s="1"/>
  <c r="AC122" i="8"/>
  <c r="AI125" i="8"/>
  <c r="AB21" i="8"/>
  <c r="Z34" i="8"/>
  <c r="AF34" i="8" s="1"/>
  <c r="AF21" i="8"/>
  <c r="Z36" i="8"/>
  <c r="AD36" i="8" s="1"/>
  <c r="Z40" i="8"/>
  <c r="AD40" i="8" s="1"/>
  <c r="AG40" i="8" s="1"/>
  <c r="Z31" i="8"/>
  <c r="AD31" i="8" s="1"/>
  <c r="AG31" i="8" s="1"/>
  <c r="Z37" i="8"/>
  <c r="AB37" i="8" s="1"/>
  <c r="Z81" i="8"/>
  <c r="AC81" i="8" s="1"/>
  <c r="Z22" i="8"/>
  <c r="AC22" i="8" s="1"/>
  <c r="AI116" i="8"/>
  <c r="AF115" i="8"/>
  <c r="AH120" i="8"/>
  <c r="Z18" i="8"/>
  <c r="AC18" i="8" s="1"/>
  <c r="Z39" i="8"/>
  <c r="AA39" i="8" s="1"/>
  <c r="AA35" i="8"/>
  <c r="AA116" i="8"/>
  <c r="Z10" i="8"/>
  <c r="AD10" i="8" s="1"/>
  <c r="AB35" i="8"/>
  <c r="AB116" i="8"/>
  <c r="AA113" i="8"/>
  <c r="Z9" i="8"/>
  <c r="AE9" i="8" s="1"/>
  <c r="Z42" i="8"/>
  <c r="AC42" i="8" s="1"/>
  <c r="Z12" i="8"/>
  <c r="AC12" i="8" s="1"/>
  <c r="AB117" i="8"/>
  <c r="Z30" i="8"/>
  <c r="AB30" i="8" s="1"/>
  <c r="Z17" i="8"/>
  <c r="AF17" i="8" s="1"/>
  <c r="AA115" i="8"/>
  <c r="Z38" i="8"/>
  <c r="AC38" i="8" s="1"/>
  <c r="AE35" i="8"/>
  <c r="AE116" i="8"/>
  <c r="AC117" i="8"/>
  <c r="Z25" i="8"/>
  <c r="AC25" i="8" s="1"/>
  <c r="AB115" i="8"/>
  <c r="AB16" i="8"/>
  <c r="Z24" i="8"/>
  <c r="AE24" i="8" s="1"/>
  <c r="Z15" i="8"/>
  <c r="AF15" i="8" s="1"/>
  <c r="Z13" i="8"/>
  <c r="AF13" i="8" s="1"/>
  <c r="Z11" i="8"/>
  <c r="AC11" i="8" s="1"/>
  <c r="AB13" i="8"/>
  <c r="AF14" i="8"/>
  <c r="AE14" i="8"/>
  <c r="AA37" i="8"/>
  <c r="AE39" i="8"/>
  <c r="AB38" i="8"/>
  <c r="AC82" i="8"/>
  <c r="AE34" i="8"/>
  <c r="AD34" i="8"/>
  <c r="AG34" i="8" s="1"/>
  <c r="AC34" i="8"/>
  <c r="AB34" i="8"/>
  <c r="AA34" i="8"/>
  <c r="Z26" i="8"/>
  <c r="AI112" i="8"/>
  <c r="AF112" i="8"/>
  <c r="AE112" i="8"/>
  <c r="AD112" i="8"/>
  <c r="AC112" i="8"/>
  <c r="AB112" i="8"/>
  <c r="Z126" i="8"/>
  <c r="AA112" i="8"/>
  <c r="AG114" i="8"/>
  <c r="AH114" i="8" s="1"/>
  <c r="AF36" i="8"/>
  <c r="AB31" i="8"/>
  <c r="U85" i="8"/>
  <c r="Z27" i="8"/>
  <c r="AF121" i="8"/>
  <c r="AE121" i="8"/>
  <c r="AD121" i="8"/>
  <c r="AG121" i="8" s="1"/>
  <c r="AC121" i="8"/>
  <c r="AB121" i="8"/>
  <c r="AA121" i="8"/>
  <c r="AI121" i="8"/>
  <c r="J84" i="8"/>
  <c r="Z79" i="8"/>
  <c r="AI118" i="8"/>
  <c r="AF118" i="8"/>
  <c r="AE118" i="8"/>
  <c r="AD118" i="8"/>
  <c r="AG118" i="8" s="1"/>
  <c r="AC118" i="8"/>
  <c r="AB118" i="8"/>
  <c r="AA118" i="8"/>
  <c r="AD30" i="8"/>
  <c r="AG30" i="8" s="1"/>
  <c r="AE23" i="8"/>
  <c r="AB23" i="8"/>
  <c r="D172" i="8"/>
  <c r="E172" i="8" s="1"/>
  <c r="AF20" i="8"/>
  <c r="AE20" i="8"/>
  <c r="AC20" i="8"/>
  <c r="AB20" i="8"/>
  <c r="AA20" i="8"/>
  <c r="AE28" i="8"/>
  <c r="AC28" i="8"/>
  <c r="AA28" i="8"/>
  <c r="AF28" i="8"/>
  <c r="AD28" i="8"/>
  <c r="AG28" i="8" s="1"/>
  <c r="AB28" i="8"/>
  <c r="Z29" i="8"/>
  <c r="AC83" i="8"/>
  <c r="AB83" i="8"/>
  <c r="AA83" i="8"/>
  <c r="AF83" i="8"/>
  <c r="AE83" i="8"/>
  <c r="AD83" i="8"/>
  <c r="AG83" i="8" s="1"/>
  <c r="AB81" i="8"/>
  <c r="AA81" i="8"/>
  <c r="Z33" i="8"/>
  <c r="AI124" i="8"/>
  <c r="AF124" i="8"/>
  <c r="AE124" i="8"/>
  <c r="AD124" i="8"/>
  <c r="AG124" i="8" s="1"/>
  <c r="AC124" i="8"/>
  <c r="AB124" i="8"/>
  <c r="AA124" i="8"/>
  <c r="F163" i="8"/>
  <c r="AF31" i="8" l="1"/>
  <c r="AE31" i="8"/>
  <c r="AE38" i="8"/>
  <c r="AA31" i="8"/>
  <c r="AB42" i="8"/>
  <c r="AC31" i="8"/>
  <c r="AD42" i="8"/>
  <c r="AG42" i="8" s="1"/>
  <c r="AE12" i="8"/>
  <c r="AE42" i="8"/>
  <c r="AB12" i="8"/>
  <c r="AH123" i="8"/>
  <c r="AE22" i="8"/>
  <c r="AF12" i="8"/>
  <c r="AE82" i="8"/>
  <c r="AD38" i="8"/>
  <c r="AG38" i="8" s="1"/>
  <c r="AF22" i="8"/>
  <c r="AD13" i="8"/>
  <c r="AG13" i="8" s="1"/>
  <c r="AD37" i="8"/>
  <c r="AG37" i="8" s="1"/>
  <c r="AE13" i="8"/>
  <c r="AH80" i="8"/>
  <c r="AC37" i="8"/>
  <c r="AH35" i="8"/>
  <c r="AA82" i="8"/>
  <c r="AE40" i="8"/>
  <c r="AH119" i="8"/>
  <c r="AB82" i="8"/>
  <c r="AF40" i="8"/>
  <c r="AH21" i="8"/>
  <c r="AD11" i="8"/>
  <c r="AG11" i="8" s="1"/>
  <c r="AH16" i="8"/>
  <c r="AB18" i="8"/>
  <c r="AE11" i="8"/>
  <c r="AE36" i="8"/>
  <c r="AB25" i="8"/>
  <c r="AF38" i="8"/>
  <c r="AD18" i="8"/>
  <c r="AG18" i="8" s="1"/>
  <c r="AF11" i="8"/>
  <c r="AH117" i="8"/>
  <c r="AF39" i="8"/>
  <c r="AG36" i="8"/>
  <c r="AA14" i="8"/>
  <c r="AD81" i="8"/>
  <c r="AG81" i="8" s="1"/>
  <c r="AD23" i="8"/>
  <c r="AG23" i="8" s="1"/>
  <c r="AA36" i="8"/>
  <c r="AD82" i="8"/>
  <c r="AG82" i="8" s="1"/>
  <c r="AF42" i="8"/>
  <c r="AB14" i="8"/>
  <c r="AA13" i="8"/>
  <c r="AH13" i="8" s="1"/>
  <c r="AF23" i="8"/>
  <c r="AF24" i="8"/>
  <c r="AC14" i="8"/>
  <c r="AH115" i="8"/>
  <c r="AH122" i="8"/>
  <c r="AA23" i="8"/>
  <c r="AH23" i="8" s="1"/>
  <c r="AA24" i="8"/>
  <c r="AD12" i="8"/>
  <c r="AG12" i="8" s="1"/>
  <c r="AD22" i="8"/>
  <c r="AG22" i="8" s="1"/>
  <c r="AD14" i="8"/>
  <c r="AG14" i="8" s="1"/>
  <c r="AC13" i="8"/>
  <c r="AF30" i="8"/>
  <c r="AF9" i="8"/>
  <c r="AB22" i="8"/>
  <c r="AC36" i="8"/>
  <c r="AB39" i="8"/>
  <c r="AE37" i="8"/>
  <c r="AE81" i="8"/>
  <c r="AB36" i="8"/>
  <c r="AC39" i="8"/>
  <c r="AF81" i="8"/>
  <c r="AA42" i="8"/>
  <c r="AH42" i="8" s="1"/>
  <c r="AH41" i="8" s="1"/>
  <c r="AD39" i="8"/>
  <c r="AG39" i="8" s="1"/>
  <c r="AF37" i="8"/>
  <c r="AB11" i="8"/>
  <c r="AH116" i="8"/>
  <c r="AH124" i="8"/>
  <c r="AH125" i="8"/>
  <c r="AH118" i="8"/>
  <c r="AD24" i="8"/>
  <c r="AG24" i="8" s="1"/>
  <c r="AA17" i="8"/>
  <c r="AA12" i="8"/>
  <c r="AB9" i="8"/>
  <c r="AA22" i="8"/>
  <c r="AH22" i="8" s="1"/>
  <c r="AA11" i="8"/>
  <c r="AB24" i="8"/>
  <c r="AA9" i="8"/>
  <c r="AC24" i="8"/>
  <c r="AB17" i="8"/>
  <c r="AE10" i="8"/>
  <c r="AC15" i="8"/>
  <c r="AC17" i="8"/>
  <c r="AF10" i="8"/>
  <c r="AA18" i="8"/>
  <c r="AD15" i="8"/>
  <c r="AG15" i="8" s="1"/>
  <c r="AG10" i="8"/>
  <c r="AD17" i="8"/>
  <c r="AG17" i="8" s="1"/>
  <c r="AE15" i="8"/>
  <c r="AD25" i="8"/>
  <c r="AG25" i="8" s="1"/>
  <c r="AE17" i="8"/>
  <c r="AC30" i="8"/>
  <c r="AB10" i="8"/>
  <c r="AA40" i="8"/>
  <c r="AA15" i="8"/>
  <c r="AH28" i="8"/>
  <c r="AE30" i="8"/>
  <c r="AA25" i="8"/>
  <c r="AA38" i="8"/>
  <c r="AH38" i="8" s="1"/>
  <c r="AC9" i="8"/>
  <c r="AC10" i="8"/>
  <c r="AE18" i="8"/>
  <c r="AB40" i="8"/>
  <c r="AB15" i="8"/>
  <c r="AA10" i="8"/>
  <c r="AH20" i="8"/>
  <c r="AF25" i="8"/>
  <c r="AA30" i="8"/>
  <c r="AH121" i="8"/>
  <c r="AH31" i="8"/>
  <c r="AE25" i="8"/>
  <c r="AD9" i="8"/>
  <c r="AG9" i="8" s="1"/>
  <c r="AF18" i="8"/>
  <c r="AC40" i="8"/>
  <c r="AB126" i="8"/>
  <c r="AH83" i="8"/>
  <c r="AA126" i="8"/>
  <c r="AC126" i="8"/>
  <c r="AH34" i="8"/>
  <c r="F172" i="8"/>
  <c r="AD126" i="8"/>
  <c r="AF33" i="8"/>
  <c r="AD33" i="8"/>
  <c r="AG33" i="8" s="1"/>
  <c r="AB33" i="8"/>
  <c r="AA33" i="8"/>
  <c r="AE33" i="8"/>
  <c r="AC33" i="8"/>
  <c r="AC27" i="8"/>
  <c r="AA27" i="8"/>
  <c r="AF27" i="8"/>
  <c r="AE27" i="8"/>
  <c r="AD27" i="8"/>
  <c r="AG27" i="8" s="1"/>
  <c r="AB27" i="8"/>
  <c r="AE126" i="8"/>
  <c r="AF79" i="8"/>
  <c r="AE79" i="8"/>
  <c r="AD79" i="8"/>
  <c r="AG79" i="8" s="1"/>
  <c r="AC79" i="8"/>
  <c r="AB79" i="8"/>
  <c r="AA79" i="8"/>
  <c r="Z84" i="8"/>
  <c r="AF126" i="8"/>
  <c r="AG112" i="8"/>
  <c r="AG126" i="8" s="1"/>
  <c r="AH112" i="8"/>
  <c r="AE29" i="8"/>
  <c r="AC29" i="8"/>
  <c r="AA29" i="8"/>
  <c r="AF29" i="8"/>
  <c r="AD29" i="8"/>
  <c r="AG29" i="8" s="1"/>
  <c r="AB29" i="8"/>
  <c r="AE26" i="8"/>
  <c r="AA26" i="8"/>
  <c r="AF26" i="8"/>
  <c r="AD26" i="8"/>
  <c r="AG26" i="8" s="1"/>
  <c r="AC26" i="8"/>
  <c r="AB26" i="8"/>
  <c r="AH11" i="8" l="1"/>
  <c r="AH37" i="8"/>
  <c r="AH36" i="8"/>
  <c r="AH30" i="8"/>
  <c r="AH81" i="8"/>
  <c r="AH39" i="8"/>
  <c r="AH14" i="8"/>
  <c r="AH27" i="8"/>
  <c r="AH82" i="8"/>
  <c r="AH12" i="8"/>
  <c r="AH40" i="8"/>
  <c r="AH9" i="8"/>
  <c r="AH24" i="8"/>
  <c r="AH29" i="8"/>
  <c r="AH33" i="8"/>
  <c r="AH25" i="8"/>
  <c r="AH79" i="8"/>
  <c r="AH15" i="8"/>
  <c r="AH126" i="8"/>
  <c r="C171" i="8" s="1"/>
  <c r="C170" i="8" s="1"/>
  <c r="AH10" i="8"/>
  <c r="AH17" i="8"/>
  <c r="AH18" i="8"/>
  <c r="AH26" i="8"/>
  <c r="AF84" i="8"/>
  <c r="AE84" i="8"/>
  <c r="AD84" i="8"/>
  <c r="AG84" i="8" s="1"/>
  <c r="AC84" i="8"/>
  <c r="AB84" i="8"/>
  <c r="AA84" i="8"/>
  <c r="AH32" i="8" l="1"/>
  <c r="AH84" i="8"/>
  <c r="C167" i="8" s="1"/>
  <c r="D171" i="8"/>
  <c r="E171" i="8" s="1"/>
  <c r="E170" i="8" s="1"/>
  <c r="AH19" i="8"/>
  <c r="AH43" i="8" s="1"/>
  <c r="C162" i="8" s="1"/>
  <c r="D162" i="8" s="1"/>
  <c r="AH8" i="8"/>
  <c r="C161" i="8" l="1"/>
  <c r="D170" i="8"/>
  <c r="C166" i="8"/>
  <c r="D167" i="8"/>
  <c r="E162" i="8"/>
  <c r="E161" i="8" s="1"/>
  <c r="D161" i="8"/>
  <c r="F171" i="8"/>
  <c r="F170" i="8" s="1"/>
  <c r="C177" i="8" l="1"/>
  <c r="F161" i="8"/>
  <c r="D166" i="8"/>
  <c r="E167" i="8"/>
  <c r="E166" i="8" s="1"/>
  <c r="F162" i="8"/>
  <c r="C178" i="8" l="1"/>
  <c r="F167" i="8"/>
  <c r="F166" i="8" s="1"/>
  <c r="C179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56" authorId="0" shapeId="0" xr:uid="{C7050A94-5EB0-4FA8-BA7A-C561DE16CF9E}">
      <text>
        <r>
          <rPr>
            <sz val="11"/>
            <color theme="1"/>
            <rFont val="Aptos Narrow"/>
            <family val="2"/>
            <scheme val="minor"/>
          </rPr>
          <t>======
ID#AAABxTkzxhQ
ETCAR    (2025-12-11 15:01:06)
Ingrese aquí el valor de la Administración a ofertar</t>
        </r>
      </text>
    </comment>
  </commentList>
</comments>
</file>

<file path=xl/sharedStrings.xml><?xml version="1.0" encoding="utf-8"?>
<sst xmlns="http://schemas.openxmlformats.org/spreadsheetml/2006/main" count="466" uniqueCount="189">
  <si>
    <t>ESCUELA TALLER CARTAGENA</t>
  </si>
  <si>
    <t>PRESUPUESTO DE PERSONAL PARA DIRECCIÓN DE OBRAS Y ADMINISTRACIÓN PARA EL PERIODO COMPRENDIDO ENTRE MARZO A OCTUBRE DE 2025</t>
  </si>
  <si>
    <t>1. PERSONAL - DIRECCIÓN DE OBRAS</t>
  </si>
  <si>
    <t>Cargo</t>
  </si>
  <si>
    <t>Cantidad de personas</t>
  </si>
  <si>
    <t>Tiempo en días</t>
  </si>
  <si>
    <t>Salario</t>
  </si>
  <si>
    <t xml:space="preserve">Valor Aux Transporte  por día </t>
  </si>
  <si>
    <t>Salario Básico proporcional dias trabajados x empleado</t>
  </si>
  <si>
    <t>Auxilio de transporte proporcional</t>
  </si>
  <si>
    <t>Horas Extras Diurnas</t>
  </si>
  <si>
    <t>Horas Extras Nocturnas</t>
  </si>
  <si>
    <t>Recargo por horas Nocturnas</t>
  </si>
  <si>
    <t>Recargo por horas dominicales o festivas Diurnas</t>
  </si>
  <si>
    <t>Recargo por horas dominicales o festivas Nocturna</t>
  </si>
  <si>
    <t>Horas Extra Diurna dominicales o festivas</t>
  </si>
  <si>
    <t>Horas Extra Nocturna dominicales o festivas</t>
  </si>
  <si>
    <t>Valor devengado</t>
  </si>
  <si>
    <t>Cesantias</t>
  </si>
  <si>
    <t>Intereses Cesantías</t>
  </si>
  <si>
    <t>Prima de servicio</t>
  </si>
  <si>
    <t>Vacaciones</t>
  </si>
  <si>
    <t>AFP</t>
  </si>
  <si>
    <t>ARL</t>
  </si>
  <si>
    <t>Caja de Compensación</t>
  </si>
  <si>
    <t>Subtotal Costos Directos</t>
  </si>
  <si>
    <t>Total</t>
  </si>
  <si>
    <t>Disciplina</t>
  </si>
  <si>
    <t>%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</si>
  <si>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</si>
  <si>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</si>
  <si>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</si>
  <si>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</si>
  <si>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</si>
  <si>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</si>
  <si>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</si>
  <si>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</si>
  <si>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</si>
  <si>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</si>
  <si>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Dirección Obras Sector 1</t>
  </si>
  <si>
    <t>Mes</t>
  </si>
  <si>
    <t>Día</t>
  </si>
  <si>
    <t>Hora</t>
  </si>
  <si>
    <t>Cant.</t>
  </si>
  <si>
    <t>Valor</t>
  </si>
  <si>
    <t>Albañilería</t>
  </si>
  <si>
    <t>MAESTROS ALBAÑILERIA SECTOR 1</t>
  </si>
  <si>
    <t>MAESTRO SECTOR 1</t>
  </si>
  <si>
    <t>OFICIALES ALBAÑILERIA - SECTOR 1</t>
  </si>
  <si>
    <t>OFICIAL</t>
  </si>
  <si>
    <t>OFICIALES ALBAÑILERIA - SECTOR 1 - 2DO GRUPO</t>
  </si>
  <si>
    <t>OFICIALES CARPINTERIA</t>
  </si>
  <si>
    <t>Jardinería</t>
  </si>
  <si>
    <t xml:space="preserve">CONTRAMAESTROS JARINEROS </t>
  </si>
  <si>
    <t>CONTRAMAESTRO</t>
  </si>
  <si>
    <t>OFICIALES JARDINEROS - SECTOR 1 - 1ER GRUPO</t>
  </si>
  <si>
    <t>Instalaciones eléctricas</t>
  </si>
  <si>
    <t>TECNICO ELECTRICISTA</t>
  </si>
  <si>
    <t>Trabajo en alturas</t>
  </si>
  <si>
    <t>SUPERVISOR DE SEGURIDAD Y SALUD EN EL TRABAJO CON LABORES DE COORDINACIÓN DETRABAJO EN ALTURA</t>
  </si>
  <si>
    <t>COORDINADOR DETRABAJO EN ALTURA</t>
  </si>
  <si>
    <t>Almacén</t>
  </si>
  <si>
    <t>AYUDANTE ALMACENISTA</t>
  </si>
  <si>
    <t>Dirección Obras Sector 2</t>
  </si>
  <si>
    <t>MAESTROS ALBAÑILERIA</t>
  </si>
  <si>
    <t>MAESTRO</t>
  </si>
  <si>
    <t>OFICIALES ALBAÑILERIA - SECTOR 2 - 1ER GRUPO</t>
  </si>
  <si>
    <t>OFICIALES ALBAÑILERIA - SECTOR 2 - 2DO GRUPO</t>
  </si>
  <si>
    <t>Carpintería</t>
  </si>
  <si>
    <t>OFICIALES JARDINEROS - SECTOR 2</t>
  </si>
  <si>
    <t>AUXILIAR ELECTRICISTA</t>
  </si>
  <si>
    <t>Plomería</t>
  </si>
  <si>
    <t>TECNICO PLOMERO</t>
  </si>
  <si>
    <t>AUXILIAR PLOMERO</t>
  </si>
  <si>
    <t>AYUDANTE</t>
  </si>
  <si>
    <t>Dirección Obras Sector 4</t>
  </si>
  <si>
    <t>OFICIALES ALBAÑILERIA -SECTOR 4 - 1ER GRUPO</t>
  </si>
  <si>
    <t>OFICIALES ALBAÑILERIA -SECTOR 4 - 2DO GRUPO</t>
  </si>
  <si>
    <t>OFICIALES JARDINEROS</t>
  </si>
  <si>
    <t>CONTRAMAESTRO CARPINTERIA</t>
  </si>
  <si>
    <t>Dirección Obras Sector 5</t>
  </si>
  <si>
    <t>TOTAL</t>
  </si>
  <si>
    <t>2. DOTACIÓN, EXÁMENES Y CURSOS - DIRECCIÓN DE OBRAS</t>
  </si>
  <si>
    <t>Descripción</t>
  </si>
  <si>
    <t>Cantidad</t>
  </si>
  <si>
    <t>Precio Unitario</t>
  </si>
  <si>
    <t>Valor Parcial</t>
  </si>
  <si>
    <t>Dotación tipo 1 - Obras</t>
  </si>
  <si>
    <t>Gorra con faldon, tipo CHAVO</t>
  </si>
  <si>
    <t>Dotación</t>
  </si>
  <si>
    <t>JEAN - LOGO ESTAMPADO</t>
  </si>
  <si>
    <t>CAMIBUZO. LOGOS - ESTAMPADO MANGA LARGA</t>
  </si>
  <si>
    <t>Dotación tipo 2 - Obras</t>
  </si>
  <si>
    <t>CAMISA MANGA LARGA</t>
  </si>
  <si>
    <t>PANTALON  COLO CAQUI</t>
  </si>
  <si>
    <t>SOMBRERO CAFÉ OSCURO</t>
  </si>
  <si>
    <t>Exámenes ocupacionales de ingreso y egreso</t>
  </si>
  <si>
    <t>Examenes</t>
  </si>
  <si>
    <t>Exámenes Curso de altura</t>
  </si>
  <si>
    <t>Examen medico preocupacional, Optometría, Audiometría, Glicemia, Perfil Lipidico</t>
  </si>
  <si>
    <t xml:space="preserve"> Examenes curso en espacios confinadas</t>
  </si>
  <si>
    <t>Examen medico preocupacional, espacios confinados</t>
  </si>
  <si>
    <t>Curso de altura</t>
  </si>
  <si>
    <t>Cursos de trabajo seguro en altura</t>
  </si>
  <si>
    <t>Cursos</t>
  </si>
  <si>
    <t>Curso en espacios confinadas</t>
  </si>
  <si>
    <t>Curso para trabajos en espacios confinados</t>
  </si>
  <si>
    <t>Concepto</t>
  </si>
  <si>
    <t>Costo Directo</t>
  </si>
  <si>
    <t>IVA</t>
  </si>
  <si>
    <t>Total Con IVA</t>
  </si>
  <si>
    <t>Dirección de Obras</t>
  </si>
  <si>
    <t>Personal</t>
  </si>
  <si>
    <t>3. PERSONAL - ADMINISTRACIÓN</t>
  </si>
  <si>
    <t>Ene</t>
  </si>
  <si>
    <t>Feb</t>
  </si>
  <si>
    <t>Administración</t>
  </si>
  <si>
    <t xml:space="preserve">AUX. OPERATIVOS CSFB Y SAN FERNANDO DE BOCACHICA </t>
  </si>
  <si>
    <t>AUXILIAR OPERATIVO CAMPO</t>
  </si>
  <si>
    <t>AUX. OPERATIVOS CSFB Y DOMINGO ENTRADA GRATIS</t>
  </si>
  <si>
    <t xml:space="preserve">AUX. OPERATIVOS BAÑOS FORT. CENTRO HISTÓRICO </t>
  </si>
  <si>
    <t>AUXILIAR OPERATIVO BAÑOS</t>
  </si>
  <si>
    <t xml:space="preserve">SUPERVISOR CASTILLO SAN FELIPE </t>
  </si>
  <si>
    <t>SUPERVISOR CAMPO</t>
  </si>
  <si>
    <t xml:space="preserve">SUPERVISOR BAÑOS </t>
  </si>
  <si>
    <t>SUPERVISOR BAÑOS</t>
  </si>
  <si>
    <t>2xmes</t>
  </si>
  <si>
    <t>12Hxdía</t>
  </si>
  <si>
    <t>C/15dias</t>
  </si>
  <si>
    <t>4. DOTACIÓN, EXÁMENES Y CURSOS - ADMINISTRACIÓN</t>
  </si>
  <si>
    <t>Cast</t>
  </si>
  <si>
    <t>Baños</t>
  </si>
  <si>
    <t xml:space="preserve">Dotación tipo 1 </t>
  </si>
  <si>
    <t>total</t>
  </si>
  <si>
    <t>Camisa Hombre (Aux y Coordinador Fortificaciones)</t>
  </si>
  <si>
    <t>Hombre</t>
  </si>
  <si>
    <t>Blusa Mujer (Aux Fortificaciones)</t>
  </si>
  <si>
    <t>Mujer</t>
  </si>
  <si>
    <t>Pantalon Hombre (Aux y Coord. de Fortificaciones)</t>
  </si>
  <si>
    <t>Pantalon Mujer (Aux de Fortificaciones)</t>
  </si>
  <si>
    <t>Zapatos Aux. y Coord.  de Fortificaciones</t>
  </si>
  <si>
    <t>Sombrero</t>
  </si>
  <si>
    <t>Camiseta Polo Blanca con logo</t>
  </si>
  <si>
    <t>Pantalon tipo cargo colorcaqui</t>
  </si>
  <si>
    <t>Zapatos</t>
  </si>
  <si>
    <t>Exámen de ingreso y egreso</t>
  </si>
  <si>
    <t>Exámen de ingreso y egreso (auxliares dia de entrada gratis</t>
  </si>
  <si>
    <t>7.VALOR DE ESTUDIO DE MERADO PARA EL SERVICIO DE SUMINISTRO DE PERSONAL QUE PRESTE LOS SERVICIOS DE APOYO TÉCNICO Y OPERATIVO PARA LAS ACTIVIDADES DE PROTECCIÓN, CONSERVACIÓN, MANTENIMIENETO Y RESTAURACIÓN, ASÍ COMO PARA LAS ACTIVIDADES OPERATIVASA CARGO DE LA ESCUELA TALLER CARTAGENA</t>
  </si>
  <si>
    <t>Valor ofertado de Administración</t>
  </si>
  <si>
    <t>AIU</t>
  </si>
  <si>
    <t>VALOR COSTO DIRECTO</t>
  </si>
  <si>
    <t>VALOR ADMINISTRACIÓN CON IVA</t>
  </si>
  <si>
    <t>VALOR TOTAL DE LA OPERCIÓN</t>
  </si>
  <si>
    <t>8. RESUMEN DEL VALOR DE LA OFERTA</t>
  </si>
  <si>
    <t>5. PERSONAL - SANTO DOMINGO</t>
  </si>
  <si>
    <t xml:space="preserve">COCINEROS </t>
  </si>
  <si>
    <t xml:space="preserve">AUXILIARES COCINA </t>
  </si>
  <si>
    <t xml:space="preserve">JEFE DE MESA </t>
  </si>
  <si>
    <t xml:space="preserve">MESEROS </t>
  </si>
  <si>
    <t xml:space="preserve">JEFE DE BAR </t>
  </si>
  <si>
    <t xml:space="preserve">AUXILIAR DE BAR </t>
  </si>
  <si>
    <t xml:space="preserve">JEFE DE COSTOS E INVENTARIOS </t>
  </si>
  <si>
    <t>CAJERO</t>
  </si>
  <si>
    <t xml:space="preserve">OPERADOR DE BAÑOS </t>
  </si>
  <si>
    <t>Pantalon Mujer</t>
  </si>
  <si>
    <t xml:space="preserve">STEWART </t>
  </si>
  <si>
    <t xml:space="preserve">CAPITAN DE MESA </t>
  </si>
  <si>
    <t xml:space="preserve">ADMINISTRATIVO </t>
  </si>
  <si>
    <t xml:space="preserve">BARTENDER </t>
  </si>
  <si>
    <t>OPERATIVO</t>
  </si>
  <si>
    <t xml:space="preserve">AUXILIAR DE ALMACEN </t>
  </si>
  <si>
    <t xml:space="preserve">AUXILIAR OPERATIVO </t>
  </si>
  <si>
    <t>Camisa Blanca con logo</t>
  </si>
  <si>
    <t>Blusa Mujer blanca con logo</t>
  </si>
  <si>
    <t>Pantalon Hombre</t>
  </si>
  <si>
    <t>Delantal/Mandil</t>
  </si>
  <si>
    <t>Dotación tipo 2</t>
  </si>
  <si>
    <t>Dotación tipo 3</t>
  </si>
  <si>
    <t>Uniforme de Cocinero completo (Filipina, pantalon, gorro y Mandil)</t>
  </si>
  <si>
    <t>Dotación tipo 4</t>
  </si>
  <si>
    <t>Uniforme de Chef completo (Filipina, pantalon, gorro y Mandil)</t>
  </si>
  <si>
    <t>Exámenes Manipulacion de Alimentos</t>
  </si>
  <si>
    <t>Examen medico manipulacion de Alimentos (Certificado, Coproplogico, frotis de Garganta, KOH Uñas, Manipulacion de Alimentos</t>
  </si>
  <si>
    <t>6. DOTACIÓN, EXÁMENES Y CURSOS - SANTO DOMINGO</t>
  </si>
  <si>
    <t>Dotación tipo 1 Y 5</t>
  </si>
  <si>
    <t>1 Y 5</t>
  </si>
  <si>
    <t>Administración 14%</t>
  </si>
  <si>
    <t>Administración (7 MESES)</t>
  </si>
  <si>
    <t>Santo Domingo (8 MESES 15 DIAS)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</si>
</sst>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]#,##0"/>
    <numFmt numFmtId="165" formatCode="0.000%"/>
    <numFmt numFmtId="166" formatCode="_-&quot;$&quot;\ * #,##0_-;\-&quot;$&quot;\ * #,##0_-;_-&quot;$&quot;\ * &quot;-&quot;??_-;_-@_-"/>
    <numFmt numFmtId="167" formatCode="_-* #,##0_-;\-* #,##0_-;_-* &quot;-&quot;??_-;_-@_-"/>
    <numFmt numFmtId="168" formatCode="_-&quot;$&quot;\ * #,##0_-;\-&quot;$&quot;\ * #,##0_-;_-&quot;$&quot;\ * &quot;-&quot;??_-;_-@"/>
    <numFmt numFmtId="169" formatCode="_-* #,##0_-;\-* #,##0_-;_-* &quot;-&quot;??_-;_-@"/>
    <numFmt numFmtId="170" formatCode="_-* #,##0.00_-;\-* #,##0.00_-;_-* &quot;-&quot;??_-;_-@"/>
    <numFmt numFmtId="171" formatCode="_-* #,##0_-;\-* #,##0_-;_-* &quot;-&quot;_-;_-@"/>
    <numFmt numFmtId="172" formatCode="_-&quot;$&quot;\ * #,##0.00_-;\-&quot;$&quot;\ * #,##0.00_-;_-&quot;$&quot;\ * &quot;-&quot;??_-;_-@"/>
    <numFmt numFmtId="173" formatCode="_-* #,##0.0_-;\-* #,##0.0_-;_-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ptos Narrow"/>
      <family val="2"/>
      <scheme val="minor"/>
    </font>
    <font>
      <b/>
      <sz val="8"/>
      <color theme="9" tint="-0.499984740745262"/>
      <name val="Arial"/>
      <family val="2"/>
    </font>
    <font>
      <b/>
      <sz val="8"/>
      <color theme="8" tint="-0.499984740745262"/>
      <name val="Arial"/>
      <family val="2"/>
    </font>
    <font>
      <b/>
      <sz val="9"/>
      <color theme="1"/>
      <name val="Arial"/>
      <family val="2"/>
    </font>
    <font>
      <b/>
      <sz val="8"/>
      <name val="Aptos Narrow"/>
      <family val="2"/>
      <scheme val="minor"/>
    </font>
    <font>
      <sz val="8"/>
      <color theme="9" tint="-0.499984740745262"/>
      <name val="Arial"/>
      <family val="2"/>
    </font>
    <font>
      <sz val="11"/>
      <name val="Aptos Narrow"/>
      <family val="2"/>
    </font>
    <font>
      <sz val="8"/>
      <color theme="1"/>
      <name val="Aptos Narrow"/>
      <family val="2"/>
    </font>
    <font>
      <b/>
      <sz val="8"/>
      <color rgb="FF275317"/>
      <name val="Arial"/>
      <family val="2"/>
    </font>
    <font>
      <b/>
      <sz val="8"/>
      <color rgb="FF501549"/>
      <name val="Arial"/>
      <family val="2"/>
    </font>
    <font>
      <b/>
      <sz val="8"/>
      <color theme="1"/>
      <name val="Aptos Narrow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sz val="9"/>
      <color theme="1"/>
      <name val="Arial"/>
      <family val="2"/>
    </font>
    <font>
      <b/>
      <sz val="8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E9F7"/>
        <bgColor rgb="FFDBE9F7"/>
      </patternFill>
    </fill>
    <fill>
      <patternFill patternType="solid">
        <fgColor rgb="FFFAE2D5"/>
        <bgColor rgb="FFFAE2D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3">
    <xf numFmtId="0" fontId="0" fillId="0" borderId="0" xfId="0"/>
    <xf numFmtId="0" fontId="2" fillId="0" borderId="0" xfId="0" applyFont="1"/>
    <xf numFmtId="0" fontId="3" fillId="0" borderId="0" xfId="0" applyFont="1"/>
    <xf numFmtId="44" fontId="2" fillId="2" borderId="0" xfId="2" applyFont="1" applyFill="1"/>
    <xf numFmtId="0" fontId="2" fillId="0" borderId="0" xfId="0" applyFont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2" borderId="0" xfId="2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2" fontId="4" fillId="0" borderId="1" xfId="4" applyNumberFormat="1" applyFont="1" applyFill="1" applyBorder="1" applyAlignment="1">
      <alignment horizontal="center" vertical="center"/>
    </xf>
    <xf numFmtId="10" fontId="4" fillId="0" borderId="1" xfId="4" applyNumberFormat="1" applyFont="1" applyFill="1" applyBorder="1" applyAlignment="1">
      <alignment horizontal="center" vertical="center" wrapText="1"/>
    </xf>
    <xf numFmtId="9" fontId="4" fillId="0" borderId="1" xfId="4" applyNumberFormat="1" applyFont="1" applyFill="1" applyBorder="1" applyAlignment="1">
      <alignment horizontal="center" vertical="center" wrapText="1"/>
    </xf>
    <xf numFmtId="165" fontId="4" fillId="0" borderId="1" xfId="4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3" borderId="0" xfId="0" applyFont="1" applyFill="1"/>
    <xf numFmtId="0" fontId="6" fillId="3" borderId="1" xfId="0" applyFont="1" applyFill="1" applyBorder="1"/>
    <xf numFmtId="0" fontId="6" fillId="3" borderId="0" xfId="0" applyFont="1" applyFill="1"/>
    <xf numFmtId="0" fontId="2" fillId="3" borderId="1" xfId="0" applyFont="1" applyFill="1" applyBorder="1" applyAlignment="1">
      <alignment horizontal="center"/>
    </xf>
    <xf numFmtId="166" fontId="7" fillId="3" borderId="1" xfId="2" applyNumberFormat="1" applyFont="1" applyFill="1" applyBorder="1" applyAlignment="1">
      <alignment horizontal="center" vertical="center" wrapText="1"/>
    </xf>
    <xf numFmtId="44" fontId="3" fillId="2" borderId="0" xfId="2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7" fontId="2" fillId="0" borderId="1" xfId="1" applyNumberFormat="1" applyFont="1" applyFill="1" applyBorder="1"/>
    <xf numFmtId="167" fontId="3" fillId="0" borderId="1" xfId="0" applyNumberFormat="1" applyFont="1" applyBorder="1"/>
    <xf numFmtId="167" fontId="3" fillId="0" borderId="1" xfId="1" applyNumberFormat="1" applyFont="1" applyFill="1" applyBorder="1"/>
    <xf numFmtId="0" fontId="2" fillId="0" borderId="1" xfId="0" applyFont="1" applyBorder="1"/>
    <xf numFmtId="43" fontId="2" fillId="0" borderId="1" xfId="1" applyFont="1" applyFill="1" applyBorder="1"/>
    <xf numFmtId="44" fontId="2" fillId="2" borderId="0" xfId="2" applyFont="1" applyFill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/>
    <xf numFmtId="164" fontId="2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horizontal="left" vertical="center"/>
    </xf>
    <xf numFmtId="0" fontId="6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2" fillId="0" borderId="9" xfId="0" applyFont="1" applyBorder="1"/>
    <xf numFmtId="0" fontId="6" fillId="3" borderId="9" xfId="0" applyFont="1" applyFill="1" applyBorder="1"/>
    <xf numFmtId="0" fontId="2" fillId="0" borderId="9" xfId="0" applyFont="1" applyBorder="1" applyAlignment="1">
      <alignment horizontal="center"/>
    </xf>
    <xf numFmtId="166" fontId="7" fillId="3" borderId="0" xfId="2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center"/>
    </xf>
    <xf numFmtId="166" fontId="7" fillId="0" borderId="0" xfId="2" applyNumberFormat="1" applyFont="1" applyFill="1" applyAlignment="1">
      <alignment horizontal="center" vertical="center" wrapText="1"/>
    </xf>
    <xf numFmtId="44" fontId="7" fillId="0" borderId="0" xfId="2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6" fontId="2" fillId="0" borderId="1" xfId="2" applyNumberFormat="1" applyFont="1" applyBorder="1"/>
    <xf numFmtId="166" fontId="2" fillId="0" borderId="1" xfId="3" applyNumberFormat="1" applyFont="1" applyBorder="1"/>
    <xf numFmtId="166" fontId="2" fillId="0" borderId="0" xfId="0" applyNumberFormat="1" applyFont="1"/>
    <xf numFmtId="166" fontId="3" fillId="0" borderId="1" xfId="3" applyNumberFormat="1" applyFont="1" applyBorder="1"/>
    <xf numFmtId="0" fontId="8" fillId="0" borderId="1" xfId="0" applyFont="1" applyBorder="1" applyAlignment="1">
      <alignment horizontal="left" wrapText="1"/>
    </xf>
    <xf numFmtId="166" fontId="2" fillId="4" borderId="1" xfId="2" applyNumberFormat="1" applyFont="1" applyFill="1" applyBorder="1"/>
    <xf numFmtId="168" fontId="2" fillId="0" borderId="0" xfId="0" applyNumberFormat="1" applyFont="1"/>
    <xf numFmtId="0" fontId="2" fillId="0" borderId="11" xfId="0" applyFont="1" applyBorder="1"/>
    <xf numFmtId="17" fontId="11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2" fontId="11" fillId="0" borderId="11" xfId="0" applyNumberFormat="1" applyFont="1" applyBorder="1" applyAlignment="1">
      <alignment horizontal="center" vertical="center"/>
    </xf>
    <xf numFmtId="10" fontId="11" fillId="0" borderId="11" xfId="0" applyNumberFormat="1" applyFont="1" applyBorder="1" applyAlignment="1">
      <alignment horizontal="center" vertical="center" wrapText="1"/>
    </xf>
    <xf numFmtId="9" fontId="11" fillId="0" borderId="11" xfId="0" applyNumberFormat="1" applyFont="1" applyBorder="1" applyAlignment="1">
      <alignment horizontal="center" vertical="center" wrapText="1"/>
    </xf>
    <xf numFmtId="165" fontId="11" fillId="0" borderId="11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3" fillId="0" borderId="11" xfId="0" applyFont="1" applyBorder="1"/>
    <xf numFmtId="0" fontId="2" fillId="0" borderId="1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169" fontId="2" fillId="0" borderId="11" xfId="0" applyNumberFormat="1" applyFont="1" applyBorder="1"/>
    <xf numFmtId="169" fontId="3" fillId="0" borderId="11" xfId="0" applyNumberFormat="1" applyFont="1" applyBorder="1"/>
    <xf numFmtId="170" fontId="2" fillId="0" borderId="11" xfId="0" applyNumberFormat="1" applyFont="1" applyBorder="1"/>
    <xf numFmtId="0" fontId="3" fillId="0" borderId="11" xfId="0" applyFont="1" applyBorder="1" applyAlignment="1">
      <alignment horizontal="center"/>
    </xf>
    <xf numFmtId="164" fontId="2" fillId="0" borderId="11" xfId="0" applyNumberFormat="1" applyFont="1" applyBorder="1" applyAlignment="1">
      <alignment horizontal="left" vertical="center"/>
    </xf>
    <xf numFmtId="0" fontId="2" fillId="0" borderId="17" xfId="0" applyFont="1" applyBorder="1"/>
    <xf numFmtId="0" fontId="13" fillId="0" borderId="17" xfId="0" applyFont="1" applyBorder="1"/>
    <xf numFmtId="0" fontId="2" fillId="0" borderId="17" xfId="0" applyFont="1" applyBorder="1" applyAlignment="1">
      <alignment horizontal="center"/>
    </xf>
    <xf numFmtId="0" fontId="3" fillId="0" borderId="11" xfId="0" applyFont="1" applyBorder="1"/>
    <xf numFmtId="171" fontId="3" fillId="0" borderId="11" xfId="0" applyNumberFormat="1" applyFont="1" applyBorder="1"/>
    <xf numFmtId="3" fontId="3" fillId="0" borderId="11" xfId="0" applyNumberFormat="1" applyFont="1" applyBorder="1"/>
    <xf numFmtId="168" fontId="15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3" fillId="0" borderId="0" xfId="0" applyFont="1"/>
    <xf numFmtId="171" fontId="2" fillId="0" borderId="0" xfId="0" applyNumberFormat="1" applyFont="1"/>
    <xf numFmtId="168" fontId="7" fillId="0" borderId="0" xfId="0" applyNumberFormat="1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4" fillId="5" borderId="11" xfId="0" applyFont="1" applyFill="1" applyBorder="1" applyAlignment="1">
      <alignment horizontal="left"/>
    </xf>
    <xf numFmtId="0" fontId="2" fillId="5" borderId="11" xfId="0" applyFont="1" applyFill="1" applyBorder="1"/>
    <xf numFmtId="168" fontId="2" fillId="5" borderId="11" xfId="0" applyNumberFormat="1" applyFont="1" applyFill="1" applyBorder="1"/>
    <xf numFmtId="0" fontId="14" fillId="6" borderId="11" xfId="0" applyFont="1" applyFill="1" applyBorder="1" applyAlignment="1">
      <alignment horizontal="left"/>
    </xf>
    <xf numFmtId="0" fontId="2" fillId="6" borderId="11" xfId="0" applyFont="1" applyFill="1" applyBorder="1"/>
    <xf numFmtId="168" fontId="2" fillId="0" borderId="11" xfId="0" applyNumberFormat="1" applyFont="1" applyBorder="1"/>
    <xf numFmtId="0" fontId="14" fillId="0" borderId="11" xfId="0" applyFont="1" applyBorder="1" applyAlignment="1">
      <alignment horizontal="left" wrapText="1"/>
    </xf>
    <xf numFmtId="0" fontId="13" fillId="0" borderId="19" xfId="0" applyFont="1" applyBorder="1"/>
    <xf numFmtId="0" fontId="2" fillId="0" borderId="10" xfId="0" applyFont="1" applyBorder="1"/>
    <xf numFmtId="168" fontId="2" fillId="0" borderId="10" xfId="0" applyNumberFormat="1" applyFont="1" applyBorder="1"/>
    <xf numFmtId="168" fontId="16" fillId="0" borderId="1" xfId="0" applyNumberFormat="1" applyFont="1" applyBorder="1"/>
    <xf numFmtId="168" fontId="17" fillId="0" borderId="11" xfId="0" applyNumberFormat="1" applyFont="1" applyBorder="1"/>
    <xf numFmtId="167" fontId="2" fillId="0" borderId="11" xfId="1" applyNumberFormat="1" applyFont="1" applyBorder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3" fillId="0" borderId="1" xfId="0" applyFont="1" applyBorder="1"/>
    <xf numFmtId="166" fontId="3" fillId="0" borderId="1" xfId="0" applyNumberFormat="1" applyFont="1" applyBorder="1"/>
    <xf numFmtId="0" fontId="3" fillId="0" borderId="8" xfId="0" applyFont="1" applyBorder="1" applyAlignment="1">
      <alignment horizontal="center"/>
    </xf>
    <xf numFmtId="166" fontId="3" fillId="0" borderId="8" xfId="2" applyNumberFormat="1" applyFont="1" applyBorder="1" applyAlignment="1">
      <alignment horizontal="center"/>
    </xf>
    <xf numFmtId="0" fontId="16" fillId="8" borderId="8" xfId="0" applyFont="1" applyFill="1" applyBorder="1" applyAlignment="1">
      <alignment horizontal="center"/>
    </xf>
    <xf numFmtId="0" fontId="3" fillId="0" borderId="22" xfId="0" applyFont="1" applyBorder="1" applyAlignment="1">
      <alignment horizontal="left"/>
    </xf>
    <xf numFmtId="166" fontId="3" fillId="0" borderId="23" xfId="2" applyNumberFormat="1" applyFont="1" applyBorder="1"/>
    <xf numFmtId="166" fontId="3" fillId="0" borderId="24" xfId="2" applyNumberFormat="1" applyFont="1" applyBorder="1"/>
    <xf numFmtId="0" fontId="2" fillId="0" borderId="25" xfId="0" applyFont="1" applyBorder="1"/>
    <xf numFmtId="166" fontId="2" fillId="0" borderId="26" xfId="0" applyNumberFormat="1" applyFont="1" applyBorder="1"/>
    <xf numFmtId="0" fontId="2" fillId="0" borderId="27" xfId="0" applyFont="1" applyBorder="1"/>
    <xf numFmtId="166" fontId="2" fillId="0" borderId="28" xfId="2" applyNumberFormat="1" applyFont="1" applyBorder="1"/>
    <xf numFmtId="166" fontId="2" fillId="0" borderId="29" xfId="0" applyNumberFormat="1" applyFont="1" applyBorder="1"/>
    <xf numFmtId="168" fontId="17" fillId="0" borderId="30" xfId="0" applyNumberFormat="1" applyFont="1" applyBorder="1"/>
    <xf numFmtId="0" fontId="3" fillId="0" borderId="31" xfId="0" applyFont="1" applyBorder="1" applyAlignment="1">
      <alignment horizontal="left"/>
    </xf>
    <xf numFmtId="168" fontId="7" fillId="0" borderId="32" xfId="0" applyNumberFormat="1" applyFont="1" applyBorder="1"/>
    <xf numFmtId="168" fontId="7" fillId="0" borderId="33" xfId="0" applyNumberFormat="1" applyFont="1" applyBorder="1"/>
    <xf numFmtId="0" fontId="2" fillId="0" borderId="34" xfId="0" applyFont="1" applyBorder="1"/>
    <xf numFmtId="168" fontId="17" fillId="0" borderId="35" xfId="0" applyNumberFormat="1" applyFont="1" applyBorder="1"/>
    <xf numFmtId="0" fontId="2" fillId="0" borderId="36" xfId="0" applyFont="1" applyBorder="1"/>
    <xf numFmtId="168" fontId="17" fillId="4" borderId="30" xfId="0" applyNumberFormat="1" applyFont="1" applyFill="1" applyBorder="1"/>
    <xf numFmtId="168" fontId="17" fillId="0" borderId="37" xfId="0" applyNumberFormat="1" applyFont="1" applyBorder="1"/>
    <xf numFmtId="44" fontId="3" fillId="2" borderId="0" xfId="2" applyFont="1" applyFill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168" fontId="2" fillId="0" borderId="0" xfId="0" applyNumberFormat="1" applyFont="1" applyAlignment="1">
      <alignment horizontal="right"/>
    </xf>
    <xf numFmtId="0" fontId="2" fillId="6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2" borderId="0" xfId="0" applyFont="1" applyFill="1"/>
    <xf numFmtId="0" fontId="6" fillId="2" borderId="0" xfId="0" applyFont="1" applyFill="1"/>
    <xf numFmtId="167" fontId="2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left"/>
    </xf>
    <xf numFmtId="167" fontId="2" fillId="2" borderId="1" xfId="1" applyNumberFormat="1" applyFont="1" applyFill="1" applyBorder="1"/>
    <xf numFmtId="167" fontId="3" fillId="2" borderId="1" xfId="0" applyNumberFormat="1" applyFont="1" applyFill="1" applyBorder="1"/>
    <xf numFmtId="167" fontId="3" fillId="2" borderId="1" xfId="1" applyNumberFormat="1" applyFont="1" applyFill="1" applyBorder="1"/>
    <xf numFmtId="0" fontId="2" fillId="2" borderId="1" xfId="0" applyFont="1" applyFill="1" applyBorder="1"/>
    <xf numFmtId="43" fontId="2" fillId="2" borderId="1" xfId="1" applyFont="1" applyFill="1" applyBorder="1"/>
    <xf numFmtId="0" fontId="2" fillId="9" borderId="0" xfId="0" applyFont="1" applyFill="1"/>
    <xf numFmtId="0" fontId="6" fillId="9" borderId="1" xfId="0" applyFont="1" applyFill="1" applyBorder="1"/>
    <xf numFmtId="0" fontId="6" fillId="9" borderId="9" xfId="0" applyFont="1" applyFill="1" applyBorder="1"/>
    <xf numFmtId="167" fontId="3" fillId="9" borderId="0" xfId="0" applyNumberFormat="1" applyFont="1" applyFill="1"/>
    <xf numFmtId="44" fontId="2" fillId="9" borderId="0" xfId="2" applyFont="1" applyFill="1"/>
    <xf numFmtId="0" fontId="2" fillId="9" borderId="0" xfId="0" applyFont="1" applyFill="1" applyAlignment="1">
      <alignment horizontal="center" vertical="center"/>
    </xf>
    <xf numFmtId="3" fontId="0" fillId="0" borderId="0" xfId="0" applyNumberFormat="1"/>
    <xf numFmtId="43" fontId="3" fillId="9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3" fillId="10" borderId="1" xfId="0" applyFont="1" applyFill="1" applyBorder="1" applyAlignment="1">
      <alignment wrapText="1"/>
    </xf>
    <xf numFmtId="172" fontId="2" fillId="0" borderId="1" xfId="0" applyNumberFormat="1" applyFont="1" applyBorder="1"/>
    <xf numFmtId="0" fontId="1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68" fontId="3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/>
    </xf>
    <xf numFmtId="9" fontId="16" fillId="8" borderId="1" xfId="0" applyNumberFormat="1" applyFont="1" applyFill="1" applyBorder="1" applyAlignment="1">
      <alignment horizontal="center" vertical="center"/>
    </xf>
    <xf numFmtId="166" fontId="2" fillId="4" borderId="28" xfId="2" applyNumberFormat="1" applyFont="1" applyFill="1" applyBorder="1"/>
    <xf numFmtId="4" fontId="3" fillId="0" borderId="0" xfId="0" applyNumberFormat="1" applyFont="1"/>
    <xf numFmtId="3" fontId="8" fillId="0" borderId="1" xfId="0" applyNumberFormat="1" applyFont="1" applyBorder="1" applyAlignment="1">
      <alignment horizontal="left"/>
    </xf>
    <xf numFmtId="0" fontId="2" fillId="11" borderId="4" xfId="0" applyFont="1" applyFill="1" applyBorder="1" applyAlignment="1">
      <alignment horizontal="center"/>
    </xf>
    <xf numFmtId="0" fontId="2" fillId="11" borderId="0" xfId="0" applyFont="1" applyFill="1"/>
    <xf numFmtId="0" fontId="2" fillId="12" borderId="4" xfId="0" applyFont="1" applyFill="1" applyBorder="1" applyAlignment="1">
      <alignment horizontal="center"/>
    </xf>
    <xf numFmtId="0" fontId="2" fillId="12" borderId="0" xfId="0" applyFont="1" applyFill="1" applyAlignment="1">
      <alignment horizontal="right"/>
    </xf>
    <xf numFmtId="0" fontId="2" fillId="4" borderId="4" xfId="0" applyFont="1" applyFill="1" applyBorder="1" applyAlignment="1">
      <alignment horizontal="center"/>
    </xf>
    <xf numFmtId="0" fontId="2" fillId="4" borderId="0" xfId="0" applyFont="1" applyFill="1"/>
    <xf numFmtId="0" fontId="2" fillId="13" borderId="0" xfId="0" applyFont="1" applyFill="1"/>
    <xf numFmtId="0" fontId="2" fillId="13" borderId="4" xfId="0" applyFont="1" applyFill="1" applyBorder="1" applyAlignment="1">
      <alignment horizontal="center"/>
    </xf>
    <xf numFmtId="168" fontId="2" fillId="0" borderId="1" xfId="0" applyNumberFormat="1" applyFont="1" applyBorder="1"/>
    <xf numFmtId="166" fontId="2" fillId="0" borderId="1" xfId="2" applyNumberFormat="1" applyFont="1" applyFill="1" applyBorder="1"/>
    <xf numFmtId="168" fontId="2" fillId="0" borderId="28" xfId="0" applyNumberFormat="1" applyFont="1" applyBorder="1"/>
    <xf numFmtId="0" fontId="2" fillId="0" borderId="1" xfId="0" applyFont="1" applyBorder="1" applyAlignment="1">
      <alignment horizontal="center" wrapText="1"/>
    </xf>
    <xf numFmtId="173" fontId="2" fillId="0" borderId="0" xfId="1" applyNumberFormat="1" applyFont="1"/>
    <xf numFmtId="167" fontId="2" fillId="0" borderId="0" xfId="1" applyNumberFormat="1" applyFont="1"/>
    <xf numFmtId="44" fontId="2" fillId="0" borderId="0" xfId="2" applyFont="1" applyFill="1"/>
    <xf numFmtId="0" fontId="1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8" fontId="2" fillId="5" borderId="11" xfId="0" applyNumberFormat="1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0" borderId="3" xfId="0" applyFont="1" applyBorder="1"/>
    <xf numFmtId="0" fontId="2" fillId="0" borderId="0" xfId="0" applyFont="1" applyAlignment="1">
      <alignment vertical="center"/>
    </xf>
    <xf numFmtId="44" fontId="2" fillId="2" borderId="0" xfId="2" applyFont="1" applyFill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2" fillId="0" borderId="15" xfId="0" applyFont="1" applyBorder="1"/>
    <xf numFmtId="0" fontId="2" fillId="5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/>
    <xf numFmtId="168" fontId="2" fillId="5" borderId="16" xfId="0" applyNumberFormat="1" applyFont="1" applyFill="1" applyBorder="1"/>
    <xf numFmtId="0" fontId="2" fillId="0" borderId="0" xfId="0" applyFont="1" applyAlignment="1">
      <alignment horizontal="center" wrapText="1"/>
    </xf>
    <xf numFmtId="44" fontId="2" fillId="2" borderId="0" xfId="2" applyFont="1" applyFill="1" applyAlignment="1">
      <alignment horizontal="center" wrapText="1"/>
    </xf>
    <xf numFmtId="168" fontId="2" fillId="5" borderId="1" xfId="0" applyNumberFormat="1" applyFont="1" applyFill="1" applyBorder="1"/>
    <xf numFmtId="168" fontId="2" fillId="6" borderId="1" xfId="0" applyNumberFormat="1" applyFont="1" applyFill="1" applyBorder="1"/>
    <xf numFmtId="166" fontId="2" fillId="0" borderId="3" xfId="0" applyNumberFormat="1" applyFont="1" applyBorder="1" applyAlignment="1">
      <alignment horizontal="right" vertical="center" wrapText="1"/>
    </xf>
    <xf numFmtId="168" fontId="2" fillId="0" borderId="0" xfId="0" applyNumberFormat="1" applyFont="1" applyAlignment="1">
      <alignment vertical="center"/>
    </xf>
    <xf numFmtId="168" fontId="2" fillId="0" borderId="16" xfId="0" applyNumberFormat="1" applyFont="1" applyBorder="1"/>
    <xf numFmtId="172" fontId="2" fillId="0" borderId="16" xfId="0" applyNumberFormat="1" applyFont="1" applyBorder="1"/>
    <xf numFmtId="168" fontId="2" fillId="6" borderId="16" xfId="0" applyNumberFormat="1" applyFont="1" applyFill="1" applyBorder="1"/>
    <xf numFmtId="0" fontId="3" fillId="0" borderId="14" xfId="0" applyFont="1" applyBorder="1" applyAlignment="1">
      <alignment horizontal="center" vertical="center" wrapText="1"/>
    </xf>
    <xf numFmtId="168" fontId="2" fillId="0" borderId="21" xfId="0" applyNumberFormat="1" applyFont="1" applyBorder="1"/>
    <xf numFmtId="9" fontId="2" fillId="0" borderId="1" xfId="0" applyNumberFormat="1" applyFont="1" applyBorder="1"/>
    <xf numFmtId="0" fontId="7" fillId="0" borderId="12" xfId="0" applyFont="1" applyBorder="1" applyAlignment="1">
      <alignment horizontal="center" vertical="center" wrapText="1"/>
    </xf>
    <xf numFmtId="0" fontId="10" fillId="0" borderId="19" xfId="0" applyFont="1" applyBorder="1"/>
    <xf numFmtId="17" fontId="11" fillId="0" borderId="15" xfId="0" applyNumberFormat="1" applyFont="1" applyBorder="1" applyAlignment="1">
      <alignment horizontal="center" vertical="center" wrapText="1"/>
    </xf>
    <xf numFmtId="17" fontId="11" fillId="0" borderId="16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164" fontId="2" fillId="0" borderId="10" xfId="0" applyNumberFormat="1" applyFont="1" applyBorder="1" applyAlignment="1">
      <alignment horizontal="left" vertical="center"/>
    </xf>
    <xf numFmtId="0" fontId="10" fillId="0" borderId="17" xfId="0" applyFont="1" applyBorder="1"/>
    <xf numFmtId="164" fontId="2" fillId="0" borderId="10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16" xfId="0" applyFont="1" applyBorder="1"/>
    <xf numFmtId="0" fontId="10" fillId="0" borderId="18" xfId="0" applyFont="1" applyBorder="1"/>
    <xf numFmtId="164" fontId="2" fillId="0" borderId="1" xfId="0" applyNumberFormat="1" applyFont="1" applyBorder="1" applyAlignment="1">
      <alignment horizontal="left" vertical="center"/>
    </xf>
    <xf numFmtId="0" fontId="10" fillId="0" borderId="13" xfId="0" applyFont="1" applyBorder="1"/>
    <xf numFmtId="0" fontId="10" fillId="0" borderId="14" xfId="0" applyFont="1" applyBorder="1"/>
    <xf numFmtId="0" fontId="10" fillId="0" borderId="20" xfId="0" applyFont="1" applyBorder="1"/>
    <xf numFmtId="0" fontId="10" fillId="0" borderId="21" xfId="0" applyFont="1" applyBorder="1"/>
    <xf numFmtId="0" fontId="2" fillId="0" borderId="1" xfId="0" applyFont="1" applyBorder="1" applyAlignment="1">
      <alignment horizontal="left" vertical="center"/>
    </xf>
    <xf numFmtId="17" fontId="4" fillId="0" borderId="4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7" fontId="4" fillId="0" borderId="2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5">
    <cellStyle name="Millares" xfId="1" builtinId="3"/>
    <cellStyle name="Millares [0] 2" xfId="4" xr:uid="{69BB0DD6-F414-4322-8F80-D2C6FF8268CE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QUITECTO%20JAVIER%20PEREZ\CENTRO%20DE%20INTERPRETACION\PRESUPUESTO%20CI\APU\2011051018215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RVMIC\Privado\COMERCIAL\EVENTOS\COLOM%20COMPRA%202022\EVENTOS%202022\131654%20-%20ESCUELA%20TALLER%20CARTAGENA%20DE%20INDIAS%20REG%202\131654.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NTADOR\Desktop\NOMINAS%20TEMPORAL%202021\ETCAR-CARTAGENA\OCTUBRE%202023\FP-NOM-001%20PLANTILLA%20DE%20PRENOMINA%20ETCAR%20CONSERVAC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Usuario/Downloads/Presupuesto%20Preliminar%20Obras%20ETCAR%202026%20V4%2014.12(1).xlsx" TargetMode="External"/><Relationship Id="rId1" Type="http://schemas.openxmlformats.org/officeDocument/2006/relationships/externalLinkPath" Target="/Users/Usuario/Downloads/Presupuesto%20Preliminar%20Obras%20ETCAR%202026%20V4%2014.12(1)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i%20unidad\Escuela%20Taller\Presupuesto%202025\PLAN%20ANUAL%202025%20V3%2002122024.xlsx" TargetMode="External"/><Relationship Id="rId1" Type="http://schemas.openxmlformats.org/officeDocument/2006/relationships/externalLinkPath" Target="file:///G:\Mi%20unidad\Escuela%20Taller\Presupuesto%202025\PLAN%20ANUAL%202025%20V3%200212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.P.U."/>
      <sheetName val="ANALISIS BASICOS"/>
      <sheetName val="MANO DE OBRA Y CUADRILLAS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-NOM-001 PLANTILLA DE PRENOMI"/>
      <sheetName val="CONSERVACIONES "/>
      <sheetName val="HORAS EXTRAS"/>
      <sheetName val="FORMACION "/>
      <sheetName val="TIPOS DE NOVEDAD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Resumen"/>
      <sheetName val="PROYECTO PLAN ANUAL 2026 "/>
      <sheetName val="Centro de Interpretación"/>
      <sheetName val="Personal Operativo"/>
      <sheetName val="PersonalAdmon"/>
      <sheetName val="Resumen"/>
      <sheetName val="ETCAR (2)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ROL</v>
          </cell>
          <cell r="C2" t="str">
            <v>SALARIO</v>
          </cell>
        </row>
        <row r="3">
          <cell r="B3" t="str">
            <v>MAESTRO SECTOR 1</v>
          </cell>
          <cell r="C3">
            <v>4620000</v>
          </cell>
        </row>
        <row r="4">
          <cell r="B4" t="str">
            <v>MAESTRO</v>
          </cell>
          <cell r="C4">
            <v>3984750</v>
          </cell>
        </row>
        <row r="5">
          <cell r="B5" t="str">
            <v>CONTRAMAESTRO</v>
          </cell>
          <cell r="C5">
            <v>2887500</v>
          </cell>
        </row>
        <row r="6">
          <cell r="B6" t="str">
            <v>OFICIAL</v>
          </cell>
          <cell r="C6">
            <v>2021250</v>
          </cell>
        </row>
        <row r="7">
          <cell r="B7" t="str">
            <v>AYUDANTE</v>
          </cell>
          <cell r="C7">
            <v>1790250</v>
          </cell>
        </row>
        <row r="8">
          <cell r="B8" t="str">
            <v>TECNICO PLOMERO</v>
          </cell>
          <cell r="C8">
            <v>2887500</v>
          </cell>
        </row>
        <row r="9">
          <cell r="B9" t="str">
            <v>TECNICO ELECTRICISTA</v>
          </cell>
          <cell r="C9">
            <v>2887500</v>
          </cell>
        </row>
        <row r="10">
          <cell r="B10" t="str">
            <v>AUXILIAR ELECTRICISTA</v>
          </cell>
          <cell r="C10">
            <v>1790250</v>
          </cell>
        </row>
        <row r="11">
          <cell r="B11" t="str">
            <v>COORDINADOR DETRABAJO EN ALTURA</v>
          </cell>
          <cell r="C11">
            <v>2940000</v>
          </cell>
        </row>
        <row r="12">
          <cell r="B12" t="str">
            <v>AYUDANTE ALMACENISTA</v>
          </cell>
          <cell r="C12">
            <v>2100000</v>
          </cell>
        </row>
        <row r="13">
          <cell r="B13" t="str">
            <v>COCINERO</v>
          </cell>
          <cell r="C13">
            <v>2500000</v>
          </cell>
        </row>
        <row r="14">
          <cell r="B14" t="str">
            <v>AUXILIAR COCINA</v>
          </cell>
          <cell r="C14">
            <v>1500000</v>
          </cell>
        </row>
        <row r="15">
          <cell r="B15" t="str">
            <v>AUXILIAR BAR</v>
          </cell>
          <cell r="C15">
            <v>1500000</v>
          </cell>
        </row>
        <row r="16">
          <cell r="B16" t="str">
            <v>JEFE DE BAR</v>
          </cell>
          <cell r="C16">
            <v>2500000</v>
          </cell>
        </row>
        <row r="17">
          <cell r="B17" t="str">
            <v>MESEROS</v>
          </cell>
          <cell r="C17">
            <v>1500000</v>
          </cell>
        </row>
        <row r="18">
          <cell r="B18" t="str">
            <v>STEWAR</v>
          </cell>
          <cell r="C18">
            <v>1500000</v>
          </cell>
        </row>
        <row r="19">
          <cell r="B19" t="str">
            <v>CAPITAN</v>
          </cell>
          <cell r="C19">
            <v>2500000</v>
          </cell>
        </row>
        <row r="20">
          <cell r="B20" t="str">
            <v>CAJEROS</v>
          </cell>
          <cell r="C20">
            <v>1500000</v>
          </cell>
        </row>
        <row r="21">
          <cell r="B21" t="str">
            <v>AUXILIAR OPERATIVO CAMPO</v>
          </cell>
          <cell r="C21">
            <v>1940400</v>
          </cell>
        </row>
        <row r="22">
          <cell r="B22" t="str">
            <v>AUXILIAR OPERATIVO BAÑOS</v>
          </cell>
          <cell r="C22">
            <v>1423800</v>
          </cell>
        </row>
        <row r="23">
          <cell r="B23" t="str">
            <v>SUPERVISOR CAMPO</v>
          </cell>
          <cell r="C23">
            <v>4042500</v>
          </cell>
        </row>
        <row r="24">
          <cell r="B24" t="str">
            <v>SUPERVISOR BAÑOS</v>
          </cell>
          <cell r="C24">
            <v>2887500</v>
          </cell>
        </row>
        <row r="27">
          <cell r="B27" t="str">
            <v>MAESTROS ALBAÑILERIA SECTOR 1</v>
          </cell>
          <cell r="C27" t="str">
            <v>MAESTRO SECTOR 1</v>
          </cell>
        </row>
        <row r="28">
          <cell r="B28" t="str">
            <v>OFICIALES ALBAÑILERIA - SECTOR 1</v>
          </cell>
          <cell r="C28" t="str">
            <v>OFICIAL</v>
          </cell>
        </row>
        <row r="29">
          <cell r="B29" t="str">
            <v>CONTRAMAESTRO ALBAÑILERIA</v>
          </cell>
          <cell r="C29" t="str">
            <v>CONTRAMAESTRO</v>
          </cell>
        </row>
        <row r="30">
          <cell r="B30" t="str">
            <v>AYUDANTES ALBAÑILERIA</v>
          </cell>
          <cell r="C30" t="str">
            <v>AYUDANTE</v>
          </cell>
        </row>
        <row r="31">
          <cell r="B31" t="str">
            <v xml:space="preserve">CONTRAMAESTROS JARINEROS </v>
          </cell>
          <cell r="C31" t="str">
            <v>CONTRAMAESTRO</v>
          </cell>
        </row>
        <row r="32">
          <cell r="B32" t="str">
            <v>OFICIALES JARDINEROS - SECTOR 1 - 1ER GRUPO</v>
          </cell>
          <cell r="C32" t="str">
            <v>OFICIAL</v>
          </cell>
        </row>
        <row r="33">
          <cell r="B33" t="str">
            <v>OFICIALES JARDINEROS - SECTOR 1 - 2DO GRUPO</v>
          </cell>
          <cell r="C33" t="str">
            <v>OFICIAL</v>
          </cell>
        </row>
        <row r="34">
          <cell r="B34" t="str">
            <v>CONTRAMAESTRO CARPINTERIA</v>
          </cell>
          <cell r="C34" t="str">
            <v>CONTRAMAESTRO</v>
          </cell>
        </row>
        <row r="35">
          <cell r="B35" t="str">
            <v>OFICIALES CARPINTERIA</v>
          </cell>
          <cell r="C35" t="str">
            <v>OFICIAL</v>
          </cell>
        </row>
        <row r="36">
          <cell r="B36" t="str">
            <v>CONTRAMAESTROS DE PINTURA</v>
          </cell>
          <cell r="C36" t="str">
            <v>CONTRAMAESTRO</v>
          </cell>
        </row>
        <row r="37">
          <cell r="B37" t="str">
            <v>OFICIALES DE PINTURA</v>
          </cell>
          <cell r="C37" t="str">
            <v>OFICIAL</v>
          </cell>
        </row>
        <row r="38">
          <cell r="B38" t="str">
            <v>CONTRAMAESTROS DE SOLDADURA</v>
          </cell>
          <cell r="C38" t="str">
            <v>CONTRAMAESTRO</v>
          </cell>
        </row>
        <row r="39">
          <cell r="B39" t="str">
            <v>OFICIALES DE SOLDADURA</v>
          </cell>
          <cell r="C39" t="str">
            <v>OFICIAL</v>
          </cell>
        </row>
        <row r="40">
          <cell r="B40" t="str">
            <v>TECNICO ELECTRICISTA</v>
          </cell>
          <cell r="C40" t="str">
            <v>TECNICO ELECTRICISTA</v>
          </cell>
        </row>
        <row r="41">
          <cell r="B41" t="str">
            <v>AUXILIAR ELECTRICISTA</v>
          </cell>
          <cell r="C41" t="str">
            <v>AUXILIAR ELECTRICISTA</v>
          </cell>
        </row>
        <row r="42">
          <cell r="B42" t="str">
            <v>COORDINADOR DETRABAJO EN ALTURA</v>
          </cell>
          <cell r="C42" t="str">
            <v>COORDINADOR DETRABAJO EN ALTURA</v>
          </cell>
        </row>
        <row r="43">
          <cell r="B43" t="str">
            <v>AYUDANTE ALMACENISTA</v>
          </cell>
          <cell r="C43" t="str">
            <v>AYUDANTE ALMACENISTA</v>
          </cell>
        </row>
        <row r="44">
          <cell r="B44" t="str">
            <v>Sector 2</v>
          </cell>
        </row>
        <row r="45">
          <cell r="B45" t="str">
            <v>MAESTROS ALBAÑILERIA</v>
          </cell>
          <cell r="C45" t="str">
            <v>MAESTRO</v>
          </cell>
        </row>
        <row r="46">
          <cell r="B46" t="str">
            <v>OFICIALES ALBAÑILERIA - SECTOR 2 - 1ER GRUPO</v>
          </cell>
          <cell r="C46" t="str">
            <v>OFICIAL</v>
          </cell>
        </row>
        <row r="47">
          <cell r="B47" t="str">
            <v>OFICIALES ALBAÑILERIA - SECTOR 2 - 2DO GRUPO</v>
          </cell>
          <cell r="C47" t="str">
            <v>OFICIAL</v>
          </cell>
        </row>
        <row r="48">
          <cell r="B48" t="str">
            <v>CONTRAMAESTRO ALBAÑILERIA</v>
          </cell>
          <cell r="C48" t="str">
            <v>CONTRAMAESTRO</v>
          </cell>
        </row>
        <row r="49">
          <cell r="B49" t="str">
            <v>AYUDANTES ALBAÑILERIA  - SECTOR 2 - 1ER GRUPO</v>
          </cell>
          <cell r="C49" t="str">
            <v>AYUDANTE</v>
          </cell>
        </row>
        <row r="50">
          <cell r="B50" t="str">
            <v>AYUDANTES ALBAÑILERIA - SECTOR 2 - 2DO GRUPO</v>
          </cell>
          <cell r="C50" t="str">
            <v>AYUDANTE</v>
          </cell>
        </row>
        <row r="51">
          <cell r="B51" t="str">
            <v xml:space="preserve">CONTRAMAESTROS JARINEROS </v>
          </cell>
          <cell r="C51" t="str">
            <v>CONTRAMAESTRO</v>
          </cell>
        </row>
        <row r="52">
          <cell r="B52" t="str">
            <v>OFICIALES JARDINEROS - SECTOR 2 - 1ER GRUPO</v>
          </cell>
          <cell r="C52" t="str">
            <v>OFICIAL</v>
          </cell>
        </row>
        <row r="53">
          <cell r="B53" t="str">
            <v>OFICIALES JARDINEROS - SECTOR 2 - 2DO GRUPO</v>
          </cell>
          <cell r="C53" t="str">
            <v>OFICIAL</v>
          </cell>
        </row>
        <row r="54">
          <cell r="B54" t="str">
            <v>OFICIALES CARPINTERIA</v>
          </cell>
          <cell r="C54" t="str">
            <v>OFICIAL</v>
          </cell>
        </row>
        <row r="55">
          <cell r="B55" t="str">
            <v>TECNICO ELECTRICISTA</v>
          </cell>
          <cell r="C55" t="str">
            <v>TECNICO ELECTRICISTA</v>
          </cell>
        </row>
        <row r="56">
          <cell r="B56" t="str">
            <v>AUXILIAR ELECTRICISTA</v>
          </cell>
          <cell r="C56" t="str">
            <v>AUXILIAR ELECTRICISTA</v>
          </cell>
        </row>
        <row r="57">
          <cell r="B57" t="str">
            <v>COORDINADOR DETRABAJO EN ALTURA</v>
          </cell>
          <cell r="C57" t="str">
            <v>COORDINADOR DETRABAJO EN ALTURA</v>
          </cell>
        </row>
        <row r="58">
          <cell r="B58" t="str">
            <v>AYUDANTE ALMACENISTA</v>
          </cell>
          <cell r="C58" t="str">
            <v>AYUDANTE ALMACENISTA</v>
          </cell>
        </row>
        <row r="59">
          <cell r="B59" t="str">
            <v>TECNICO PLOMERO</v>
          </cell>
          <cell r="C59" t="str">
            <v>TECNICO PLOMERO</v>
          </cell>
        </row>
        <row r="60">
          <cell r="B60" t="str">
            <v>AUXILIAR PLOMERO</v>
          </cell>
          <cell r="C60" t="str">
            <v>AYUDANTE</v>
          </cell>
        </row>
        <row r="61">
          <cell r="B61" t="str">
            <v>Sector 4</v>
          </cell>
        </row>
        <row r="62">
          <cell r="B62" t="str">
            <v>MAESTROS ALBAÑILERIA</v>
          </cell>
          <cell r="C62" t="str">
            <v>MAESTRO</v>
          </cell>
        </row>
        <row r="63">
          <cell r="B63" t="str">
            <v>OFICIALES ALBAÑILERIA -SECTOR 4</v>
          </cell>
          <cell r="C63" t="str">
            <v>OFICIAL</v>
          </cell>
        </row>
        <row r="64">
          <cell r="B64" t="str">
            <v xml:space="preserve">CONTRAMAESTROS JARINEROS </v>
          </cell>
          <cell r="C64" t="str">
            <v>CONTRAMAESTRO</v>
          </cell>
        </row>
        <row r="65">
          <cell r="B65" t="str">
            <v>OFICIALES JARDINEROS</v>
          </cell>
          <cell r="C65" t="str">
            <v>OFICIAL</v>
          </cell>
        </row>
        <row r="66">
          <cell r="B66" t="str">
            <v>MAESTRO CARPINTERIA</v>
          </cell>
          <cell r="C66" t="str">
            <v>MAESTRO</v>
          </cell>
        </row>
        <row r="67">
          <cell r="B67" t="str">
            <v>OFICIALES CARPINTERIA</v>
          </cell>
          <cell r="C67" t="str">
            <v>OFICIAL</v>
          </cell>
        </row>
        <row r="68">
          <cell r="B68" t="str">
            <v>AYUDANTE ALMACENISTA</v>
          </cell>
          <cell r="C68" t="str">
            <v>AYUDANTE ALMACENISTA</v>
          </cell>
        </row>
        <row r="69">
          <cell r="B69" t="str">
            <v>Sector 5</v>
          </cell>
        </row>
        <row r="70">
          <cell r="B70" t="str">
            <v>OFICIALES JARDINEROS</v>
          </cell>
          <cell r="C70" t="str">
            <v>OFICIAL</v>
          </cell>
        </row>
        <row r="73">
          <cell r="B73" t="str">
            <v xml:space="preserve">AUXILIARES OPERATIVOS CASTILLO SAN FELIPE DE BARAJAS Y SAN FERNANDO DE BOCACHICA </v>
          </cell>
        </row>
        <row r="74">
          <cell r="B74" t="str">
            <v>AUXILIARES OPERATIVOS CASTILLO SAN FELIPE - DOMINGO ENTRADA GRATIS</v>
          </cell>
        </row>
        <row r="75">
          <cell r="B75" t="str">
            <v xml:space="preserve">AUXILIARES OPERATIVOS BAÑOS FORTIFICACIONES CENTRO HISTÓRICO </v>
          </cell>
        </row>
        <row r="76">
          <cell r="B76" t="str">
            <v xml:space="preserve">SUPERVISOR CASTILLO SAN FELIPE </v>
          </cell>
        </row>
        <row r="77">
          <cell r="B77" t="str">
            <v xml:space="preserve">SUPERVISOR BAÑOS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 2024 (MAY 18 A DIC 31)"/>
      <sheetName val="DIR OBRAS"/>
      <sheetName val="ProyInv"/>
      <sheetName val="PersonalObras"/>
      <sheetName val="TD1"/>
      <sheetName val="Hoja1"/>
      <sheetName val="PersonalAdmon"/>
      <sheetName val="PersonalObras (2)"/>
      <sheetName val="PersonalObras (3)"/>
      <sheetName val="PersonalObras (4)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ROL</v>
          </cell>
          <cell r="C2" t="str">
            <v>SALARIO</v>
          </cell>
        </row>
        <row r="3">
          <cell r="B3" t="str">
            <v>MAESTRO SECTOR 1</v>
          </cell>
          <cell r="C3">
            <v>4620000</v>
          </cell>
        </row>
        <row r="4">
          <cell r="B4" t="str">
            <v>MAESTRO</v>
          </cell>
          <cell r="C4">
            <v>3984750</v>
          </cell>
        </row>
        <row r="5">
          <cell r="B5" t="str">
            <v>CONTRAMAESTRO</v>
          </cell>
          <cell r="C5">
            <v>2887500</v>
          </cell>
        </row>
        <row r="6">
          <cell r="B6" t="str">
            <v>OFICIAL</v>
          </cell>
          <cell r="C6">
            <v>2021250</v>
          </cell>
        </row>
        <row r="7">
          <cell r="B7" t="str">
            <v>AYUDANTE</v>
          </cell>
          <cell r="C7">
            <v>1790250</v>
          </cell>
        </row>
        <row r="8">
          <cell r="B8" t="str">
            <v>TECNICO PLOMERO</v>
          </cell>
          <cell r="C8">
            <v>2887500</v>
          </cell>
        </row>
        <row r="9">
          <cell r="B9" t="str">
            <v>TECNICO ELECTRICISTA</v>
          </cell>
          <cell r="C9">
            <v>2887500</v>
          </cell>
        </row>
        <row r="10">
          <cell r="B10" t="str">
            <v>AUXILIAR ELECTRICISTA</v>
          </cell>
          <cell r="C10">
            <v>1790250</v>
          </cell>
        </row>
        <row r="11">
          <cell r="B11" t="str">
            <v>COORDINADOR DETRABAJO EN ALTURA</v>
          </cell>
          <cell r="C11">
            <v>2940000</v>
          </cell>
        </row>
        <row r="12">
          <cell r="B12" t="str">
            <v>AYUDANTE ALMACENISTA</v>
          </cell>
          <cell r="C12">
            <v>2100000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A82C-D0A3-4DF9-B1C5-B3745303ADDD}">
  <sheetPr>
    <tabColor rgb="FF92D050"/>
    <outlinePr summaryBelow="0"/>
  </sheetPr>
  <dimension ref="A1:BE179"/>
  <sheetViews>
    <sheetView tabSelected="1" topLeftCell="B4" zoomScale="115" zoomScaleNormal="115" zoomScaleSheetLayoutView="130" workbookViewId="0">
      <pane xSplit="2" ySplit="5" topLeftCell="D150" activePane="bottomRight" state="frozen"/>
      <selection activeCell="B4" sqref="B4"/>
      <selection pane="topRight" activeCell="D4" sqref="D4"/>
      <selection pane="bottomLeft" activeCell="B8" sqref="B8"/>
      <selection pane="bottomRight" activeCell="L174" sqref="L174"/>
    </sheetView>
  </sheetViews>
  <sheetFormatPr baseColWidth="10" defaultColWidth="11.28515625" defaultRowHeight="11.25" outlineLevelRow="1" x14ac:dyDescent="0.2"/>
  <cols>
    <col min="1" max="1" width="20.42578125" style="1" hidden="1" customWidth="1"/>
    <col min="2" max="2" width="41.140625" style="1" customWidth="1"/>
    <col min="3" max="3" width="16.42578125" style="1" customWidth="1"/>
    <col min="4" max="4" width="14.7109375" style="1" customWidth="1"/>
    <col min="5" max="5" width="13.85546875" style="1" customWidth="1"/>
    <col min="6" max="6" width="15.28515625" style="1" customWidth="1"/>
    <col min="7" max="7" width="14.140625" style="1" customWidth="1"/>
    <col min="8" max="8" width="11.85546875" style="1" bestFit="1" customWidth="1"/>
    <col min="9" max="9" width="15.42578125" style="1" customWidth="1"/>
    <col min="10" max="10" width="15.85546875" style="1" customWidth="1"/>
    <col min="11" max="11" width="15.28515625" style="1" bestFit="1" customWidth="1"/>
    <col min="12" max="12" width="4.42578125" style="1" customWidth="1"/>
    <col min="13" max="13" width="13.140625" style="1" customWidth="1"/>
    <col min="14" max="14" width="4.42578125" style="1" customWidth="1"/>
    <col min="15" max="15" width="12" style="1" bestFit="1" customWidth="1"/>
    <col min="16" max="16" width="4.42578125" style="1" customWidth="1"/>
    <col min="17" max="17" width="12" style="1" customWidth="1"/>
    <col min="18" max="18" width="4.42578125" style="1" customWidth="1"/>
    <col min="19" max="19" width="12" style="1" customWidth="1"/>
    <col min="20" max="20" width="4.42578125" style="1" customWidth="1"/>
    <col min="21" max="21" width="12" style="1" customWidth="1"/>
    <col min="22" max="22" width="4.42578125" style="1" customWidth="1"/>
    <col min="23" max="23" width="11.140625" style="1" customWidth="1"/>
    <col min="24" max="24" width="4.42578125" style="1" customWidth="1"/>
    <col min="25" max="25" width="11.140625" style="1" bestFit="1" customWidth="1"/>
    <col min="26" max="26" width="12.85546875" style="1" bestFit="1" customWidth="1"/>
    <col min="27" max="27" width="12" style="1" bestFit="1" customWidth="1"/>
    <col min="28" max="28" width="11.140625" style="1" bestFit="1" customWidth="1"/>
    <col min="29" max="30" width="12" style="1" bestFit="1" customWidth="1"/>
    <col min="31" max="31" width="12.85546875" style="1" bestFit="1" customWidth="1"/>
    <col min="32" max="33" width="12" style="1" bestFit="1" customWidth="1"/>
    <col min="34" max="34" width="15.42578125" style="1" customWidth="1"/>
    <col min="35" max="35" width="13.7109375" style="3" customWidth="1"/>
    <col min="36" max="37" width="4.140625" style="4" customWidth="1"/>
    <col min="38" max="42" width="4.7109375" style="4" customWidth="1"/>
    <col min="43" max="45" width="5" style="4" customWidth="1"/>
    <col min="46" max="46" width="6.140625" style="1" customWidth="1"/>
    <col min="47" max="54" width="5.140625" style="1" bestFit="1" customWidth="1"/>
    <col min="55" max="56" width="5.140625" style="1" customWidth="1"/>
    <col min="57" max="57" width="7" style="1" customWidth="1"/>
    <col min="58" max="16384" width="11.28515625" style="1"/>
  </cols>
  <sheetData>
    <row r="1" spans="1:57" x14ac:dyDescent="0.2">
      <c r="B1" s="2" t="s">
        <v>0</v>
      </c>
    </row>
    <row r="2" spans="1:57" x14ac:dyDescent="0.2">
      <c r="B2" s="2" t="s">
        <v>1</v>
      </c>
    </row>
    <row r="4" spans="1:57" x14ac:dyDescent="0.2">
      <c r="I4" s="1">
        <f>1750905*2</f>
        <v>3501810</v>
      </c>
    </row>
    <row r="5" spans="1:57" x14ac:dyDescent="0.2">
      <c r="B5" s="2" t="s">
        <v>2</v>
      </c>
    </row>
    <row r="6" spans="1:57" ht="32.25" customHeight="1" x14ac:dyDescent="0.2">
      <c r="B6" s="251" t="s">
        <v>3</v>
      </c>
      <c r="D6" s="249" t="s">
        <v>4</v>
      </c>
      <c r="E6" s="249" t="s">
        <v>5</v>
      </c>
      <c r="F6" s="252" t="s">
        <v>6</v>
      </c>
      <c r="G6" s="252"/>
      <c r="H6" s="252"/>
      <c r="I6" s="249" t="s">
        <v>7</v>
      </c>
      <c r="J6" s="249" t="s">
        <v>8</v>
      </c>
      <c r="K6" s="249" t="s">
        <v>9</v>
      </c>
      <c r="L6" s="250" t="s">
        <v>10</v>
      </c>
      <c r="M6" s="243"/>
      <c r="N6" s="242" t="s">
        <v>11</v>
      </c>
      <c r="O6" s="243"/>
      <c r="P6" s="242" t="s">
        <v>12</v>
      </c>
      <c r="Q6" s="243"/>
      <c r="R6" s="242" t="s">
        <v>13</v>
      </c>
      <c r="S6" s="243"/>
      <c r="T6" s="242" t="s">
        <v>14</v>
      </c>
      <c r="U6" s="243"/>
      <c r="V6" s="242" t="s">
        <v>15</v>
      </c>
      <c r="W6" s="243"/>
      <c r="X6" s="242" t="s">
        <v>16</v>
      </c>
      <c r="Y6" s="243"/>
      <c r="Z6" s="244" t="s">
        <v>17</v>
      </c>
      <c r="AA6" s="5" t="s">
        <v>18</v>
      </c>
      <c r="AB6" s="5" t="s">
        <v>19</v>
      </c>
      <c r="AC6" s="5" t="s">
        <v>20</v>
      </c>
      <c r="AD6" s="5" t="s">
        <v>21</v>
      </c>
      <c r="AE6" s="5" t="s">
        <v>22</v>
      </c>
      <c r="AF6" s="5" t="s">
        <v>23</v>
      </c>
      <c r="AG6" s="5" t="s">
        <v>24</v>
      </c>
      <c r="AH6" s="247" t="s">
        <v>25</v>
      </c>
      <c r="AI6" s="7"/>
      <c r="AJ6" s="8">
        <v>30</v>
      </c>
      <c r="AK6" s="8">
        <v>30</v>
      </c>
      <c r="AL6" s="8">
        <v>30</v>
      </c>
      <c r="AM6" s="8">
        <v>30</v>
      </c>
      <c r="AN6" s="8">
        <v>30</v>
      </c>
      <c r="AO6" s="8">
        <v>30</v>
      </c>
      <c r="AP6" s="8">
        <v>30</v>
      </c>
      <c r="AQ6" s="8">
        <v>30</v>
      </c>
      <c r="AR6" s="8">
        <v>30</v>
      </c>
      <c r="AS6" s="8">
        <v>30</v>
      </c>
      <c r="AU6" s="248"/>
      <c r="AV6" s="248"/>
      <c r="AW6" s="248"/>
      <c r="AX6" s="248"/>
      <c r="AY6" s="248"/>
      <c r="AZ6" s="248"/>
      <c r="BA6" s="248"/>
      <c r="BB6" s="248"/>
      <c r="BC6" s="4"/>
      <c r="BD6" s="4"/>
      <c r="BE6" s="248" t="s">
        <v>26</v>
      </c>
    </row>
    <row r="7" spans="1:57" x14ac:dyDescent="0.2">
      <c r="A7" s="9" t="s">
        <v>27</v>
      </c>
      <c r="B7" s="251"/>
      <c r="C7" s="10"/>
      <c r="D7" s="249"/>
      <c r="E7" s="249"/>
      <c r="F7" s="252"/>
      <c r="G7" s="252"/>
      <c r="H7" s="252"/>
      <c r="I7" s="249"/>
      <c r="J7" s="249"/>
      <c r="K7" s="249"/>
      <c r="L7" s="11" t="s">
        <v>28</v>
      </c>
      <c r="M7" s="12">
        <v>1.25</v>
      </c>
      <c r="N7" s="8" t="s">
        <v>28</v>
      </c>
      <c r="O7" s="12">
        <v>1.75</v>
      </c>
      <c r="P7" s="8" t="s">
        <v>28</v>
      </c>
      <c r="Q7" s="12">
        <v>1.35</v>
      </c>
      <c r="R7" s="8" t="s">
        <v>28</v>
      </c>
      <c r="S7" s="12">
        <v>1.75</v>
      </c>
      <c r="T7" s="8" t="s">
        <v>28</v>
      </c>
      <c r="U7" s="12">
        <v>2.1</v>
      </c>
      <c r="V7" s="8" t="s">
        <v>28</v>
      </c>
      <c r="W7" s="12">
        <v>2</v>
      </c>
      <c r="X7" s="8" t="s">
        <v>28</v>
      </c>
      <c r="Y7" s="12">
        <v>2.5</v>
      </c>
      <c r="Z7" s="245"/>
      <c r="AA7" s="13">
        <v>8.3299999999999999E-2</v>
      </c>
      <c r="AB7" s="14">
        <v>0.01</v>
      </c>
      <c r="AC7" s="13">
        <v>8.3299999999999999E-2</v>
      </c>
      <c r="AD7" s="13">
        <v>4.1700000000000001E-2</v>
      </c>
      <c r="AE7" s="14">
        <v>0.12</v>
      </c>
      <c r="AF7" s="15">
        <v>6.9599999999999995E-2</v>
      </c>
      <c r="AG7" s="13">
        <v>0.04</v>
      </c>
      <c r="AH7" s="247"/>
      <c r="AI7" s="7"/>
      <c r="AJ7" s="16" t="s">
        <v>29</v>
      </c>
      <c r="AK7" s="16" t="s">
        <v>30</v>
      </c>
      <c r="AL7" s="16" t="s">
        <v>31</v>
      </c>
      <c r="AM7" s="16" t="s">
        <v>32</v>
      </c>
      <c r="AN7" s="16" t="s">
        <v>33</v>
      </c>
      <c r="AO7" s="16" t="s">
        <v>34</v>
      </c>
      <c r="AP7" s="16" t="s">
        <v>35</v>
      </c>
      <c r="AQ7" s="16" t="s">
        <v>36</v>
      </c>
      <c r="AR7" s="16" t="s">
        <v>37</v>
      </c>
      <c r="AS7" s="16" t="s">
        <v>38</v>
      </c>
      <c r="AU7" s="4" t="s">
        <v>29</v>
      </c>
      <c r="AV7" s="4" t="s">
        <v>30</v>
      </c>
      <c r="AW7" s="4" t="s">
        <v>31</v>
      </c>
      <c r="AX7" s="4" t="s">
        <v>32</v>
      </c>
      <c r="AY7" s="4" t="s">
        <v>33</v>
      </c>
      <c r="AZ7" s="4" t="s">
        <v>34</v>
      </c>
      <c r="BA7" s="4" t="s">
        <v>35</v>
      </c>
      <c r="BB7" s="4" t="s">
        <v>36</v>
      </c>
      <c r="BC7" s="4" t="s">
        <v>37</v>
      </c>
      <c r="BD7" s="4" t="s">
        <v>38</v>
      </c>
      <c r="BE7" s="248"/>
    </row>
    <row r="8" spans="1:57" ht="12" x14ac:dyDescent="0.2">
      <c r="A8" s="17"/>
      <c r="B8" s="18" t="s">
        <v>39</v>
      </c>
      <c r="C8" s="19"/>
      <c r="D8" s="249"/>
      <c r="E8" s="249"/>
      <c r="F8" s="20" t="s">
        <v>40</v>
      </c>
      <c r="G8" s="20" t="s">
        <v>41</v>
      </c>
      <c r="H8" s="20" t="s">
        <v>42</v>
      </c>
      <c r="I8" s="249"/>
      <c r="J8" s="249"/>
      <c r="K8" s="249"/>
      <c r="L8" s="20" t="s">
        <v>43</v>
      </c>
      <c r="M8" s="20" t="s">
        <v>44</v>
      </c>
      <c r="N8" s="20" t="s">
        <v>43</v>
      </c>
      <c r="O8" s="20" t="s">
        <v>44</v>
      </c>
      <c r="P8" s="20" t="s">
        <v>43</v>
      </c>
      <c r="Q8" s="20" t="s">
        <v>44</v>
      </c>
      <c r="R8" s="20" t="s">
        <v>43</v>
      </c>
      <c r="S8" s="20" t="s">
        <v>44</v>
      </c>
      <c r="T8" s="20" t="s">
        <v>43</v>
      </c>
      <c r="U8" s="20" t="s">
        <v>44</v>
      </c>
      <c r="V8" s="20" t="s">
        <v>43</v>
      </c>
      <c r="W8" s="20" t="s">
        <v>44</v>
      </c>
      <c r="X8" s="20" t="s">
        <v>43</v>
      </c>
      <c r="Y8" s="20" t="s">
        <v>44</v>
      </c>
      <c r="Z8" s="246"/>
      <c r="AA8" s="17"/>
      <c r="AB8" s="17"/>
      <c r="AC8" s="17"/>
      <c r="AD8" s="17"/>
      <c r="AE8" s="17"/>
      <c r="AF8" s="17"/>
      <c r="AG8" s="17"/>
      <c r="AH8" s="21">
        <f>SUBTOTAL(9,AH9:AH18)</f>
        <v>618227305.40999997</v>
      </c>
      <c r="AI8" s="22"/>
      <c r="AJ8" s="23">
        <f t="shared" ref="AJ8:AS8" si="0">SUBTOTAL(9,AJ9:AJ18)</f>
        <v>17</v>
      </c>
      <c r="AK8" s="23">
        <f t="shared" si="0"/>
        <v>18</v>
      </c>
      <c r="AL8" s="23">
        <f t="shared" si="0"/>
        <v>20</v>
      </c>
      <c r="AM8" s="23">
        <f t="shared" si="0"/>
        <v>20</v>
      </c>
      <c r="AN8" s="23">
        <f t="shared" si="0"/>
        <v>20</v>
      </c>
      <c r="AO8" s="23">
        <f t="shared" si="0"/>
        <v>18</v>
      </c>
      <c r="AP8" s="23">
        <f t="shared" si="0"/>
        <v>18</v>
      </c>
      <c r="AQ8" s="23">
        <f t="shared" si="0"/>
        <v>18</v>
      </c>
      <c r="AR8" s="23">
        <f t="shared" si="0"/>
        <v>20</v>
      </c>
      <c r="AS8" s="23">
        <f t="shared" si="0"/>
        <v>20</v>
      </c>
      <c r="AT8" s="17"/>
    </row>
    <row r="9" spans="1:57" outlineLevel="1" x14ac:dyDescent="0.2">
      <c r="A9" s="236" t="s">
        <v>45</v>
      </c>
      <c r="B9" s="25" t="s">
        <v>46</v>
      </c>
      <c r="C9" s="26" t="s">
        <v>47</v>
      </c>
      <c r="D9" s="27">
        <v>1</v>
      </c>
      <c r="E9" s="28">
        <f>+BE9</f>
        <v>270</v>
      </c>
      <c r="F9" s="29">
        <f>_xlfn.XLOOKUP(C9,[5]Salarios!B:B,[5]Salarios!C:C)</f>
        <v>4620000</v>
      </c>
      <c r="G9" s="29">
        <f>+$F9/30</f>
        <v>154000</v>
      </c>
      <c r="H9" s="29">
        <f t="shared" ref="H9:H18" si="1">+$F9/230</f>
        <v>20086.956521739132</v>
      </c>
      <c r="I9" s="79">
        <f>IF(F9&lt;&gt;0,IF(F9&gt;3501810,0,ROUND(249095/30,0)),)</f>
        <v>0</v>
      </c>
      <c r="J9" s="30">
        <f>+D9*E9*G9</f>
        <v>41580000</v>
      </c>
      <c r="K9" s="31">
        <f t="shared" ref="K9" si="2">+D9*E9*I9</f>
        <v>0</v>
      </c>
      <c r="L9" s="32"/>
      <c r="M9" s="33">
        <f>ROUND($H9*L9*M$7,0)</f>
        <v>0</v>
      </c>
      <c r="N9" s="32"/>
      <c r="O9" s="33">
        <f t="shared" ref="O9:O18" si="3">+$H9*N9*O$7</f>
        <v>0</v>
      </c>
      <c r="P9" s="32"/>
      <c r="Q9" s="33">
        <f t="shared" ref="Q9:Q18" si="4">+$H9*P9*Q$7</f>
        <v>0</v>
      </c>
      <c r="R9" s="32"/>
      <c r="S9" s="33">
        <f t="shared" ref="S9:S18" si="5">+$H9*R9*S$7</f>
        <v>0</v>
      </c>
      <c r="T9" s="32"/>
      <c r="U9" s="33">
        <f t="shared" ref="U9:U18" si="6">+$H9*T9*U$7</f>
        <v>0</v>
      </c>
      <c r="V9" s="32"/>
      <c r="W9" s="33">
        <f t="shared" ref="W9:W18" si="7">+$H9*V9*W$7</f>
        <v>0</v>
      </c>
      <c r="X9" s="32"/>
      <c r="Y9" s="33">
        <f t="shared" ref="Y9:Y18" si="8">+$H9*X9*Y$7</f>
        <v>0</v>
      </c>
      <c r="Z9" s="31">
        <f>+J9+K9+M9+O9+Q9+S9+U9+W9+Y9</f>
        <v>41580000</v>
      </c>
      <c r="AA9" s="29">
        <f>+$Z9*AA$7</f>
        <v>3463614</v>
      </c>
      <c r="AB9" s="29">
        <f>+$Z9*AB$7</f>
        <v>415800</v>
      </c>
      <c r="AC9" s="29">
        <f>+$Z9*AC$7</f>
        <v>3463614</v>
      </c>
      <c r="AD9" s="29">
        <f>($Z9-$K9)*AD$7</f>
        <v>1733886</v>
      </c>
      <c r="AE9" s="29">
        <f>($Z9-$K9)*AE$7</f>
        <v>4989600</v>
      </c>
      <c r="AF9" s="29">
        <f>($Z9-$K9)*AF$7</f>
        <v>2893968</v>
      </c>
      <c r="AG9" s="29">
        <f>($Z9-$K9+AD9)*AG$7</f>
        <v>1732555.44</v>
      </c>
      <c r="AH9" s="31">
        <f>SUM(Z9:AG9)</f>
        <v>60273037.439999998</v>
      </c>
      <c r="AI9" s="34"/>
      <c r="AJ9" s="35">
        <v>1</v>
      </c>
      <c r="AK9" s="35">
        <v>1</v>
      </c>
      <c r="AL9" s="35">
        <v>1</v>
      </c>
      <c r="AM9" s="35">
        <v>1</v>
      </c>
      <c r="AN9" s="35">
        <v>1</v>
      </c>
      <c r="AO9" s="35">
        <v>1</v>
      </c>
      <c r="AP9" s="35">
        <v>1</v>
      </c>
      <c r="AQ9" s="35">
        <v>1</v>
      </c>
      <c r="AR9" s="35">
        <v>1</v>
      </c>
      <c r="AS9" s="35">
        <v>1</v>
      </c>
      <c r="AT9" s="1">
        <f>COUNT(AJ9:AS9)</f>
        <v>10</v>
      </c>
      <c r="AV9" s="1">
        <f t="shared" ref="AV9:BD24" si="9">IF(AK9&lt;&gt;"",AK$6,"")</f>
        <v>30</v>
      </c>
      <c r="AW9" s="1">
        <f t="shared" si="9"/>
        <v>30</v>
      </c>
      <c r="AX9" s="1">
        <f t="shared" si="9"/>
        <v>30</v>
      </c>
      <c r="AY9" s="1">
        <f t="shared" si="9"/>
        <v>30</v>
      </c>
      <c r="AZ9" s="1">
        <f t="shared" si="9"/>
        <v>30</v>
      </c>
      <c r="BA9" s="1">
        <f t="shared" si="9"/>
        <v>30</v>
      </c>
      <c r="BB9" s="1">
        <f t="shared" si="9"/>
        <v>30</v>
      </c>
      <c r="BC9" s="1">
        <f t="shared" si="9"/>
        <v>30</v>
      </c>
      <c r="BD9" s="1">
        <f t="shared" si="9"/>
        <v>30</v>
      </c>
      <c r="BE9" s="1">
        <f>SUM(AU9:BD9)</f>
        <v>270</v>
      </c>
    </row>
    <row r="10" spans="1:57" outlineLevel="1" x14ac:dyDescent="0.2">
      <c r="A10" s="236"/>
      <c r="B10" s="25" t="s">
        <v>48</v>
      </c>
      <c r="C10" s="26" t="s">
        <v>49</v>
      </c>
      <c r="D10" s="27">
        <v>2</v>
      </c>
      <c r="E10" s="28">
        <f>+BE10</f>
        <v>270</v>
      </c>
      <c r="F10" s="29">
        <f>_xlfn.XLOOKUP(C10,[5]Salarios!B:B,[5]Salarios!C:C)</f>
        <v>2021250</v>
      </c>
      <c r="G10" s="29">
        <f>+$F10/30</f>
        <v>67375</v>
      </c>
      <c r="H10" s="29">
        <f t="shared" si="1"/>
        <v>8788.04347826087</v>
      </c>
      <c r="I10" s="79">
        <f>IF(F10&lt;&gt;0,IF(F10&gt;3501810,0,ROUND(249095/30,0)),)</f>
        <v>8303</v>
      </c>
      <c r="J10" s="30">
        <f>+D10*E10*G10</f>
        <v>36382500</v>
      </c>
      <c r="K10" s="31">
        <f>+D10*E10*I10</f>
        <v>4483620</v>
      </c>
      <c r="L10" s="32"/>
      <c r="M10" s="33">
        <f t="shared" ref="M10:M18" si="10">ROUND($H10*L10*M$7,0)</f>
        <v>0</v>
      </c>
      <c r="N10" s="32"/>
      <c r="O10" s="33">
        <f t="shared" si="3"/>
        <v>0</v>
      </c>
      <c r="P10" s="32"/>
      <c r="Q10" s="33">
        <f t="shared" si="4"/>
        <v>0</v>
      </c>
      <c r="R10" s="32"/>
      <c r="S10" s="33">
        <f t="shared" si="5"/>
        <v>0</v>
      </c>
      <c r="T10" s="32"/>
      <c r="U10" s="33">
        <f t="shared" si="6"/>
        <v>0</v>
      </c>
      <c r="V10" s="32"/>
      <c r="W10" s="33">
        <f t="shared" si="7"/>
        <v>0</v>
      </c>
      <c r="X10" s="32"/>
      <c r="Y10" s="33">
        <f t="shared" si="8"/>
        <v>0</v>
      </c>
      <c r="Z10" s="31">
        <f t="shared" ref="Z10:Z18" si="11">+J10+K10+M10+O10+Q10+S10+U10+W10+Y10</f>
        <v>40866120</v>
      </c>
      <c r="AA10" s="29">
        <f t="shared" ref="AA10:AC18" si="12">+$Z10*AA$7</f>
        <v>3404147.7960000001</v>
      </c>
      <c r="AB10" s="29">
        <f t="shared" si="12"/>
        <v>408661.2</v>
      </c>
      <c r="AC10" s="29">
        <f t="shared" si="12"/>
        <v>3404147.7960000001</v>
      </c>
      <c r="AD10" s="29">
        <f t="shared" ref="AD10:AF18" si="13">($Z10-$K10)*AD$7</f>
        <v>1517150.25</v>
      </c>
      <c r="AE10" s="29">
        <f t="shared" si="13"/>
        <v>4365900</v>
      </c>
      <c r="AF10" s="29">
        <f t="shared" si="13"/>
        <v>2532222</v>
      </c>
      <c r="AG10" s="29">
        <f t="shared" ref="AG10:AG18" si="14">($Z10-$K10+AD10)*AG$7</f>
        <v>1515986.01</v>
      </c>
      <c r="AH10" s="31">
        <f t="shared" ref="AH10:AH18" si="15">SUM(Z10:AG10)</f>
        <v>58014335.052000009</v>
      </c>
      <c r="AI10" s="34"/>
      <c r="AJ10" s="35">
        <v>2</v>
      </c>
      <c r="AK10" s="35">
        <v>2</v>
      </c>
      <c r="AL10" s="35">
        <v>2</v>
      </c>
      <c r="AM10" s="35">
        <v>2</v>
      </c>
      <c r="AN10" s="35">
        <v>2</v>
      </c>
      <c r="AO10" s="35">
        <v>2</v>
      </c>
      <c r="AP10" s="35">
        <v>2</v>
      </c>
      <c r="AQ10" s="35">
        <v>2</v>
      </c>
      <c r="AR10" s="35">
        <v>2</v>
      </c>
      <c r="AS10" s="35">
        <v>2</v>
      </c>
      <c r="AT10" s="1">
        <f t="shared" ref="AT10:AT18" si="16">COUNT(AJ10:AS10)</f>
        <v>10</v>
      </c>
      <c r="AV10" s="1">
        <f t="shared" si="9"/>
        <v>30</v>
      </c>
      <c r="AW10" s="1">
        <f t="shared" si="9"/>
        <v>30</v>
      </c>
      <c r="AX10" s="1">
        <f t="shared" si="9"/>
        <v>30</v>
      </c>
      <c r="AY10" s="1">
        <f t="shared" si="9"/>
        <v>30</v>
      </c>
      <c r="AZ10" s="1">
        <f t="shared" si="9"/>
        <v>30</v>
      </c>
      <c r="BA10" s="1">
        <f t="shared" si="9"/>
        <v>30</v>
      </c>
      <c r="BB10" s="1">
        <f t="shared" si="9"/>
        <v>30</v>
      </c>
      <c r="BC10" s="1">
        <f t="shared" si="9"/>
        <v>30</v>
      </c>
      <c r="BD10" s="1">
        <f t="shared" si="9"/>
        <v>30</v>
      </c>
      <c r="BE10" s="1">
        <f t="shared" ref="BE10:BE18" si="17">SUM(AU10:BD10)</f>
        <v>270</v>
      </c>
    </row>
    <row r="11" spans="1:57" outlineLevel="1" x14ac:dyDescent="0.2">
      <c r="A11" s="236"/>
      <c r="B11" s="25" t="s">
        <v>50</v>
      </c>
      <c r="C11" s="26" t="s">
        <v>49</v>
      </c>
      <c r="D11" s="27">
        <v>4</v>
      </c>
      <c r="E11" s="28">
        <f>+BE11</f>
        <v>270</v>
      </c>
      <c r="F11" s="29">
        <f>_xlfn.XLOOKUP(C11,[5]Salarios!B:B,[5]Salarios!C:C)</f>
        <v>2021250</v>
      </c>
      <c r="G11" s="29">
        <f t="shared" ref="G11:G18" si="18">+$F11/30</f>
        <v>67375</v>
      </c>
      <c r="H11" s="29">
        <f t="shared" si="1"/>
        <v>8788.04347826087</v>
      </c>
      <c r="I11" s="79">
        <f t="shared" ref="I11:I42" si="19">IF(F11&lt;&gt;0,IF(F11&gt;3501810,0,ROUND(249095/30,0)),)</f>
        <v>8303</v>
      </c>
      <c r="J11" s="30">
        <f t="shared" ref="J11:J18" si="20">+D11*E11*G11</f>
        <v>72765000</v>
      </c>
      <c r="K11" s="31">
        <f t="shared" ref="K11:K18" si="21">+D11*E11*I11</f>
        <v>8967240</v>
      </c>
      <c r="L11" s="32"/>
      <c r="M11" s="33">
        <f>ROUND($H11*L11*M$7,0)</f>
        <v>0</v>
      </c>
      <c r="N11" s="32"/>
      <c r="O11" s="33">
        <f>+$H11*N11*O$7</f>
        <v>0</v>
      </c>
      <c r="P11" s="32"/>
      <c r="Q11" s="33">
        <f>+$H11*P11*Q$7</f>
        <v>0</v>
      </c>
      <c r="R11" s="32"/>
      <c r="S11" s="33">
        <f>+$H11*R11*S$7</f>
        <v>0</v>
      </c>
      <c r="T11" s="32"/>
      <c r="U11" s="33">
        <f>+$H11*T11*U$7</f>
        <v>0</v>
      </c>
      <c r="V11" s="32"/>
      <c r="W11" s="33">
        <f>+$H11*V11*W$7</f>
        <v>0</v>
      </c>
      <c r="X11" s="32"/>
      <c r="Y11" s="33">
        <f>+$H11*X11*Y$7</f>
        <v>0</v>
      </c>
      <c r="Z11" s="31">
        <f t="shared" si="11"/>
        <v>81732240</v>
      </c>
      <c r="AA11" s="29">
        <f t="shared" si="12"/>
        <v>6808295.5920000002</v>
      </c>
      <c r="AB11" s="29">
        <f t="shared" si="12"/>
        <v>817322.4</v>
      </c>
      <c r="AC11" s="29">
        <f t="shared" si="12"/>
        <v>6808295.5920000002</v>
      </c>
      <c r="AD11" s="29">
        <f t="shared" si="13"/>
        <v>3034300.5</v>
      </c>
      <c r="AE11" s="29">
        <f t="shared" si="13"/>
        <v>8731800</v>
      </c>
      <c r="AF11" s="29">
        <f t="shared" si="13"/>
        <v>5064444</v>
      </c>
      <c r="AG11" s="29">
        <f>($Z11-$K11+AD11)*AG$7</f>
        <v>3031972.02</v>
      </c>
      <c r="AH11" s="31">
        <f t="shared" si="15"/>
        <v>116028670.10400002</v>
      </c>
      <c r="AI11" s="34"/>
      <c r="AJ11" s="35">
        <v>4</v>
      </c>
      <c r="AK11" s="35">
        <v>4</v>
      </c>
      <c r="AL11" s="35">
        <v>4</v>
      </c>
      <c r="AM11" s="35">
        <v>4</v>
      </c>
      <c r="AN11" s="35">
        <v>4</v>
      </c>
      <c r="AO11" s="35">
        <v>4</v>
      </c>
      <c r="AP11" s="35">
        <v>4</v>
      </c>
      <c r="AQ11" s="35">
        <v>4</v>
      </c>
      <c r="AR11" s="35">
        <v>4</v>
      </c>
      <c r="AS11" s="35">
        <v>4</v>
      </c>
      <c r="AT11" s="1">
        <f t="shared" si="16"/>
        <v>10</v>
      </c>
      <c r="AV11" s="1">
        <f t="shared" si="9"/>
        <v>30</v>
      </c>
      <c r="AW11" s="1">
        <f t="shared" si="9"/>
        <v>30</v>
      </c>
      <c r="AX11" s="1">
        <f t="shared" si="9"/>
        <v>30</v>
      </c>
      <c r="AY11" s="1">
        <f t="shared" si="9"/>
        <v>30</v>
      </c>
      <c r="AZ11" s="1">
        <f t="shared" si="9"/>
        <v>30</v>
      </c>
      <c r="BA11" s="1">
        <f t="shared" si="9"/>
        <v>30</v>
      </c>
      <c r="BB11" s="1">
        <f t="shared" si="9"/>
        <v>30</v>
      </c>
      <c r="BC11" s="1">
        <f t="shared" si="9"/>
        <v>30</v>
      </c>
      <c r="BD11" s="1">
        <f t="shared" si="9"/>
        <v>30</v>
      </c>
      <c r="BE11" s="1">
        <f t="shared" si="17"/>
        <v>270</v>
      </c>
    </row>
    <row r="12" spans="1:57" outlineLevel="1" x14ac:dyDescent="0.2">
      <c r="A12" s="36"/>
      <c r="B12" s="25" t="s">
        <v>51</v>
      </c>
      <c r="C12" s="26" t="s">
        <v>49</v>
      </c>
      <c r="D12" s="27">
        <v>2</v>
      </c>
      <c r="E12" s="28">
        <f t="shared" ref="E12:E18" si="22">+BE12</f>
        <v>150</v>
      </c>
      <c r="F12" s="29">
        <f>_xlfn.XLOOKUP(C12,[5]Salarios!B:B,[5]Salarios!C:C)</f>
        <v>2021250</v>
      </c>
      <c r="G12" s="29">
        <f>+$F12/30</f>
        <v>67375</v>
      </c>
      <c r="H12" s="29">
        <f>+$F12/230</f>
        <v>8788.04347826087</v>
      </c>
      <c r="I12" s="79">
        <f t="shared" si="19"/>
        <v>8303</v>
      </c>
      <c r="J12" s="30">
        <f t="shared" si="20"/>
        <v>20212500</v>
      </c>
      <c r="K12" s="31">
        <f t="shared" si="21"/>
        <v>2490900</v>
      </c>
      <c r="L12" s="32"/>
      <c r="M12" s="33">
        <f>ROUND($H12*L12*M$7,0)</f>
        <v>0</v>
      </c>
      <c r="N12" s="32"/>
      <c r="O12" s="33">
        <f>+$H12*N12*O$7</f>
        <v>0</v>
      </c>
      <c r="P12" s="32"/>
      <c r="Q12" s="33">
        <f>+$H12*P12*Q$7</f>
        <v>0</v>
      </c>
      <c r="R12" s="32"/>
      <c r="S12" s="33">
        <f>+$H12*R12*S$7</f>
        <v>0</v>
      </c>
      <c r="T12" s="32"/>
      <c r="U12" s="33">
        <f>+$H12*T12*U$7</f>
        <v>0</v>
      </c>
      <c r="V12" s="32"/>
      <c r="W12" s="33">
        <f>+$H12*V12*W$7</f>
        <v>0</v>
      </c>
      <c r="X12" s="32"/>
      <c r="Y12" s="33">
        <f>+$H12*X12*Y$7</f>
        <v>0</v>
      </c>
      <c r="Z12" s="31">
        <f t="shared" si="11"/>
        <v>22703400</v>
      </c>
      <c r="AA12" s="29">
        <f>+$Z12*AA$7</f>
        <v>1891193.22</v>
      </c>
      <c r="AB12" s="29">
        <f>+$Z12*AB$7</f>
        <v>227034</v>
      </c>
      <c r="AC12" s="29">
        <f>+$Z12*AC$7</f>
        <v>1891193.22</v>
      </c>
      <c r="AD12" s="29">
        <f>($Z12-$K12)*AD$7</f>
        <v>842861.25</v>
      </c>
      <c r="AE12" s="29">
        <f>($Z12-$K12)*AE$7</f>
        <v>2425500</v>
      </c>
      <c r="AF12" s="29">
        <f>($Z12-$K12)*AF$7</f>
        <v>1406790</v>
      </c>
      <c r="AG12" s="29">
        <f>($Z12-$K12+AD12)*AG$7</f>
        <v>842214.45000000007</v>
      </c>
      <c r="AH12" s="31">
        <f t="shared" si="15"/>
        <v>32230186.139999997</v>
      </c>
      <c r="AI12" s="34"/>
      <c r="AJ12" s="35"/>
      <c r="AK12" s="35"/>
      <c r="AL12" s="35">
        <v>2</v>
      </c>
      <c r="AM12" s="35">
        <v>2</v>
      </c>
      <c r="AN12" s="35">
        <v>2</v>
      </c>
      <c r="AO12" s="35"/>
      <c r="AP12" s="35"/>
      <c r="AQ12" s="35"/>
      <c r="AR12" s="35">
        <v>2</v>
      </c>
      <c r="AS12" s="35">
        <v>2</v>
      </c>
      <c r="AT12" s="1">
        <f t="shared" si="16"/>
        <v>5</v>
      </c>
      <c r="AV12" s="1" t="str">
        <f t="shared" si="9"/>
        <v/>
      </c>
      <c r="AW12" s="1">
        <f t="shared" si="9"/>
        <v>30</v>
      </c>
      <c r="AX12" s="1">
        <f t="shared" si="9"/>
        <v>30</v>
      </c>
      <c r="AY12" s="1">
        <f t="shared" si="9"/>
        <v>30</v>
      </c>
      <c r="AZ12" s="1" t="str">
        <f t="shared" si="9"/>
        <v/>
      </c>
      <c r="BA12" s="1" t="str">
        <f t="shared" si="9"/>
        <v/>
      </c>
      <c r="BB12" s="1" t="str">
        <f t="shared" si="9"/>
        <v/>
      </c>
      <c r="BC12" s="1">
        <f t="shared" si="9"/>
        <v>30</v>
      </c>
      <c r="BD12" s="1">
        <f t="shared" si="9"/>
        <v>30</v>
      </c>
      <c r="BE12" s="1">
        <f t="shared" si="17"/>
        <v>150</v>
      </c>
    </row>
    <row r="13" spans="1:57" outlineLevel="1" x14ac:dyDescent="0.2">
      <c r="A13" s="236" t="s">
        <v>52</v>
      </c>
      <c r="B13" s="25" t="s">
        <v>53</v>
      </c>
      <c r="C13" s="26" t="s">
        <v>54</v>
      </c>
      <c r="D13" s="27">
        <v>1</v>
      </c>
      <c r="E13" s="28">
        <f t="shared" si="22"/>
        <v>270</v>
      </c>
      <c r="F13" s="29">
        <f>_xlfn.XLOOKUP(C13,[5]Salarios!B:B,[5]Salarios!C:C)</f>
        <v>2887500</v>
      </c>
      <c r="G13" s="29">
        <f t="shared" si="18"/>
        <v>96250</v>
      </c>
      <c r="H13" s="29">
        <f t="shared" si="1"/>
        <v>12554.347826086956</v>
      </c>
      <c r="I13" s="79">
        <f t="shared" si="19"/>
        <v>8303</v>
      </c>
      <c r="J13" s="30">
        <f t="shared" si="20"/>
        <v>25987500</v>
      </c>
      <c r="K13" s="31">
        <f t="shared" si="21"/>
        <v>2241810</v>
      </c>
      <c r="L13" s="32"/>
      <c r="M13" s="33">
        <f t="shared" si="10"/>
        <v>0</v>
      </c>
      <c r="N13" s="32"/>
      <c r="O13" s="33">
        <f t="shared" si="3"/>
        <v>0</v>
      </c>
      <c r="P13" s="32"/>
      <c r="Q13" s="33">
        <f t="shared" si="4"/>
        <v>0</v>
      </c>
      <c r="R13" s="32"/>
      <c r="S13" s="33">
        <f t="shared" si="5"/>
        <v>0</v>
      </c>
      <c r="T13" s="32"/>
      <c r="U13" s="33">
        <f t="shared" si="6"/>
        <v>0</v>
      </c>
      <c r="V13" s="32"/>
      <c r="W13" s="33">
        <f t="shared" si="7"/>
        <v>0</v>
      </c>
      <c r="X13" s="32"/>
      <c r="Y13" s="33">
        <f t="shared" si="8"/>
        <v>0</v>
      </c>
      <c r="Z13" s="31">
        <f t="shared" si="11"/>
        <v>28229310</v>
      </c>
      <c r="AA13" s="29">
        <f t="shared" si="12"/>
        <v>2351501.523</v>
      </c>
      <c r="AB13" s="29">
        <f t="shared" si="12"/>
        <v>282293.10000000003</v>
      </c>
      <c r="AC13" s="29">
        <f t="shared" si="12"/>
        <v>2351501.523</v>
      </c>
      <c r="AD13" s="29">
        <f t="shared" si="13"/>
        <v>1083678.75</v>
      </c>
      <c r="AE13" s="29">
        <f t="shared" si="13"/>
        <v>3118500</v>
      </c>
      <c r="AF13" s="29">
        <f t="shared" si="13"/>
        <v>1808729.9999999998</v>
      </c>
      <c r="AG13" s="29">
        <f t="shared" si="14"/>
        <v>1082847.1499999999</v>
      </c>
      <c r="AH13" s="31">
        <f t="shared" si="15"/>
        <v>40308362.046000004</v>
      </c>
      <c r="AI13" s="34"/>
      <c r="AJ13" s="35">
        <v>1</v>
      </c>
      <c r="AK13" s="35">
        <v>1</v>
      </c>
      <c r="AL13" s="35">
        <v>1</v>
      </c>
      <c r="AM13" s="35">
        <v>1</v>
      </c>
      <c r="AN13" s="35">
        <v>1</v>
      </c>
      <c r="AO13" s="35">
        <v>1</v>
      </c>
      <c r="AP13" s="35">
        <v>1</v>
      </c>
      <c r="AQ13" s="35">
        <v>1</v>
      </c>
      <c r="AR13" s="35">
        <v>1</v>
      </c>
      <c r="AS13" s="35">
        <v>1</v>
      </c>
      <c r="AT13" s="1">
        <f t="shared" si="16"/>
        <v>10</v>
      </c>
      <c r="AV13" s="1">
        <f t="shared" si="9"/>
        <v>30</v>
      </c>
      <c r="AW13" s="1">
        <f t="shared" si="9"/>
        <v>30</v>
      </c>
      <c r="AX13" s="1">
        <f t="shared" si="9"/>
        <v>30</v>
      </c>
      <c r="AY13" s="1">
        <f t="shared" si="9"/>
        <v>30</v>
      </c>
      <c r="AZ13" s="1">
        <f t="shared" si="9"/>
        <v>30</v>
      </c>
      <c r="BA13" s="1">
        <f t="shared" si="9"/>
        <v>30</v>
      </c>
      <c r="BB13" s="1">
        <f t="shared" si="9"/>
        <v>30</v>
      </c>
      <c r="BC13" s="1">
        <f t="shared" si="9"/>
        <v>30</v>
      </c>
      <c r="BD13" s="1">
        <f t="shared" si="9"/>
        <v>30</v>
      </c>
      <c r="BE13" s="1">
        <f t="shared" si="17"/>
        <v>270</v>
      </c>
    </row>
    <row r="14" spans="1:57" outlineLevel="1" x14ac:dyDescent="0.2">
      <c r="A14" s="236"/>
      <c r="B14" s="25" t="s">
        <v>55</v>
      </c>
      <c r="C14" s="26" t="s">
        <v>49</v>
      </c>
      <c r="D14" s="27">
        <v>6</v>
      </c>
      <c r="E14" s="28">
        <f t="shared" si="22"/>
        <v>270</v>
      </c>
      <c r="F14" s="29">
        <f>_xlfn.XLOOKUP(C14,[5]Salarios!B:B,[5]Salarios!C:C)</f>
        <v>2021250</v>
      </c>
      <c r="G14" s="29">
        <f t="shared" si="18"/>
        <v>67375</v>
      </c>
      <c r="H14" s="29">
        <f t="shared" si="1"/>
        <v>8788.04347826087</v>
      </c>
      <c r="I14" s="79">
        <f t="shared" si="19"/>
        <v>8303</v>
      </c>
      <c r="J14" s="30">
        <f t="shared" si="20"/>
        <v>109147500</v>
      </c>
      <c r="K14" s="31">
        <f t="shared" si="21"/>
        <v>13450860</v>
      </c>
      <c r="L14" s="32"/>
      <c r="M14" s="33">
        <f t="shared" si="10"/>
        <v>0</v>
      </c>
      <c r="N14" s="32"/>
      <c r="O14" s="33">
        <f t="shared" si="3"/>
        <v>0</v>
      </c>
      <c r="P14" s="32"/>
      <c r="Q14" s="33">
        <f t="shared" si="4"/>
        <v>0</v>
      </c>
      <c r="R14" s="32"/>
      <c r="S14" s="33">
        <f t="shared" si="5"/>
        <v>0</v>
      </c>
      <c r="T14" s="32"/>
      <c r="U14" s="33">
        <f t="shared" si="6"/>
        <v>0</v>
      </c>
      <c r="V14" s="32"/>
      <c r="W14" s="33">
        <f t="shared" si="7"/>
        <v>0</v>
      </c>
      <c r="X14" s="32"/>
      <c r="Y14" s="33">
        <f t="shared" si="8"/>
        <v>0</v>
      </c>
      <c r="Z14" s="31">
        <f t="shared" si="11"/>
        <v>122598360</v>
      </c>
      <c r="AA14" s="29">
        <f t="shared" si="12"/>
        <v>10212443.388</v>
      </c>
      <c r="AB14" s="29">
        <f t="shared" si="12"/>
        <v>1225983.6000000001</v>
      </c>
      <c r="AC14" s="29">
        <f t="shared" si="12"/>
        <v>10212443.388</v>
      </c>
      <c r="AD14" s="29">
        <f t="shared" si="13"/>
        <v>4551450.75</v>
      </c>
      <c r="AE14" s="29">
        <f t="shared" si="13"/>
        <v>13097700</v>
      </c>
      <c r="AF14" s="29">
        <f t="shared" si="13"/>
        <v>7596665.9999999991</v>
      </c>
      <c r="AG14" s="29">
        <f t="shared" si="14"/>
        <v>4547958.03</v>
      </c>
      <c r="AH14" s="31">
        <f t="shared" si="15"/>
        <v>174043005.15599999</v>
      </c>
      <c r="AI14" s="34"/>
      <c r="AJ14" s="35">
        <v>6</v>
      </c>
      <c r="AK14" s="35">
        <v>6</v>
      </c>
      <c r="AL14" s="35">
        <v>6</v>
      </c>
      <c r="AM14" s="35">
        <v>6</v>
      </c>
      <c r="AN14" s="35">
        <v>6</v>
      </c>
      <c r="AO14" s="35">
        <v>6</v>
      </c>
      <c r="AP14" s="35">
        <v>6</v>
      </c>
      <c r="AQ14" s="35">
        <v>6</v>
      </c>
      <c r="AR14" s="35">
        <v>6</v>
      </c>
      <c r="AS14" s="35">
        <v>6</v>
      </c>
      <c r="AT14" s="1">
        <f t="shared" si="16"/>
        <v>10</v>
      </c>
      <c r="AV14" s="1">
        <f t="shared" si="9"/>
        <v>30</v>
      </c>
      <c r="AW14" s="1">
        <f t="shared" si="9"/>
        <v>30</v>
      </c>
      <c r="AX14" s="1">
        <f t="shared" si="9"/>
        <v>30</v>
      </c>
      <c r="AY14" s="1">
        <f t="shared" si="9"/>
        <v>30</v>
      </c>
      <c r="AZ14" s="1">
        <f t="shared" si="9"/>
        <v>30</v>
      </c>
      <c r="BA14" s="1">
        <f t="shared" si="9"/>
        <v>30</v>
      </c>
      <c r="BB14" s="1">
        <f t="shared" si="9"/>
        <v>30</v>
      </c>
      <c r="BC14" s="1">
        <f t="shared" si="9"/>
        <v>30</v>
      </c>
      <c r="BD14" s="1">
        <f t="shared" si="9"/>
        <v>30</v>
      </c>
      <c r="BE14" s="1">
        <f t="shared" si="17"/>
        <v>270</v>
      </c>
    </row>
    <row r="15" spans="1:57" outlineLevel="1" x14ac:dyDescent="0.2">
      <c r="A15" s="24" t="s">
        <v>56</v>
      </c>
      <c r="B15" s="25" t="s">
        <v>57</v>
      </c>
      <c r="C15" s="26" t="s">
        <v>57</v>
      </c>
      <c r="D15" s="27">
        <v>1</v>
      </c>
      <c r="E15" s="28">
        <f t="shared" si="22"/>
        <v>270</v>
      </c>
      <c r="F15" s="29">
        <f>_xlfn.XLOOKUP(C15,[5]Salarios!B:B,[5]Salarios!C:C)</f>
        <v>2887500</v>
      </c>
      <c r="G15" s="29">
        <f t="shared" si="18"/>
        <v>96250</v>
      </c>
      <c r="H15" s="29">
        <f t="shared" si="1"/>
        <v>12554.347826086956</v>
      </c>
      <c r="I15" s="79">
        <f t="shared" si="19"/>
        <v>8303</v>
      </c>
      <c r="J15" s="30">
        <f t="shared" si="20"/>
        <v>25987500</v>
      </c>
      <c r="K15" s="31">
        <f t="shared" si="21"/>
        <v>2241810</v>
      </c>
      <c r="L15" s="32">
        <v>0</v>
      </c>
      <c r="M15" s="33">
        <f t="shared" si="10"/>
        <v>0</v>
      </c>
      <c r="N15" s="32"/>
      <c r="O15" s="33">
        <f t="shared" si="3"/>
        <v>0</v>
      </c>
      <c r="P15" s="32"/>
      <c r="Q15" s="33">
        <f t="shared" si="4"/>
        <v>0</v>
      </c>
      <c r="R15" s="32"/>
      <c r="S15" s="33">
        <f t="shared" si="5"/>
        <v>0</v>
      </c>
      <c r="T15" s="32"/>
      <c r="U15" s="33">
        <f t="shared" si="6"/>
        <v>0</v>
      </c>
      <c r="V15" s="28">
        <v>0</v>
      </c>
      <c r="W15" s="33">
        <f t="shared" si="7"/>
        <v>0</v>
      </c>
      <c r="X15" s="32"/>
      <c r="Y15" s="33">
        <f t="shared" si="8"/>
        <v>0</v>
      </c>
      <c r="Z15" s="31">
        <f t="shared" si="11"/>
        <v>28229310</v>
      </c>
      <c r="AA15" s="29">
        <f t="shared" si="12"/>
        <v>2351501.523</v>
      </c>
      <c r="AB15" s="29">
        <f t="shared" si="12"/>
        <v>282293.10000000003</v>
      </c>
      <c r="AC15" s="29">
        <f t="shared" si="12"/>
        <v>2351501.523</v>
      </c>
      <c r="AD15" s="29">
        <f t="shared" si="13"/>
        <v>1083678.75</v>
      </c>
      <c r="AE15" s="29">
        <f t="shared" si="13"/>
        <v>3118500</v>
      </c>
      <c r="AF15" s="29">
        <f t="shared" si="13"/>
        <v>1808729.9999999998</v>
      </c>
      <c r="AG15" s="29">
        <f t="shared" si="14"/>
        <v>1082847.1499999999</v>
      </c>
      <c r="AH15" s="31">
        <f t="shared" si="15"/>
        <v>40308362.046000004</v>
      </c>
      <c r="AI15" s="34"/>
      <c r="AJ15" s="35">
        <v>1</v>
      </c>
      <c r="AK15" s="35">
        <v>1</v>
      </c>
      <c r="AL15" s="35">
        <v>1</v>
      </c>
      <c r="AM15" s="35">
        <v>1</v>
      </c>
      <c r="AN15" s="35">
        <v>1</v>
      </c>
      <c r="AO15" s="35">
        <v>1</v>
      </c>
      <c r="AP15" s="35">
        <v>1</v>
      </c>
      <c r="AQ15" s="35">
        <v>1</v>
      </c>
      <c r="AR15" s="35">
        <v>1</v>
      </c>
      <c r="AS15" s="35">
        <v>1</v>
      </c>
      <c r="AT15" s="1">
        <f t="shared" si="16"/>
        <v>10</v>
      </c>
      <c r="AV15" s="1">
        <f t="shared" si="9"/>
        <v>30</v>
      </c>
      <c r="AW15" s="1">
        <f t="shared" si="9"/>
        <v>30</v>
      </c>
      <c r="AX15" s="1">
        <f t="shared" si="9"/>
        <v>30</v>
      </c>
      <c r="AY15" s="1">
        <f t="shared" si="9"/>
        <v>30</v>
      </c>
      <c r="AZ15" s="1">
        <f t="shared" si="9"/>
        <v>30</v>
      </c>
      <c r="BA15" s="1">
        <f t="shared" si="9"/>
        <v>30</v>
      </c>
      <c r="BB15" s="1">
        <f t="shared" si="9"/>
        <v>30</v>
      </c>
      <c r="BC15" s="1">
        <f t="shared" si="9"/>
        <v>30</v>
      </c>
      <c r="BD15" s="1">
        <f t="shared" si="9"/>
        <v>30</v>
      </c>
      <c r="BE15" s="1">
        <f t="shared" si="17"/>
        <v>270</v>
      </c>
    </row>
    <row r="16" spans="1:57" outlineLevel="1" x14ac:dyDescent="0.2">
      <c r="A16" s="39"/>
      <c r="B16" s="25" t="s">
        <v>70</v>
      </c>
      <c r="C16" s="26" t="s">
        <v>70</v>
      </c>
      <c r="D16" s="27">
        <v>1</v>
      </c>
      <c r="E16" s="28">
        <f t="shared" si="22"/>
        <v>270</v>
      </c>
      <c r="F16" s="29">
        <f>_xlfn.XLOOKUP(C16,[5]Salarios!B:B,[5]Salarios!C:C)</f>
        <v>1790250</v>
      </c>
      <c r="G16" s="29">
        <f t="shared" si="18"/>
        <v>59675</v>
      </c>
      <c r="H16" s="29">
        <f t="shared" si="1"/>
        <v>7783.695652173913</v>
      </c>
      <c r="I16" s="79">
        <f t="shared" si="19"/>
        <v>8303</v>
      </c>
      <c r="J16" s="30">
        <f t="shared" si="20"/>
        <v>16112250</v>
      </c>
      <c r="K16" s="31">
        <f t="shared" si="21"/>
        <v>2241810</v>
      </c>
      <c r="L16" s="32"/>
      <c r="M16" s="33">
        <f t="shared" si="10"/>
        <v>0</v>
      </c>
      <c r="N16" s="32"/>
      <c r="O16" s="33">
        <f t="shared" si="3"/>
        <v>0</v>
      </c>
      <c r="P16" s="32"/>
      <c r="Q16" s="33">
        <f t="shared" si="4"/>
        <v>0</v>
      </c>
      <c r="R16" s="32"/>
      <c r="S16" s="33">
        <f t="shared" si="5"/>
        <v>0</v>
      </c>
      <c r="T16" s="32"/>
      <c r="U16" s="33">
        <f t="shared" si="6"/>
        <v>0</v>
      </c>
      <c r="V16" s="32"/>
      <c r="W16" s="33">
        <f t="shared" si="7"/>
        <v>0</v>
      </c>
      <c r="X16" s="32"/>
      <c r="Y16" s="33">
        <f t="shared" si="8"/>
        <v>0</v>
      </c>
      <c r="Z16" s="31">
        <f t="shared" si="11"/>
        <v>18354060</v>
      </c>
      <c r="AA16" s="29">
        <f t="shared" si="12"/>
        <v>1528893.1980000001</v>
      </c>
      <c r="AB16" s="29">
        <f t="shared" si="12"/>
        <v>183540.6</v>
      </c>
      <c r="AC16" s="29">
        <f t="shared" si="12"/>
        <v>1528893.1980000001</v>
      </c>
      <c r="AD16" s="29">
        <f t="shared" si="13"/>
        <v>671880.82500000007</v>
      </c>
      <c r="AE16" s="29">
        <f t="shared" si="13"/>
        <v>1933470</v>
      </c>
      <c r="AF16" s="29">
        <f t="shared" si="13"/>
        <v>1121412.5999999999</v>
      </c>
      <c r="AG16" s="29">
        <f t="shared" si="14"/>
        <v>671365.23300000001</v>
      </c>
      <c r="AH16" s="31">
        <f t="shared" si="15"/>
        <v>25993515.653999999</v>
      </c>
      <c r="AI16" s="34"/>
      <c r="AJ16" s="35">
        <v>1</v>
      </c>
      <c r="AK16" s="35">
        <v>1</v>
      </c>
      <c r="AL16" s="35">
        <v>1</v>
      </c>
      <c r="AM16" s="35">
        <v>1</v>
      </c>
      <c r="AN16" s="35">
        <v>1</v>
      </c>
      <c r="AO16" s="35">
        <v>1</v>
      </c>
      <c r="AP16" s="35">
        <v>1</v>
      </c>
      <c r="AQ16" s="35">
        <v>1</v>
      </c>
      <c r="AR16" s="35">
        <v>1</v>
      </c>
      <c r="AS16" s="35">
        <v>1</v>
      </c>
      <c r="AT16" s="1">
        <f t="shared" si="16"/>
        <v>10</v>
      </c>
      <c r="AV16" s="1">
        <f t="shared" si="9"/>
        <v>30</v>
      </c>
      <c r="AW16" s="1">
        <f t="shared" si="9"/>
        <v>30</v>
      </c>
      <c r="AX16" s="1">
        <f t="shared" si="9"/>
        <v>30</v>
      </c>
      <c r="AY16" s="1">
        <f t="shared" si="9"/>
        <v>30</v>
      </c>
      <c r="AZ16" s="1">
        <f t="shared" si="9"/>
        <v>30</v>
      </c>
      <c r="BA16" s="1">
        <f t="shared" si="9"/>
        <v>30</v>
      </c>
      <c r="BB16" s="1">
        <f t="shared" si="9"/>
        <v>30</v>
      </c>
      <c r="BC16" s="1">
        <f t="shared" si="9"/>
        <v>30</v>
      </c>
      <c r="BD16" s="1">
        <f t="shared" si="9"/>
        <v>30</v>
      </c>
      <c r="BE16" s="1">
        <f t="shared" si="17"/>
        <v>270</v>
      </c>
    </row>
    <row r="17" spans="1:57" ht="42.75" customHeight="1" outlineLevel="1" x14ac:dyDescent="0.2">
      <c r="A17" s="36" t="s">
        <v>58</v>
      </c>
      <c r="B17" s="58" t="s">
        <v>59</v>
      </c>
      <c r="C17" s="26" t="s">
        <v>60</v>
      </c>
      <c r="D17" s="27">
        <v>1</v>
      </c>
      <c r="E17" s="28">
        <f t="shared" si="22"/>
        <v>270</v>
      </c>
      <c r="F17" s="29">
        <f>_xlfn.XLOOKUP(C17,[5]Salarios!B:B,[5]Salarios!C:C)</f>
        <v>2940000</v>
      </c>
      <c r="G17" s="29">
        <f t="shared" si="18"/>
        <v>98000</v>
      </c>
      <c r="H17" s="29">
        <f t="shared" si="1"/>
        <v>12782.608695652174</v>
      </c>
      <c r="I17" s="79">
        <f t="shared" si="19"/>
        <v>8303</v>
      </c>
      <c r="J17" s="30">
        <f t="shared" si="20"/>
        <v>26460000</v>
      </c>
      <c r="K17" s="31">
        <f t="shared" si="21"/>
        <v>2241810</v>
      </c>
      <c r="L17" s="32"/>
      <c r="M17" s="33">
        <f t="shared" si="10"/>
        <v>0</v>
      </c>
      <c r="N17" s="32"/>
      <c r="O17" s="33">
        <f t="shared" si="3"/>
        <v>0</v>
      </c>
      <c r="P17" s="32"/>
      <c r="Q17" s="33">
        <f t="shared" si="4"/>
        <v>0</v>
      </c>
      <c r="R17" s="32"/>
      <c r="S17" s="33">
        <f t="shared" si="5"/>
        <v>0</v>
      </c>
      <c r="T17" s="32"/>
      <c r="U17" s="33">
        <f t="shared" si="6"/>
        <v>0</v>
      </c>
      <c r="V17" s="32"/>
      <c r="W17" s="33">
        <f t="shared" si="7"/>
        <v>0</v>
      </c>
      <c r="X17" s="32"/>
      <c r="Y17" s="33">
        <f t="shared" si="8"/>
        <v>0</v>
      </c>
      <c r="Z17" s="31">
        <f t="shared" si="11"/>
        <v>28701810</v>
      </c>
      <c r="AA17" s="29">
        <f t="shared" si="12"/>
        <v>2390860.773</v>
      </c>
      <c r="AB17" s="29">
        <f t="shared" si="12"/>
        <v>287018.10000000003</v>
      </c>
      <c r="AC17" s="29">
        <f t="shared" si="12"/>
        <v>2390860.773</v>
      </c>
      <c r="AD17" s="29">
        <f t="shared" si="13"/>
        <v>1103382</v>
      </c>
      <c r="AE17" s="29">
        <f t="shared" si="13"/>
        <v>3175200</v>
      </c>
      <c r="AF17" s="29">
        <f t="shared" si="13"/>
        <v>1841615.9999999998</v>
      </c>
      <c r="AG17" s="29">
        <f t="shared" si="14"/>
        <v>1102535.28</v>
      </c>
      <c r="AH17" s="31">
        <f t="shared" si="15"/>
        <v>40993282.926000006</v>
      </c>
      <c r="AI17" s="34"/>
      <c r="AJ17" s="35"/>
      <c r="AK17" s="35">
        <v>1</v>
      </c>
      <c r="AL17" s="35">
        <v>1</v>
      </c>
      <c r="AM17" s="35">
        <v>1</v>
      </c>
      <c r="AN17" s="35">
        <v>1</v>
      </c>
      <c r="AO17" s="35">
        <v>1</v>
      </c>
      <c r="AP17" s="35">
        <v>1</v>
      </c>
      <c r="AQ17" s="35">
        <v>1</v>
      </c>
      <c r="AR17" s="35">
        <v>1</v>
      </c>
      <c r="AS17" s="35">
        <v>1</v>
      </c>
      <c r="AT17" s="1">
        <f t="shared" si="16"/>
        <v>9</v>
      </c>
      <c r="AV17" s="1">
        <f t="shared" si="9"/>
        <v>30</v>
      </c>
      <c r="AW17" s="1">
        <f t="shared" si="9"/>
        <v>30</v>
      </c>
      <c r="AX17" s="1">
        <f t="shared" si="9"/>
        <v>30</v>
      </c>
      <c r="AY17" s="1">
        <f t="shared" si="9"/>
        <v>30</v>
      </c>
      <c r="AZ17" s="1">
        <f t="shared" si="9"/>
        <v>30</v>
      </c>
      <c r="BA17" s="1">
        <f t="shared" si="9"/>
        <v>30</v>
      </c>
      <c r="BB17" s="1">
        <f t="shared" si="9"/>
        <v>30</v>
      </c>
      <c r="BC17" s="1">
        <f t="shared" si="9"/>
        <v>30</v>
      </c>
      <c r="BD17" s="1">
        <f t="shared" si="9"/>
        <v>30</v>
      </c>
      <c r="BE17" s="1">
        <f t="shared" si="17"/>
        <v>270</v>
      </c>
    </row>
    <row r="18" spans="1:57" outlineLevel="1" x14ac:dyDescent="0.2">
      <c r="A18" s="36" t="s">
        <v>61</v>
      </c>
      <c r="B18" s="25" t="s">
        <v>62</v>
      </c>
      <c r="C18" s="26" t="s">
        <v>62</v>
      </c>
      <c r="D18" s="27">
        <v>1</v>
      </c>
      <c r="E18" s="28">
        <f t="shared" si="22"/>
        <v>270</v>
      </c>
      <c r="F18" s="29">
        <f>_xlfn.XLOOKUP(C18,[5]Salarios!B:B,[5]Salarios!C:C)</f>
        <v>2100000</v>
      </c>
      <c r="G18" s="29">
        <f t="shared" si="18"/>
        <v>70000</v>
      </c>
      <c r="H18" s="29">
        <f t="shared" si="1"/>
        <v>9130.434782608696</v>
      </c>
      <c r="I18" s="79">
        <f t="shared" si="19"/>
        <v>8303</v>
      </c>
      <c r="J18" s="30">
        <f t="shared" si="20"/>
        <v>18900000</v>
      </c>
      <c r="K18" s="31">
        <f t="shared" si="21"/>
        <v>2241810</v>
      </c>
      <c r="L18" s="32"/>
      <c r="M18" s="33">
        <f t="shared" si="10"/>
        <v>0</v>
      </c>
      <c r="N18" s="32"/>
      <c r="O18" s="33">
        <f t="shared" si="3"/>
        <v>0</v>
      </c>
      <c r="P18" s="32"/>
      <c r="Q18" s="33">
        <f t="shared" si="4"/>
        <v>0</v>
      </c>
      <c r="R18" s="32"/>
      <c r="S18" s="33">
        <f t="shared" si="5"/>
        <v>0</v>
      </c>
      <c r="T18" s="32"/>
      <c r="U18" s="33">
        <f t="shared" si="6"/>
        <v>0</v>
      </c>
      <c r="V18" s="32"/>
      <c r="W18" s="33">
        <f t="shared" si="7"/>
        <v>0</v>
      </c>
      <c r="X18" s="32"/>
      <c r="Y18" s="33">
        <f t="shared" si="8"/>
        <v>0</v>
      </c>
      <c r="Z18" s="31">
        <f t="shared" si="11"/>
        <v>21141810</v>
      </c>
      <c r="AA18" s="29">
        <f t="shared" si="12"/>
        <v>1761112.773</v>
      </c>
      <c r="AB18" s="29">
        <f t="shared" si="12"/>
        <v>211418.1</v>
      </c>
      <c r="AC18" s="29">
        <f t="shared" si="12"/>
        <v>1761112.773</v>
      </c>
      <c r="AD18" s="29">
        <f t="shared" si="13"/>
        <v>788130</v>
      </c>
      <c r="AE18" s="29">
        <f t="shared" si="13"/>
        <v>2268000</v>
      </c>
      <c r="AF18" s="29">
        <f t="shared" si="13"/>
        <v>1315440</v>
      </c>
      <c r="AG18" s="29">
        <f t="shared" si="14"/>
        <v>787525.20000000007</v>
      </c>
      <c r="AH18" s="31">
        <f t="shared" si="15"/>
        <v>30034548.846000005</v>
      </c>
      <c r="AI18" s="34"/>
      <c r="AJ18" s="35">
        <v>1</v>
      </c>
      <c r="AK18" s="35">
        <v>1</v>
      </c>
      <c r="AL18" s="35">
        <v>1</v>
      </c>
      <c r="AM18" s="35">
        <v>1</v>
      </c>
      <c r="AN18" s="35">
        <v>1</v>
      </c>
      <c r="AO18" s="35">
        <v>1</v>
      </c>
      <c r="AP18" s="35">
        <v>1</v>
      </c>
      <c r="AQ18" s="35">
        <v>1</v>
      </c>
      <c r="AR18" s="35">
        <v>1</v>
      </c>
      <c r="AS18" s="35">
        <v>1</v>
      </c>
      <c r="AT18" s="1">
        <f t="shared" si="16"/>
        <v>10</v>
      </c>
      <c r="AV18" s="1">
        <f t="shared" si="9"/>
        <v>30</v>
      </c>
      <c r="AW18" s="1">
        <f t="shared" si="9"/>
        <v>30</v>
      </c>
      <c r="AX18" s="1">
        <f t="shared" si="9"/>
        <v>30</v>
      </c>
      <c r="AY18" s="1">
        <f t="shared" si="9"/>
        <v>30</v>
      </c>
      <c r="AZ18" s="1">
        <f t="shared" si="9"/>
        <v>30</v>
      </c>
      <c r="BA18" s="1">
        <f t="shared" si="9"/>
        <v>30</v>
      </c>
      <c r="BB18" s="1">
        <f t="shared" si="9"/>
        <v>30</v>
      </c>
      <c r="BC18" s="1">
        <f t="shared" si="9"/>
        <v>30</v>
      </c>
      <c r="BD18" s="1">
        <f t="shared" si="9"/>
        <v>30</v>
      </c>
      <c r="BE18" s="1">
        <f t="shared" si="17"/>
        <v>270</v>
      </c>
    </row>
    <row r="19" spans="1:57" ht="12" x14ac:dyDescent="0.2">
      <c r="A19" s="17"/>
      <c r="B19" s="18" t="s">
        <v>63</v>
      </c>
      <c r="C19" s="19"/>
      <c r="D19" s="1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21">
        <f>SUBTOTAL(9,AH20:AH31)</f>
        <v>690982327.57980454</v>
      </c>
      <c r="AI19" s="22"/>
      <c r="AJ19" s="23">
        <f t="shared" ref="AJ19:AS19" si="23">SUBTOTAL(9,AJ20:AJ31)</f>
        <v>19</v>
      </c>
      <c r="AK19" s="23">
        <f t="shared" si="23"/>
        <v>20</v>
      </c>
      <c r="AL19" s="23">
        <f t="shared" si="23"/>
        <v>22</v>
      </c>
      <c r="AM19" s="23">
        <f t="shared" si="23"/>
        <v>22</v>
      </c>
      <c r="AN19" s="23">
        <f t="shared" si="23"/>
        <v>20</v>
      </c>
      <c r="AO19" s="23">
        <f t="shared" si="23"/>
        <v>20</v>
      </c>
      <c r="AP19" s="23">
        <f t="shared" si="23"/>
        <v>20</v>
      </c>
      <c r="AQ19" s="23">
        <f t="shared" si="23"/>
        <v>22</v>
      </c>
      <c r="AR19" s="23">
        <f t="shared" si="23"/>
        <v>22</v>
      </c>
      <c r="AS19" s="23">
        <f t="shared" si="23"/>
        <v>22</v>
      </c>
    </row>
    <row r="20" spans="1:57" outlineLevel="1" x14ac:dyDescent="0.2">
      <c r="A20" s="236" t="s">
        <v>45</v>
      </c>
      <c r="B20" s="25" t="s">
        <v>64</v>
      </c>
      <c r="C20" s="26" t="s">
        <v>65</v>
      </c>
      <c r="D20" s="27">
        <v>1</v>
      </c>
      <c r="E20" s="28">
        <f t="shared" ref="E20:E31" si="24">+BE20</f>
        <v>270</v>
      </c>
      <c r="F20" s="29">
        <f>_xlfn.XLOOKUP(C20,[5]Salarios!B:B,[5]Salarios!C:C)</f>
        <v>3984750</v>
      </c>
      <c r="G20" s="29">
        <f t="shared" ref="G20:G27" si="25">+$F20/30</f>
        <v>132825</v>
      </c>
      <c r="H20" s="29">
        <f t="shared" ref="H20:H31" si="26">+$F20/230</f>
        <v>17325</v>
      </c>
      <c r="I20" s="79">
        <f t="shared" si="19"/>
        <v>0</v>
      </c>
      <c r="J20" s="30">
        <f t="shared" ref="J20:J31" si="27">+D20*E20*G20</f>
        <v>35862750</v>
      </c>
      <c r="K20" s="31">
        <f t="shared" ref="K20" si="28">+D20*E20*I20</f>
        <v>0</v>
      </c>
      <c r="L20" s="32"/>
      <c r="M20" s="33">
        <f t="shared" ref="M20:M31" si="29">ROUND($H20*L20*M$7,0)</f>
        <v>0</v>
      </c>
      <c r="N20" s="32"/>
      <c r="O20" s="33">
        <f t="shared" ref="O20:O31" si="30">+$H20*N20*O$7</f>
        <v>0</v>
      </c>
      <c r="P20" s="32"/>
      <c r="Q20" s="33">
        <f t="shared" ref="Q20:Q31" si="31">+$H20*P20*Q$7</f>
        <v>0</v>
      </c>
      <c r="R20" s="32"/>
      <c r="S20" s="33">
        <f t="shared" ref="S20:S31" si="32">+$H20*R20*S$7</f>
        <v>0</v>
      </c>
      <c r="T20" s="32"/>
      <c r="U20" s="33">
        <f t="shared" ref="U20:U31" si="33">+$H20*T20*U$7</f>
        <v>0</v>
      </c>
      <c r="V20" s="32"/>
      <c r="W20" s="33">
        <f t="shared" ref="W20:W31" si="34">+$H20*V20*W$7</f>
        <v>0</v>
      </c>
      <c r="X20" s="32"/>
      <c r="Y20" s="33">
        <f t="shared" ref="Y20:Y31" si="35">+$H20*X20*Y$7</f>
        <v>0</v>
      </c>
      <c r="Z20" s="31">
        <f t="shared" ref="Z20:Z31" si="36">+J20+K20+M20+O20+Q20+S20+U20+W20+Y20</f>
        <v>35862750</v>
      </c>
      <c r="AA20" s="29">
        <f t="shared" ref="AA20:AC31" si="37">+$Z20*AA$7</f>
        <v>2987367.0750000002</v>
      </c>
      <c r="AB20" s="29">
        <f t="shared" si="37"/>
        <v>358627.5</v>
      </c>
      <c r="AC20" s="29">
        <f t="shared" si="37"/>
        <v>2987367.0750000002</v>
      </c>
      <c r="AD20" s="29">
        <f t="shared" ref="AD20:AF31" si="38">($Z20-$K20)*AD$7</f>
        <v>1495476.675</v>
      </c>
      <c r="AE20" s="29">
        <f t="shared" si="38"/>
        <v>4303530</v>
      </c>
      <c r="AF20" s="29">
        <f t="shared" si="38"/>
        <v>2496047.4</v>
      </c>
      <c r="AG20" s="29">
        <f t="shared" ref="AG20:AG27" si="39">($Z20-$K20+AD20)*AG$7</f>
        <v>1494329.0669999998</v>
      </c>
      <c r="AH20" s="31">
        <f t="shared" ref="AH20:AH31" si="40">SUM(Z20:AG20)</f>
        <v>51985494.792000003</v>
      </c>
      <c r="AI20" s="34"/>
      <c r="AJ20" s="35">
        <v>1</v>
      </c>
      <c r="AK20" s="35">
        <v>1</v>
      </c>
      <c r="AL20" s="35">
        <v>1</v>
      </c>
      <c r="AM20" s="35">
        <v>1</v>
      </c>
      <c r="AN20" s="35">
        <v>1</v>
      </c>
      <c r="AO20" s="35">
        <v>1</v>
      </c>
      <c r="AP20" s="35">
        <v>1</v>
      </c>
      <c r="AQ20" s="35">
        <v>1</v>
      </c>
      <c r="AR20" s="35">
        <v>1</v>
      </c>
      <c r="AS20" s="35">
        <v>1</v>
      </c>
      <c r="AT20" s="1">
        <f>COUNT(AJ20:AS20)</f>
        <v>10</v>
      </c>
      <c r="AV20" s="1">
        <f t="shared" si="9"/>
        <v>30</v>
      </c>
      <c r="AW20" s="1">
        <f t="shared" si="9"/>
        <v>30</v>
      </c>
      <c r="AX20" s="1">
        <f t="shared" si="9"/>
        <v>30</v>
      </c>
      <c r="AY20" s="1">
        <f t="shared" si="9"/>
        <v>30</v>
      </c>
      <c r="AZ20" s="1">
        <f t="shared" si="9"/>
        <v>30</v>
      </c>
      <c r="BA20" s="1">
        <f t="shared" si="9"/>
        <v>30</v>
      </c>
      <c r="BB20" s="1">
        <f t="shared" si="9"/>
        <v>30</v>
      </c>
      <c r="BC20" s="1">
        <f t="shared" si="9"/>
        <v>30</v>
      </c>
      <c r="BD20" s="1">
        <f t="shared" si="9"/>
        <v>30</v>
      </c>
      <c r="BE20" s="1">
        <f t="shared" ref="BE20:BE31" si="41">SUM(AU20:BD20)</f>
        <v>270</v>
      </c>
    </row>
    <row r="21" spans="1:57" outlineLevel="1" x14ac:dyDescent="0.2">
      <c r="A21" s="241"/>
      <c r="B21" s="25" t="s">
        <v>66</v>
      </c>
      <c r="C21" s="26" t="s">
        <v>49</v>
      </c>
      <c r="D21" s="27">
        <v>2</v>
      </c>
      <c r="E21" s="28">
        <f t="shared" si="24"/>
        <v>270</v>
      </c>
      <c r="F21" s="29">
        <f>_xlfn.XLOOKUP(C21,[5]Salarios!B:B,[5]Salarios!C:C)</f>
        <v>2021250</v>
      </c>
      <c r="G21" s="29">
        <f t="shared" si="25"/>
        <v>67375</v>
      </c>
      <c r="H21" s="29">
        <f t="shared" si="26"/>
        <v>8788.04347826087</v>
      </c>
      <c r="I21" s="79">
        <f t="shared" si="19"/>
        <v>8303</v>
      </c>
      <c r="J21" s="30">
        <f t="shared" si="27"/>
        <v>36382500</v>
      </c>
      <c r="K21" s="31">
        <f>+D21*E21*I21</f>
        <v>4483620</v>
      </c>
      <c r="L21" s="32"/>
      <c r="M21" s="33">
        <f t="shared" si="29"/>
        <v>0</v>
      </c>
      <c r="N21" s="32"/>
      <c r="O21" s="33">
        <f t="shared" si="30"/>
        <v>0</v>
      </c>
      <c r="P21" s="32"/>
      <c r="Q21" s="33">
        <f t="shared" si="31"/>
        <v>0</v>
      </c>
      <c r="R21" s="32"/>
      <c r="S21" s="33">
        <f t="shared" si="32"/>
        <v>0</v>
      </c>
      <c r="T21" s="32"/>
      <c r="U21" s="33">
        <f t="shared" si="33"/>
        <v>0</v>
      </c>
      <c r="V21" s="32"/>
      <c r="W21" s="33">
        <f t="shared" si="34"/>
        <v>0</v>
      </c>
      <c r="X21" s="32"/>
      <c r="Y21" s="33">
        <f t="shared" si="35"/>
        <v>0</v>
      </c>
      <c r="Z21" s="31">
        <f t="shared" si="36"/>
        <v>40866120</v>
      </c>
      <c r="AA21" s="29">
        <f t="shared" si="37"/>
        <v>3404147.7960000001</v>
      </c>
      <c r="AB21" s="29">
        <f t="shared" si="37"/>
        <v>408661.2</v>
      </c>
      <c r="AC21" s="29">
        <f t="shared" si="37"/>
        <v>3404147.7960000001</v>
      </c>
      <c r="AD21" s="29">
        <f t="shared" si="38"/>
        <v>1517150.25</v>
      </c>
      <c r="AE21" s="29">
        <f t="shared" si="38"/>
        <v>4365900</v>
      </c>
      <c r="AF21" s="29">
        <f t="shared" si="38"/>
        <v>2532222</v>
      </c>
      <c r="AG21" s="29">
        <f t="shared" si="39"/>
        <v>1515986.01</v>
      </c>
      <c r="AH21" s="31">
        <f t="shared" si="40"/>
        <v>58014335.052000009</v>
      </c>
      <c r="AI21" s="34"/>
      <c r="AJ21" s="35">
        <v>2</v>
      </c>
      <c r="AK21" s="35">
        <v>2</v>
      </c>
      <c r="AL21" s="35">
        <v>2</v>
      </c>
      <c r="AM21" s="35">
        <v>2</v>
      </c>
      <c r="AN21" s="35">
        <v>2</v>
      </c>
      <c r="AO21" s="35">
        <v>2</v>
      </c>
      <c r="AP21" s="35">
        <v>2</v>
      </c>
      <c r="AQ21" s="35">
        <v>2</v>
      </c>
      <c r="AR21" s="35">
        <v>2</v>
      </c>
      <c r="AS21" s="35">
        <v>2</v>
      </c>
      <c r="AT21" s="1">
        <f t="shared" ref="AT21:AT31" si="42">COUNT(AJ21:AS21)</f>
        <v>10</v>
      </c>
      <c r="AV21" s="1">
        <f t="shared" si="9"/>
        <v>30</v>
      </c>
      <c r="AW21" s="1">
        <f t="shared" si="9"/>
        <v>30</v>
      </c>
      <c r="AX21" s="1">
        <f t="shared" si="9"/>
        <v>30</v>
      </c>
      <c r="AY21" s="1">
        <f t="shared" si="9"/>
        <v>30</v>
      </c>
      <c r="AZ21" s="1">
        <f t="shared" si="9"/>
        <v>30</v>
      </c>
      <c r="BA21" s="1">
        <f t="shared" si="9"/>
        <v>30</v>
      </c>
      <c r="BB21" s="1">
        <f t="shared" si="9"/>
        <v>30</v>
      </c>
      <c r="BC21" s="1">
        <f t="shared" si="9"/>
        <v>30</v>
      </c>
      <c r="BD21" s="1">
        <f t="shared" si="9"/>
        <v>30</v>
      </c>
      <c r="BE21" s="1">
        <f t="shared" si="41"/>
        <v>270</v>
      </c>
    </row>
    <row r="22" spans="1:57" outlineLevel="1" x14ac:dyDescent="0.2">
      <c r="A22" s="241"/>
      <c r="B22" s="25" t="s">
        <v>67</v>
      </c>
      <c r="C22" s="26" t="s">
        <v>49</v>
      </c>
      <c r="D22" s="27">
        <v>4</v>
      </c>
      <c r="E22" s="28">
        <f t="shared" si="24"/>
        <v>270</v>
      </c>
      <c r="F22" s="29">
        <f>_xlfn.XLOOKUP(C22,[5]Salarios!B:B,[5]Salarios!C:C)</f>
        <v>2021250</v>
      </c>
      <c r="G22" s="29">
        <f t="shared" si="25"/>
        <v>67375</v>
      </c>
      <c r="H22" s="29">
        <f t="shared" si="26"/>
        <v>8788.04347826087</v>
      </c>
      <c r="I22" s="79">
        <f t="shared" si="19"/>
        <v>8303</v>
      </c>
      <c r="J22" s="30">
        <f t="shared" si="27"/>
        <v>72765000</v>
      </c>
      <c r="K22" s="31">
        <f t="shared" ref="K22:K31" si="43">+D22*E22*I22</f>
        <v>8967240</v>
      </c>
      <c r="L22" s="32"/>
      <c r="M22" s="33">
        <f t="shared" si="29"/>
        <v>0</v>
      </c>
      <c r="N22" s="32"/>
      <c r="O22" s="33">
        <f t="shared" si="30"/>
        <v>0</v>
      </c>
      <c r="P22" s="32"/>
      <c r="Q22" s="33">
        <f t="shared" si="31"/>
        <v>0</v>
      </c>
      <c r="R22" s="32"/>
      <c r="S22" s="33">
        <f t="shared" si="32"/>
        <v>0</v>
      </c>
      <c r="T22" s="32"/>
      <c r="U22" s="33">
        <f t="shared" si="33"/>
        <v>0</v>
      </c>
      <c r="V22" s="32"/>
      <c r="W22" s="33">
        <f t="shared" si="34"/>
        <v>0</v>
      </c>
      <c r="X22" s="32"/>
      <c r="Y22" s="33">
        <f t="shared" si="35"/>
        <v>0</v>
      </c>
      <c r="Z22" s="31">
        <f t="shared" si="36"/>
        <v>81732240</v>
      </c>
      <c r="AA22" s="29">
        <f t="shared" si="37"/>
        <v>6808295.5920000002</v>
      </c>
      <c r="AB22" s="29">
        <f t="shared" si="37"/>
        <v>817322.4</v>
      </c>
      <c r="AC22" s="29">
        <f t="shared" si="37"/>
        <v>6808295.5920000002</v>
      </c>
      <c r="AD22" s="29">
        <f t="shared" si="38"/>
        <v>3034300.5</v>
      </c>
      <c r="AE22" s="29">
        <f t="shared" si="38"/>
        <v>8731800</v>
      </c>
      <c r="AF22" s="29">
        <f t="shared" si="38"/>
        <v>5064444</v>
      </c>
      <c r="AG22" s="29">
        <f t="shared" si="39"/>
        <v>3031972.02</v>
      </c>
      <c r="AH22" s="31">
        <f t="shared" si="40"/>
        <v>116028670.10400002</v>
      </c>
      <c r="AI22" s="34"/>
      <c r="AJ22" s="35">
        <v>4</v>
      </c>
      <c r="AK22" s="35">
        <v>4</v>
      </c>
      <c r="AL22" s="35">
        <v>4</v>
      </c>
      <c r="AM22" s="35">
        <v>4</v>
      </c>
      <c r="AN22" s="35">
        <v>4</v>
      </c>
      <c r="AO22" s="35">
        <v>4</v>
      </c>
      <c r="AP22" s="35">
        <v>4</v>
      </c>
      <c r="AQ22" s="35">
        <v>4</v>
      </c>
      <c r="AR22" s="35">
        <v>4</v>
      </c>
      <c r="AS22" s="35">
        <v>4</v>
      </c>
      <c r="AT22" s="1">
        <f t="shared" si="42"/>
        <v>10</v>
      </c>
      <c r="AV22" s="1">
        <f t="shared" si="9"/>
        <v>30</v>
      </c>
      <c r="AW22" s="1">
        <f t="shared" si="9"/>
        <v>30</v>
      </c>
      <c r="AX22" s="1">
        <f t="shared" si="9"/>
        <v>30</v>
      </c>
      <c r="AY22" s="1">
        <f t="shared" si="9"/>
        <v>30</v>
      </c>
      <c r="AZ22" s="1">
        <f t="shared" si="9"/>
        <v>30</v>
      </c>
      <c r="BA22" s="1">
        <f t="shared" si="9"/>
        <v>30</v>
      </c>
      <c r="BB22" s="1">
        <f t="shared" si="9"/>
        <v>30</v>
      </c>
      <c r="BC22" s="1">
        <f t="shared" si="9"/>
        <v>30</v>
      </c>
      <c r="BD22" s="1">
        <f t="shared" si="9"/>
        <v>30</v>
      </c>
      <c r="BE22" s="1">
        <f t="shared" si="41"/>
        <v>270</v>
      </c>
    </row>
    <row r="23" spans="1:57" outlineLevel="1" x14ac:dyDescent="0.2">
      <c r="A23" s="38" t="s">
        <v>68</v>
      </c>
      <c r="B23" s="25" t="s">
        <v>51</v>
      </c>
      <c r="C23" s="26" t="s">
        <v>49</v>
      </c>
      <c r="D23" s="27">
        <v>2</v>
      </c>
      <c r="E23" s="28">
        <f>+BE23</f>
        <v>150</v>
      </c>
      <c r="F23" s="29">
        <f>_xlfn.XLOOKUP(C23,[5]Salarios!B:B,[5]Salarios!C:C)</f>
        <v>2021250</v>
      </c>
      <c r="G23" s="29">
        <f>+$F23/30</f>
        <v>67375</v>
      </c>
      <c r="H23" s="29">
        <f>+$F23/230</f>
        <v>8788.04347826087</v>
      </c>
      <c r="I23" s="79">
        <f t="shared" si="19"/>
        <v>8303</v>
      </c>
      <c r="J23" s="30">
        <f t="shared" si="27"/>
        <v>20212500</v>
      </c>
      <c r="K23" s="31">
        <f t="shared" si="43"/>
        <v>2490900</v>
      </c>
      <c r="L23" s="32"/>
      <c r="M23" s="33">
        <f>ROUND($H23*L23*M$7,0)</f>
        <v>0</v>
      </c>
      <c r="N23" s="32"/>
      <c r="O23" s="33">
        <f>+$H23*N23*O$7</f>
        <v>0</v>
      </c>
      <c r="P23" s="32"/>
      <c r="Q23" s="33">
        <f>+$H23*P23*Q$7</f>
        <v>0</v>
      </c>
      <c r="R23" s="32"/>
      <c r="S23" s="33">
        <f>+$H23*R23*S$7</f>
        <v>0</v>
      </c>
      <c r="T23" s="32"/>
      <c r="U23" s="33">
        <f>+$H23*T23*U$7</f>
        <v>0</v>
      </c>
      <c r="V23" s="32"/>
      <c r="W23" s="33">
        <f>+$H23*V23*W$7</f>
        <v>0</v>
      </c>
      <c r="X23" s="32"/>
      <c r="Y23" s="33">
        <f>+$H23*X23*Y$7</f>
        <v>0</v>
      </c>
      <c r="Z23" s="31">
        <f t="shared" si="36"/>
        <v>22703400</v>
      </c>
      <c r="AA23" s="29">
        <f>+$Z23*AA$7</f>
        <v>1891193.22</v>
      </c>
      <c r="AB23" s="29">
        <f>+$Z23*AB$7</f>
        <v>227034</v>
      </c>
      <c r="AC23" s="29">
        <f>+$Z23*AC$7</f>
        <v>1891193.22</v>
      </c>
      <c r="AD23" s="29">
        <f>($Z23-$K23)*AD$7</f>
        <v>842861.25</v>
      </c>
      <c r="AE23" s="29">
        <f>($Z23-$K23)*AE$7</f>
        <v>2425500</v>
      </c>
      <c r="AF23" s="29">
        <f>($Z23-$K23)*AF$7</f>
        <v>1406790</v>
      </c>
      <c r="AG23" s="29">
        <f>($Z23-$K23+AD23)*AG$7</f>
        <v>842214.45000000007</v>
      </c>
      <c r="AH23" s="31">
        <f t="shared" si="40"/>
        <v>32230186.139999997</v>
      </c>
      <c r="AI23" s="34"/>
      <c r="AJ23" s="35"/>
      <c r="AK23" s="35"/>
      <c r="AL23" s="35">
        <v>2</v>
      </c>
      <c r="AM23" s="35">
        <v>2</v>
      </c>
      <c r="AN23" s="35"/>
      <c r="AO23" s="35"/>
      <c r="AP23" s="35"/>
      <c r="AQ23" s="35">
        <v>2</v>
      </c>
      <c r="AR23" s="35">
        <v>2</v>
      </c>
      <c r="AS23" s="35">
        <v>2</v>
      </c>
      <c r="AT23" s="1">
        <f t="shared" si="42"/>
        <v>5</v>
      </c>
      <c r="AV23" s="1" t="str">
        <f t="shared" si="9"/>
        <v/>
      </c>
      <c r="AW23" s="1">
        <f t="shared" si="9"/>
        <v>30</v>
      </c>
      <c r="AX23" s="1">
        <f t="shared" si="9"/>
        <v>30</v>
      </c>
      <c r="AY23" s="1" t="str">
        <f t="shared" si="9"/>
        <v/>
      </c>
      <c r="AZ23" s="1" t="str">
        <f t="shared" si="9"/>
        <v/>
      </c>
      <c r="BA23" s="1" t="str">
        <f t="shared" si="9"/>
        <v/>
      </c>
      <c r="BB23" s="1">
        <f t="shared" si="9"/>
        <v>30</v>
      </c>
      <c r="BC23" s="1">
        <f t="shared" si="9"/>
        <v>30</v>
      </c>
      <c r="BD23" s="1">
        <f t="shared" si="9"/>
        <v>30</v>
      </c>
      <c r="BE23" s="1">
        <f t="shared" si="41"/>
        <v>150</v>
      </c>
    </row>
    <row r="24" spans="1:57" outlineLevel="1" x14ac:dyDescent="0.2">
      <c r="A24" s="236" t="s">
        <v>52</v>
      </c>
      <c r="B24" s="25" t="s">
        <v>53</v>
      </c>
      <c r="C24" s="26" t="s">
        <v>54</v>
      </c>
      <c r="D24" s="27">
        <v>1</v>
      </c>
      <c r="E24" s="28">
        <f t="shared" si="24"/>
        <v>270</v>
      </c>
      <c r="F24" s="29">
        <f>_xlfn.XLOOKUP(C24,[5]Salarios!B:B,[5]Salarios!C:C)</f>
        <v>2887500</v>
      </c>
      <c r="G24" s="29">
        <f t="shared" si="25"/>
        <v>96250</v>
      </c>
      <c r="H24" s="29">
        <f t="shared" si="26"/>
        <v>12554.347826086956</v>
      </c>
      <c r="I24" s="79">
        <f t="shared" si="19"/>
        <v>8303</v>
      </c>
      <c r="J24" s="30">
        <f t="shared" si="27"/>
        <v>25987500</v>
      </c>
      <c r="K24" s="31">
        <f t="shared" si="43"/>
        <v>2241810</v>
      </c>
      <c r="L24" s="32"/>
      <c r="M24" s="33">
        <f t="shared" si="29"/>
        <v>0</v>
      </c>
      <c r="N24" s="32"/>
      <c r="O24" s="33">
        <f t="shared" si="30"/>
        <v>0</v>
      </c>
      <c r="P24" s="32"/>
      <c r="Q24" s="33">
        <f t="shared" si="31"/>
        <v>0</v>
      </c>
      <c r="R24" s="32"/>
      <c r="S24" s="33">
        <f t="shared" si="32"/>
        <v>0</v>
      </c>
      <c r="T24" s="32"/>
      <c r="U24" s="33">
        <f t="shared" si="33"/>
        <v>0</v>
      </c>
      <c r="V24" s="32"/>
      <c r="W24" s="33">
        <f t="shared" si="34"/>
        <v>0</v>
      </c>
      <c r="X24" s="32"/>
      <c r="Y24" s="33">
        <f t="shared" si="35"/>
        <v>0</v>
      </c>
      <c r="Z24" s="31">
        <f t="shared" si="36"/>
        <v>28229310</v>
      </c>
      <c r="AA24" s="29">
        <f t="shared" si="37"/>
        <v>2351501.523</v>
      </c>
      <c r="AB24" s="29">
        <f t="shared" si="37"/>
        <v>282293.10000000003</v>
      </c>
      <c r="AC24" s="29">
        <f t="shared" si="37"/>
        <v>2351501.523</v>
      </c>
      <c r="AD24" s="29">
        <f t="shared" si="38"/>
        <v>1083678.75</v>
      </c>
      <c r="AE24" s="29">
        <f t="shared" si="38"/>
        <v>3118500</v>
      </c>
      <c r="AF24" s="29">
        <f t="shared" si="38"/>
        <v>1808729.9999999998</v>
      </c>
      <c r="AG24" s="29">
        <f>($Z24-$K24+AD24)*AG$7</f>
        <v>1082847.1499999999</v>
      </c>
      <c r="AH24" s="31">
        <f t="shared" si="40"/>
        <v>40308362.046000004</v>
      </c>
      <c r="AI24" s="34"/>
      <c r="AJ24" s="35">
        <v>1</v>
      </c>
      <c r="AK24" s="35">
        <v>1</v>
      </c>
      <c r="AL24" s="35">
        <v>1</v>
      </c>
      <c r="AM24" s="35">
        <v>1</v>
      </c>
      <c r="AN24" s="35">
        <v>1</v>
      </c>
      <c r="AO24" s="35">
        <v>1</v>
      </c>
      <c r="AP24" s="35">
        <v>1</v>
      </c>
      <c r="AQ24" s="35">
        <v>1</v>
      </c>
      <c r="AR24" s="35">
        <v>1</v>
      </c>
      <c r="AS24" s="35">
        <v>1</v>
      </c>
      <c r="AT24" s="1">
        <f t="shared" si="42"/>
        <v>10</v>
      </c>
      <c r="AV24" s="1">
        <f t="shared" si="9"/>
        <v>30</v>
      </c>
      <c r="AW24" s="1">
        <f t="shared" si="9"/>
        <v>30</v>
      </c>
      <c r="AX24" s="1">
        <f t="shared" si="9"/>
        <v>30</v>
      </c>
      <c r="AY24" s="1">
        <f t="shared" si="9"/>
        <v>30</v>
      </c>
      <c r="AZ24" s="1">
        <f t="shared" si="9"/>
        <v>30</v>
      </c>
      <c r="BA24" s="1">
        <f t="shared" si="9"/>
        <v>30</v>
      </c>
      <c r="BB24" s="1">
        <f t="shared" si="9"/>
        <v>30</v>
      </c>
      <c r="BC24" s="1">
        <f t="shared" si="9"/>
        <v>30</v>
      </c>
      <c r="BD24" s="1">
        <f t="shared" si="9"/>
        <v>30</v>
      </c>
      <c r="BE24" s="1">
        <f t="shared" si="41"/>
        <v>270</v>
      </c>
    </row>
    <row r="25" spans="1:57" outlineLevel="1" x14ac:dyDescent="0.2">
      <c r="A25" s="236"/>
      <c r="B25" s="25" t="s">
        <v>69</v>
      </c>
      <c r="C25" s="26" t="s">
        <v>49</v>
      </c>
      <c r="D25" s="27">
        <v>6</v>
      </c>
      <c r="E25" s="28">
        <f t="shared" si="24"/>
        <v>270</v>
      </c>
      <c r="F25" s="29">
        <f>_xlfn.XLOOKUP(C25,[5]Salarios!B:B,[5]Salarios!C:C)</f>
        <v>2021250</v>
      </c>
      <c r="G25" s="29">
        <f t="shared" si="25"/>
        <v>67375</v>
      </c>
      <c r="H25" s="29">
        <f t="shared" si="26"/>
        <v>8788.04347826087</v>
      </c>
      <c r="I25" s="79">
        <f t="shared" si="19"/>
        <v>8303</v>
      </c>
      <c r="J25" s="30">
        <f t="shared" si="27"/>
        <v>109147500</v>
      </c>
      <c r="K25" s="31">
        <f t="shared" si="43"/>
        <v>13450860</v>
      </c>
      <c r="L25" s="32"/>
      <c r="M25" s="33">
        <f t="shared" si="29"/>
        <v>0</v>
      </c>
      <c r="N25" s="32"/>
      <c r="O25" s="33">
        <f t="shared" si="30"/>
        <v>0</v>
      </c>
      <c r="P25" s="32"/>
      <c r="Q25" s="33">
        <f t="shared" si="31"/>
        <v>0</v>
      </c>
      <c r="R25" s="32"/>
      <c r="S25" s="33">
        <f t="shared" si="32"/>
        <v>0</v>
      </c>
      <c r="T25" s="32"/>
      <c r="U25" s="33">
        <f t="shared" si="33"/>
        <v>0</v>
      </c>
      <c r="V25" s="32"/>
      <c r="W25" s="33">
        <f t="shared" si="34"/>
        <v>0</v>
      </c>
      <c r="X25" s="32"/>
      <c r="Y25" s="33">
        <f t="shared" si="35"/>
        <v>0</v>
      </c>
      <c r="Z25" s="31">
        <f t="shared" si="36"/>
        <v>122598360</v>
      </c>
      <c r="AA25" s="29">
        <f t="shared" si="37"/>
        <v>10212443.388</v>
      </c>
      <c r="AB25" s="29">
        <f t="shared" si="37"/>
        <v>1225983.6000000001</v>
      </c>
      <c r="AC25" s="29">
        <f t="shared" si="37"/>
        <v>10212443.388</v>
      </c>
      <c r="AD25" s="29">
        <f t="shared" si="38"/>
        <v>4551450.75</v>
      </c>
      <c r="AE25" s="29">
        <f t="shared" si="38"/>
        <v>13097700</v>
      </c>
      <c r="AF25" s="29">
        <f t="shared" si="38"/>
        <v>7596665.9999999991</v>
      </c>
      <c r="AG25" s="29">
        <f t="shared" si="39"/>
        <v>4547958.03</v>
      </c>
      <c r="AH25" s="31">
        <f t="shared" si="40"/>
        <v>174043005.15599999</v>
      </c>
      <c r="AI25" s="34"/>
      <c r="AJ25" s="35">
        <v>6</v>
      </c>
      <c r="AK25" s="35">
        <v>6</v>
      </c>
      <c r="AL25" s="35">
        <v>6</v>
      </c>
      <c r="AM25" s="35">
        <v>6</v>
      </c>
      <c r="AN25" s="35">
        <v>6</v>
      </c>
      <c r="AO25" s="35">
        <v>6</v>
      </c>
      <c r="AP25" s="35">
        <v>6</v>
      </c>
      <c r="AQ25" s="35">
        <v>6</v>
      </c>
      <c r="AR25" s="35">
        <v>6</v>
      </c>
      <c r="AS25" s="35">
        <v>6</v>
      </c>
      <c r="AT25" s="1">
        <f t="shared" si="42"/>
        <v>10</v>
      </c>
      <c r="AV25" s="1">
        <f t="shared" ref="AV25:BD42" si="44">IF(AK25&lt;&gt;"",AK$6,"")</f>
        <v>30</v>
      </c>
      <c r="AW25" s="1">
        <f t="shared" si="44"/>
        <v>30</v>
      </c>
      <c r="AX25" s="1">
        <f t="shared" si="44"/>
        <v>30</v>
      </c>
      <c r="AY25" s="1">
        <f t="shared" si="44"/>
        <v>30</v>
      </c>
      <c r="AZ25" s="1">
        <f t="shared" si="44"/>
        <v>30</v>
      </c>
      <c r="BA25" s="1">
        <f t="shared" si="44"/>
        <v>30</v>
      </c>
      <c r="BB25" s="1">
        <f t="shared" si="44"/>
        <v>30</v>
      </c>
      <c r="BC25" s="1">
        <f t="shared" si="44"/>
        <v>30</v>
      </c>
      <c r="BD25" s="1">
        <f t="shared" si="44"/>
        <v>30</v>
      </c>
      <c r="BE25" s="1">
        <f t="shared" si="41"/>
        <v>270</v>
      </c>
    </row>
    <row r="26" spans="1:57" outlineLevel="1" x14ac:dyDescent="0.2">
      <c r="A26" s="39" t="s">
        <v>56</v>
      </c>
      <c r="B26" s="25" t="s">
        <v>57</v>
      </c>
      <c r="C26" s="26" t="s">
        <v>57</v>
      </c>
      <c r="D26" s="27">
        <v>1</v>
      </c>
      <c r="E26" s="28">
        <f t="shared" si="24"/>
        <v>270</v>
      </c>
      <c r="F26" s="29">
        <f>_xlfn.XLOOKUP(C26,[5]Salarios!B:B,[5]Salarios!C:C)</f>
        <v>2887500</v>
      </c>
      <c r="G26" s="29">
        <f t="shared" si="25"/>
        <v>96250</v>
      </c>
      <c r="H26" s="29">
        <f t="shared" si="26"/>
        <v>12554.347826086956</v>
      </c>
      <c r="I26" s="79">
        <f t="shared" si="19"/>
        <v>8303</v>
      </c>
      <c r="J26" s="30">
        <f t="shared" si="27"/>
        <v>25987500</v>
      </c>
      <c r="K26" s="31">
        <f t="shared" si="43"/>
        <v>2241810</v>
      </c>
      <c r="L26" s="32">
        <v>100</v>
      </c>
      <c r="M26" s="33">
        <f t="shared" si="29"/>
        <v>1569293</v>
      </c>
      <c r="N26" s="32"/>
      <c r="O26" s="33">
        <f t="shared" si="30"/>
        <v>0</v>
      </c>
      <c r="P26" s="32"/>
      <c r="Q26" s="33">
        <f t="shared" si="31"/>
        <v>0</v>
      </c>
      <c r="R26" s="32"/>
      <c r="S26" s="33">
        <f t="shared" si="32"/>
        <v>0</v>
      </c>
      <c r="T26" s="32"/>
      <c r="U26" s="33">
        <f t="shared" si="33"/>
        <v>0</v>
      </c>
      <c r="V26" s="28">
        <v>140</v>
      </c>
      <c r="W26" s="33">
        <f t="shared" si="34"/>
        <v>3515217.3913043477</v>
      </c>
      <c r="X26" s="32"/>
      <c r="Y26" s="33">
        <f t="shared" si="35"/>
        <v>0</v>
      </c>
      <c r="Z26" s="31">
        <f t="shared" si="36"/>
        <v>33313820.391304348</v>
      </c>
      <c r="AA26" s="29">
        <f t="shared" si="37"/>
        <v>2775041.2385956519</v>
      </c>
      <c r="AB26" s="29">
        <f t="shared" si="37"/>
        <v>333138.20391304349</v>
      </c>
      <c r="AC26" s="29">
        <f t="shared" si="37"/>
        <v>2775041.2385956519</v>
      </c>
      <c r="AD26" s="29">
        <f t="shared" si="38"/>
        <v>1295702.8333173913</v>
      </c>
      <c r="AE26" s="29">
        <f t="shared" si="38"/>
        <v>3728641.2469565216</v>
      </c>
      <c r="AF26" s="29">
        <f t="shared" si="38"/>
        <v>2162611.9232347826</v>
      </c>
      <c r="AG26" s="29">
        <f t="shared" si="39"/>
        <v>1294708.5289848696</v>
      </c>
      <c r="AH26" s="31">
        <f t="shared" si="40"/>
        <v>47678705.604902253</v>
      </c>
      <c r="AI26" s="34"/>
      <c r="AJ26" s="35">
        <v>1</v>
      </c>
      <c r="AK26" s="35">
        <v>1</v>
      </c>
      <c r="AL26" s="35">
        <v>1</v>
      </c>
      <c r="AM26" s="35">
        <v>1</v>
      </c>
      <c r="AN26" s="35">
        <v>1</v>
      </c>
      <c r="AO26" s="35">
        <v>1</v>
      </c>
      <c r="AP26" s="35">
        <v>1</v>
      </c>
      <c r="AQ26" s="35">
        <v>1</v>
      </c>
      <c r="AR26" s="35">
        <v>1</v>
      </c>
      <c r="AS26" s="35">
        <v>1</v>
      </c>
      <c r="AT26" s="1">
        <f t="shared" si="42"/>
        <v>10</v>
      </c>
      <c r="AV26" s="1">
        <f t="shared" si="44"/>
        <v>30</v>
      </c>
      <c r="AW26" s="1">
        <f t="shared" si="44"/>
        <v>30</v>
      </c>
      <c r="AX26" s="1">
        <f t="shared" si="44"/>
        <v>30</v>
      </c>
      <c r="AY26" s="1">
        <f t="shared" si="44"/>
        <v>30</v>
      </c>
      <c r="AZ26" s="1">
        <f t="shared" si="44"/>
        <v>30</v>
      </c>
      <c r="BA26" s="1">
        <f t="shared" si="44"/>
        <v>30</v>
      </c>
      <c r="BB26" s="1">
        <f t="shared" si="44"/>
        <v>30</v>
      </c>
      <c r="BC26" s="1">
        <f t="shared" si="44"/>
        <v>30</v>
      </c>
      <c r="BD26" s="1">
        <f t="shared" si="44"/>
        <v>30</v>
      </c>
      <c r="BE26" s="1">
        <f t="shared" si="41"/>
        <v>270</v>
      </c>
    </row>
    <row r="27" spans="1:57" outlineLevel="1" x14ac:dyDescent="0.2">
      <c r="A27" s="39"/>
      <c r="B27" s="25" t="s">
        <v>70</v>
      </c>
      <c r="C27" s="26" t="s">
        <v>70</v>
      </c>
      <c r="D27" s="27">
        <v>1</v>
      </c>
      <c r="E27" s="28">
        <f t="shared" si="24"/>
        <v>270</v>
      </c>
      <c r="F27" s="29">
        <f>_xlfn.XLOOKUP(C27,[5]Salarios!B:B,[5]Salarios!C:C)</f>
        <v>1790250</v>
      </c>
      <c r="G27" s="29">
        <f t="shared" si="25"/>
        <v>59675</v>
      </c>
      <c r="H27" s="29">
        <f t="shared" si="26"/>
        <v>7783.695652173913</v>
      </c>
      <c r="I27" s="79">
        <f t="shared" si="19"/>
        <v>8303</v>
      </c>
      <c r="J27" s="30">
        <f t="shared" si="27"/>
        <v>16112250</v>
      </c>
      <c r="K27" s="31">
        <f t="shared" si="43"/>
        <v>2241810</v>
      </c>
      <c r="L27" s="32"/>
      <c r="M27" s="33">
        <f t="shared" si="29"/>
        <v>0</v>
      </c>
      <c r="N27" s="32"/>
      <c r="O27" s="33">
        <f t="shared" si="30"/>
        <v>0</v>
      </c>
      <c r="P27" s="32"/>
      <c r="Q27" s="33">
        <f t="shared" si="31"/>
        <v>0</v>
      </c>
      <c r="R27" s="32"/>
      <c r="S27" s="33">
        <f t="shared" si="32"/>
        <v>0</v>
      </c>
      <c r="T27" s="32"/>
      <c r="U27" s="33">
        <f t="shared" si="33"/>
        <v>0</v>
      </c>
      <c r="V27" s="32"/>
      <c r="W27" s="33">
        <f t="shared" si="34"/>
        <v>0</v>
      </c>
      <c r="X27" s="32"/>
      <c r="Y27" s="33">
        <f t="shared" si="35"/>
        <v>0</v>
      </c>
      <c r="Z27" s="31">
        <f t="shared" si="36"/>
        <v>18354060</v>
      </c>
      <c r="AA27" s="29">
        <f t="shared" si="37"/>
        <v>1528893.1980000001</v>
      </c>
      <c r="AB27" s="29">
        <f t="shared" si="37"/>
        <v>183540.6</v>
      </c>
      <c r="AC27" s="29">
        <f t="shared" si="37"/>
        <v>1528893.1980000001</v>
      </c>
      <c r="AD27" s="29">
        <f t="shared" si="38"/>
        <v>671880.82500000007</v>
      </c>
      <c r="AE27" s="29">
        <f t="shared" si="38"/>
        <v>1933470</v>
      </c>
      <c r="AF27" s="29">
        <f t="shared" si="38"/>
        <v>1121412.5999999999</v>
      </c>
      <c r="AG27" s="29">
        <f t="shared" si="39"/>
        <v>671365.23300000001</v>
      </c>
      <c r="AH27" s="31">
        <f t="shared" si="40"/>
        <v>25993515.653999999</v>
      </c>
      <c r="AI27" s="34"/>
      <c r="AJ27" s="35">
        <v>1</v>
      </c>
      <c r="AK27" s="35">
        <v>1</v>
      </c>
      <c r="AL27" s="35">
        <v>1</v>
      </c>
      <c r="AM27" s="35">
        <v>1</v>
      </c>
      <c r="AN27" s="35">
        <v>1</v>
      </c>
      <c r="AO27" s="35">
        <v>1</v>
      </c>
      <c r="AP27" s="35">
        <v>1</v>
      </c>
      <c r="AQ27" s="35">
        <v>1</v>
      </c>
      <c r="AR27" s="35">
        <v>1</v>
      </c>
      <c r="AS27" s="35">
        <v>1</v>
      </c>
      <c r="AT27" s="1">
        <f t="shared" si="42"/>
        <v>10</v>
      </c>
      <c r="AV27" s="1">
        <f t="shared" si="44"/>
        <v>30</v>
      </c>
      <c r="AW27" s="1">
        <f t="shared" si="44"/>
        <v>30</v>
      </c>
      <c r="AX27" s="1">
        <f t="shared" si="44"/>
        <v>30</v>
      </c>
      <c r="AY27" s="1">
        <f t="shared" si="44"/>
        <v>30</v>
      </c>
      <c r="AZ27" s="1">
        <f t="shared" si="44"/>
        <v>30</v>
      </c>
      <c r="BA27" s="1">
        <f t="shared" si="44"/>
        <v>30</v>
      </c>
      <c r="BB27" s="1">
        <f t="shared" si="44"/>
        <v>30</v>
      </c>
      <c r="BC27" s="1">
        <f t="shared" si="44"/>
        <v>30</v>
      </c>
      <c r="BD27" s="1">
        <f t="shared" si="44"/>
        <v>30</v>
      </c>
      <c r="BE27" s="1">
        <f t="shared" si="41"/>
        <v>270</v>
      </c>
    </row>
    <row r="28" spans="1:57" outlineLevel="1" x14ac:dyDescent="0.2">
      <c r="A28" s="36" t="s">
        <v>58</v>
      </c>
      <c r="B28" s="25" t="s">
        <v>59</v>
      </c>
      <c r="C28" s="26" t="s">
        <v>60</v>
      </c>
      <c r="D28" s="27">
        <v>1</v>
      </c>
      <c r="E28" s="28">
        <f t="shared" si="24"/>
        <v>270</v>
      </c>
      <c r="F28" s="29">
        <f>_xlfn.XLOOKUP(C28,[5]Salarios!B:B,[5]Salarios!C:C)</f>
        <v>2940000</v>
      </c>
      <c r="G28" s="29">
        <f>+$F28/30</f>
        <v>98000</v>
      </c>
      <c r="H28" s="29">
        <f t="shared" si="26"/>
        <v>12782.608695652174</v>
      </c>
      <c r="I28" s="79">
        <f t="shared" si="19"/>
        <v>8303</v>
      </c>
      <c r="J28" s="30">
        <f t="shared" si="27"/>
        <v>26460000</v>
      </c>
      <c r="K28" s="31">
        <f t="shared" si="43"/>
        <v>2241810</v>
      </c>
      <c r="L28" s="32"/>
      <c r="M28" s="33">
        <f t="shared" si="29"/>
        <v>0</v>
      </c>
      <c r="N28" s="32"/>
      <c r="O28" s="33">
        <f t="shared" si="30"/>
        <v>0</v>
      </c>
      <c r="P28" s="32"/>
      <c r="Q28" s="33">
        <f t="shared" si="31"/>
        <v>0</v>
      </c>
      <c r="R28" s="32"/>
      <c r="S28" s="33">
        <f t="shared" si="32"/>
        <v>0</v>
      </c>
      <c r="T28" s="32"/>
      <c r="U28" s="33">
        <f t="shared" si="33"/>
        <v>0</v>
      </c>
      <c r="V28" s="32"/>
      <c r="W28" s="33">
        <f t="shared" si="34"/>
        <v>0</v>
      </c>
      <c r="X28" s="32"/>
      <c r="Y28" s="33">
        <f t="shared" si="35"/>
        <v>0</v>
      </c>
      <c r="Z28" s="31">
        <f t="shared" si="36"/>
        <v>28701810</v>
      </c>
      <c r="AA28" s="29">
        <f t="shared" si="37"/>
        <v>2390860.773</v>
      </c>
      <c r="AB28" s="29">
        <f t="shared" si="37"/>
        <v>287018.10000000003</v>
      </c>
      <c r="AC28" s="29">
        <f t="shared" si="37"/>
        <v>2390860.773</v>
      </c>
      <c r="AD28" s="29">
        <f t="shared" si="38"/>
        <v>1103382</v>
      </c>
      <c r="AE28" s="29">
        <f t="shared" si="38"/>
        <v>3175200</v>
      </c>
      <c r="AF28" s="29">
        <f t="shared" si="38"/>
        <v>1841615.9999999998</v>
      </c>
      <c r="AG28" s="29">
        <f>($Z28-$K28+AD28)*AG$7</f>
        <v>1102535.28</v>
      </c>
      <c r="AH28" s="31">
        <f t="shared" si="40"/>
        <v>40993282.926000006</v>
      </c>
      <c r="AI28" s="34"/>
      <c r="AJ28" s="35"/>
      <c r="AK28" s="35">
        <v>1</v>
      </c>
      <c r="AL28" s="35">
        <v>1</v>
      </c>
      <c r="AM28" s="35">
        <v>1</v>
      </c>
      <c r="AN28" s="35">
        <v>1</v>
      </c>
      <c r="AO28" s="35">
        <v>1</v>
      </c>
      <c r="AP28" s="35">
        <v>1</v>
      </c>
      <c r="AQ28" s="35">
        <v>1</v>
      </c>
      <c r="AR28" s="35">
        <v>1</v>
      </c>
      <c r="AS28" s="35">
        <v>1</v>
      </c>
      <c r="AT28" s="1">
        <f t="shared" si="42"/>
        <v>9</v>
      </c>
      <c r="AV28" s="1">
        <f t="shared" si="44"/>
        <v>30</v>
      </c>
      <c r="AW28" s="1">
        <f t="shared" si="44"/>
        <v>30</v>
      </c>
      <c r="AX28" s="1">
        <f t="shared" si="44"/>
        <v>30</v>
      </c>
      <c r="AY28" s="1">
        <f t="shared" si="44"/>
        <v>30</v>
      </c>
      <c r="AZ28" s="1">
        <f t="shared" si="44"/>
        <v>30</v>
      </c>
      <c r="BA28" s="1">
        <f t="shared" si="44"/>
        <v>30</v>
      </c>
      <c r="BB28" s="1">
        <f t="shared" si="44"/>
        <v>30</v>
      </c>
      <c r="BC28" s="1">
        <f t="shared" si="44"/>
        <v>30</v>
      </c>
      <c r="BD28" s="1">
        <f t="shared" si="44"/>
        <v>30</v>
      </c>
      <c r="BE28" s="1">
        <f t="shared" si="41"/>
        <v>270</v>
      </c>
    </row>
    <row r="29" spans="1:57" outlineLevel="1" x14ac:dyDescent="0.2">
      <c r="A29" s="36" t="s">
        <v>61</v>
      </c>
      <c r="B29" s="25" t="s">
        <v>62</v>
      </c>
      <c r="C29" s="26" t="s">
        <v>62</v>
      </c>
      <c r="D29" s="27">
        <v>1</v>
      </c>
      <c r="E29" s="28">
        <f t="shared" si="24"/>
        <v>270</v>
      </c>
      <c r="F29" s="29">
        <f>_xlfn.XLOOKUP(C29,[5]Salarios!B:B,[5]Salarios!C:C)</f>
        <v>2100000</v>
      </c>
      <c r="G29" s="29">
        <f>+$F29/30</f>
        <v>70000</v>
      </c>
      <c r="H29" s="29">
        <f t="shared" si="26"/>
        <v>9130.434782608696</v>
      </c>
      <c r="I29" s="79">
        <f t="shared" si="19"/>
        <v>8303</v>
      </c>
      <c r="J29" s="30">
        <f t="shared" si="27"/>
        <v>18900000</v>
      </c>
      <c r="K29" s="31">
        <f t="shared" si="43"/>
        <v>2241810</v>
      </c>
      <c r="L29" s="32"/>
      <c r="M29" s="33">
        <f t="shared" si="29"/>
        <v>0</v>
      </c>
      <c r="N29" s="32"/>
      <c r="O29" s="33">
        <f t="shared" si="30"/>
        <v>0</v>
      </c>
      <c r="P29" s="32"/>
      <c r="Q29" s="33">
        <f t="shared" si="31"/>
        <v>0</v>
      </c>
      <c r="R29" s="32"/>
      <c r="S29" s="33">
        <f t="shared" si="32"/>
        <v>0</v>
      </c>
      <c r="T29" s="32"/>
      <c r="U29" s="33">
        <f t="shared" si="33"/>
        <v>0</v>
      </c>
      <c r="V29" s="32"/>
      <c r="W29" s="33">
        <f t="shared" si="34"/>
        <v>0</v>
      </c>
      <c r="X29" s="32"/>
      <c r="Y29" s="33">
        <f t="shared" si="35"/>
        <v>0</v>
      </c>
      <c r="Z29" s="31">
        <f t="shared" si="36"/>
        <v>21141810</v>
      </c>
      <c r="AA29" s="29">
        <f t="shared" si="37"/>
        <v>1761112.773</v>
      </c>
      <c r="AB29" s="29">
        <f t="shared" si="37"/>
        <v>211418.1</v>
      </c>
      <c r="AC29" s="29">
        <f t="shared" si="37"/>
        <v>1761112.773</v>
      </c>
      <c r="AD29" s="29">
        <f t="shared" si="38"/>
        <v>788130</v>
      </c>
      <c r="AE29" s="29">
        <f t="shared" si="38"/>
        <v>2268000</v>
      </c>
      <c r="AF29" s="29">
        <f t="shared" si="38"/>
        <v>1315440</v>
      </c>
      <c r="AG29" s="29">
        <f>($Z29-$K29+AD29)*AG$7</f>
        <v>787525.20000000007</v>
      </c>
      <c r="AH29" s="31">
        <f t="shared" si="40"/>
        <v>30034548.846000005</v>
      </c>
      <c r="AI29" s="34"/>
      <c r="AJ29" s="35">
        <v>1</v>
      </c>
      <c r="AK29" s="35">
        <v>1</v>
      </c>
      <c r="AL29" s="35">
        <v>1</v>
      </c>
      <c r="AM29" s="35">
        <v>1</v>
      </c>
      <c r="AN29" s="35">
        <v>1</v>
      </c>
      <c r="AO29" s="35">
        <v>1</v>
      </c>
      <c r="AP29" s="35">
        <v>1</v>
      </c>
      <c r="AQ29" s="35">
        <v>1</v>
      </c>
      <c r="AR29" s="35">
        <v>1</v>
      </c>
      <c r="AS29" s="35">
        <v>1</v>
      </c>
      <c r="AT29" s="1">
        <f t="shared" si="42"/>
        <v>10</v>
      </c>
      <c r="AV29" s="1">
        <f t="shared" si="44"/>
        <v>30</v>
      </c>
      <c r="AW29" s="1">
        <f t="shared" si="44"/>
        <v>30</v>
      </c>
      <c r="AX29" s="1">
        <f t="shared" si="44"/>
        <v>30</v>
      </c>
      <c r="AY29" s="1">
        <f t="shared" si="44"/>
        <v>30</v>
      </c>
      <c r="AZ29" s="1">
        <f t="shared" si="44"/>
        <v>30</v>
      </c>
      <c r="BA29" s="1">
        <f t="shared" si="44"/>
        <v>30</v>
      </c>
      <c r="BB29" s="1">
        <f t="shared" si="44"/>
        <v>30</v>
      </c>
      <c r="BC29" s="1">
        <f t="shared" si="44"/>
        <v>30</v>
      </c>
      <c r="BD29" s="1">
        <f t="shared" si="44"/>
        <v>30</v>
      </c>
      <c r="BE29" s="1">
        <f t="shared" si="41"/>
        <v>270</v>
      </c>
    </row>
    <row r="30" spans="1:57" outlineLevel="1" x14ac:dyDescent="0.2">
      <c r="A30" s="236" t="s">
        <v>71</v>
      </c>
      <c r="B30" s="25" t="s">
        <v>72</v>
      </c>
      <c r="C30" s="26" t="s">
        <v>72</v>
      </c>
      <c r="D30" s="27">
        <v>1</v>
      </c>
      <c r="E30" s="28">
        <f t="shared" si="24"/>
        <v>270</v>
      </c>
      <c r="F30" s="29">
        <f>_xlfn.XLOOKUP(C30,[5]Salarios!B:B,[5]Salarios!C:C)</f>
        <v>2887500</v>
      </c>
      <c r="G30" s="29">
        <f>+$F30/30</f>
        <v>96250</v>
      </c>
      <c r="H30" s="29">
        <f t="shared" si="26"/>
        <v>12554.347826086956</v>
      </c>
      <c r="I30" s="79">
        <f t="shared" si="19"/>
        <v>8303</v>
      </c>
      <c r="J30" s="30">
        <f t="shared" si="27"/>
        <v>25987500</v>
      </c>
      <c r="K30" s="31">
        <f t="shared" si="43"/>
        <v>2241810</v>
      </c>
      <c r="L30" s="32">
        <v>100</v>
      </c>
      <c r="M30" s="33">
        <f t="shared" si="29"/>
        <v>1569293</v>
      </c>
      <c r="N30" s="32"/>
      <c r="O30" s="33">
        <f t="shared" si="30"/>
        <v>0</v>
      </c>
      <c r="P30" s="32"/>
      <c r="Q30" s="33">
        <f t="shared" si="31"/>
        <v>0</v>
      </c>
      <c r="R30" s="32"/>
      <c r="S30" s="33">
        <f t="shared" si="32"/>
        <v>0</v>
      </c>
      <c r="T30" s="32"/>
      <c r="U30" s="33">
        <f t="shared" si="33"/>
        <v>0</v>
      </c>
      <c r="V30" s="28">
        <v>140</v>
      </c>
      <c r="W30" s="33">
        <f t="shared" si="34"/>
        <v>3515217.3913043477</v>
      </c>
      <c r="X30" s="32"/>
      <c r="Y30" s="33">
        <f t="shared" si="35"/>
        <v>0</v>
      </c>
      <c r="Z30" s="31">
        <f t="shared" si="36"/>
        <v>33313820.391304348</v>
      </c>
      <c r="AA30" s="29">
        <f t="shared" si="37"/>
        <v>2775041.2385956519</v>
      </c>
      <c r="AB30" s="29">
        <f t="shared" si="37"/>
        <v>333138.20391304349</v>
      </c>
      <c r="AC30" s="29">
        <f t="shared" si="37"/>
        <v>2775041.2385956519</v>
      </c>
      <c r="AD30" s="29">
        <f t="shared" si="38"/>
        <v>1295702.8333173913</v>
      </c>
      <c r="AE30" s="29">
        <f t="shared" si="38"/>
        <v>3728641.2469565216</v>
      </c>
      <c r="AF30" s="29">
        <f t="shared" si="38"/>
        <v>2162611.9232347826</v>
      </c>
      <c r="AG30" s="29">
        <f>($Z30-$K30+AD30)*AG$7</f>
        <v>1294708.5289848696</v>
      </c>
      <c r="AH30" s="31">
        <f t="shared" si="40"/>
        <v>47678705.604902253</v>
      </c>
      <c r="AI30" s="34"/>
      <c r="AJ30" s="35">
        <v>1</v>
      </c>
      <c r="AK30" s="35">
        <v>1</v>
      </c>
      <c r="AL30" s="35">
        <v>1</v>
      </c>
      <c r="AM30" s="35">
        <v>1</v>
      </c>
      <c r="AN30" s="35">
        <v>1</v>
      </c>
      <c r="AO30" s="35">
        <v>1</v>
      </c>
      <c r="AP30" s="35">
        <v>1</v>
      </c>
      <c r="AQ30" s="35">
        <v>1</v>
      </c>
      <c r="AR30" s="35">
        <v>1</v>
      </c>
      <c r="AS30" s="35">
        <v>1</v>
      </c>
      <c r="AT30" s="1">
        <f t="shared" si="42"/>
        <v>10</v>
      </c>
      <c r="AV30" s="1">
        <f t="shared" si="44"/>
        <v>30</v>
      </c>
      <c r="AW30" s="1">
        <f t="shared" si="44"/>
        <v>30</v>
      </c>
      <c r="AX30" s="1">
        <f t="shared" si="44"/>
        <v>30</v>
      </c>
      <c r="AY30" s="1">
        <f t="shared" si="44"/>
        <v>30</v>
      </c>
      <c r="AZ30" s="1">
        <f t="shared" si="44"/>
        <v>30</v>
      </c>
      <c r="BA30" s="1">
        <f t="shared" si="44"/>
        <v>30</v>
      </c>
      <c r="BB30" s="1">
        <f t="shared" si="44"/>
        <v>30</v>
      </c>
      <c r="BC30" s="1">
        <f t="shared" si="44"/>
        <v>30</v>
      </c>
      <c r="BD30" s="1">
        <f t="shared" si="44"/>
        <v>30</v>
      </c>
      <c r="BE30" s="1">
        <f t="shared" si="41"/>
        <v>270</v>
      </c>
    </row>
    <row r="31" spans="1:57" outlineLevel="1" x14ac:dyDescent="0.2">
      <c r="A31" s="241"/>
      <c r="B31" s="25" t="s">
        <v>73</v>
      </c>
      <c r="C31" s="26" t="s">
        <v>74</v>
      </c>
      <c r="D31" s="27">
        <v>1</v>
      </c>
      <c r="E31" s="28">
        <f t="shared" si="24"/>
        <v>270</v>
      </c>
      <c r="F31" s="29">
        <f>_xlfn.XLOOKUP(C31,[5]Salarios!B:B,[5]Salarios!C:C)</f>
        <v>1790250</v>
      </c>
      <c r="G31" s="29">
        <f>+$F31/30</f>
        <v>59675</v>
      </c>
      <c r="H31" s="29">
        <f t="shared" si="26"/>
        <v>7783.695652173913</v>
      </c>
      <c r="I31" s="79">
        <f t="shared" si="19"/>
        <v>8303</v>
      </c>
      <c r="J31" s="30">
        <f t="shared" si="27"/>
        <v>16112250</v>
      </c>
      <c r="K31" s="31">
        <f t="shared" si="43"/>
        <v>2241810</v>
      </c>
      <c r="L31" s="32"/>
      <c r="M31" s="33">
        <f t="shared" si="29"/>
        <v>0</v>
      </c>
      <c r="N31" s="32"/>
      <c r="O31" s="33">
        <f t="shared" si="30"/>
        <v>0</v>
      </c>
      <c r="P31" s="32"/>
      <c r="Q31" s="33">
        <f t="shared" si="31"/>
        <v>0</v>
      </c>
      <c r="R31" s="32"/>
      <c r="S31" s="33">
        <f t="shared" si="32"/>
        <v>0</v>
      </c>
      <c r="T31" s="32"/>
      <c r="U31" s="33">
        <f t="shared" si="33"/>
        <v>0</v>
      </c>
      <c r="V31" s="32"/>
      <c r="W31" s="33">
        <f t="shared" si="34"/>
        <v>0</v>
      </c>
      <c r="X31" s="32"/>
      <c r="Y31" s="33">
        <f t="shared" si="35"/>
        <v>0</v>
      </c>
      <c r="Z31" s="31">
        <f t="shared" si="36"/>
        <v>18354060</v>
      </c>
      <c r="AA31" s="29">
        <f t="shared" si="37"/>
        <v>1528893.1980000001</v>
      </c>
      <c r="AB31" s="29">
        <f t="shared" si="37"/>
        <v>183540.6</v>
      </c>
      <c r="AC31" s="29">
        <f t="shared" si="37"/>
        <v>1528893.1980000001</v>
      </c>
      <c r="AD31" s="29">
        <f t="shared" si="38"/>
        <v>671880.82500000007</v>
      </c>
      <c r="AE31" s="29">
        <f t="shared" si="38"/>
        <v>1933470</v>
      </c>
      <c r="AF31" s="29">
        <f t="shared" si="38"/>
        <v>1121412.5999999999</v>
      </c>
      <c r="AG31" s="29">
        <f>($Z31-$K31+AD31)*AG$7</f>
        <v>671365.23300000001</v>
      </c>
      <c r="AH31" s="31">
        <f t="shared" si="40"/>
        <v>25993515.653999999</v>
      </c>
      <c r="AI31" s="34"/>
      <c r="AJ31" s="35">
        <v>1</v>
      </c>
      <c r="AK31" s="35">
        <v>1</v>
      </c>
      <c r="AL31" s="35">
        <v>1</v>
      </c>
      <c r="AM31" s="35">
        <v>1</v>
      </c>
      <c r="AN31" s="35">
        <v>1</v>
      </c>
      <c r="AO31" s="35">
        <v>1</v>
      </c>
      <c r="AP31" s="35">
        <v>1</v>
      </c>
      <c r="AQ31" s="35">
        <v>1</v>
      </c>
      <c r="AR31" s="35">
        <v>1</v>
      </c>
      <c r="AS31" s="35">
        <v>1</v>
      </c>
      <c r="AT31" s="1">
        <f t="shared" si="42"/>
        <v>10</v>
      </c>
      <c r="AV31" s="1">
        <f t="shared" si="44"/>
        <v>30</v>
      </c>
      <c r="AW31" s="1">
        <f t="shared" si="44"/>
        <v>30</v>
      </c>
      <c r="AX31" s="1">
        <f t="shared" si="44"/>
        <v>30</v>
      </c>
      <c r="AY31" s="1">
        <f t="shared" si="44"/>
        <v>30</v>
      </c>
      <c r="AZ31" s="1">
        <f t="shared" si="44"/>
        <v>30</v>
      </c>
      <c r="BA31" s="1">
        <f t="shared" si="44"/>
        <v>30</v>
      </c>
      <c r="BB31" s="1">
        <f t="shared" si="44"/>
        <v>30</v>
      </c>
      <c r="BC31" s="1">
        <f t="shared" si="44"/>
        <v>30</v>
      </c>
      <c r="BD31" s="1">
        <f t="shared" si="44"/>
        <v>30</v>
      </c>
      <c r="BE31" s="1">
        <f t="shared" si="41"/>
        <v>270</v>
      </c>
    </row>
    <row r="32" spans="1:57" ht="12" x14ac:dyDescent="0.2">
      <c r="A32" s="17"/>
      <c r="B32" s="18" t="s">
        <v>75</v>
      </c>
      <c r="C32" s="19"/>
      <c r="D32" s="1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21">
        <f>SUBTOTAL(9,AH33:AH40)</f>
        <v>452708442.99000007</v>
      </c>
      <c r="AI32" s="21"/>
      <c r="AJ32" s="23">
        <f t="shared" ref="AJ32:AS32" si="45">SUBTOTAL(9,AJ33:AJ40)</f>
        <v>11</v>
      </c>
      <c r="AK32" s="23">
        <f t="shared" si="45"/>
        <v>14</v>
      </c>
      <c r="AL32" s="23">
        <f t="shared" si="45"/>
        <v>14</v>
      </c>
      <c r="AM32" s="23">
        <f t="shared" si="45"/>
        <v>14</v>
      </c>
      <c r="AN32" s="23">
        <f t="shared" si="45"/>
        <v>14</v>
      </c>
      <c r="AO32" s="23">
        <f t="shared" si="45"/>
        <v>14</v>
      </c>
      <c r="AP32" s="23">
        <f t="shared" si="45"/>
        <v>14</v>
      </c>
      <c r="AQ32" s="23">
        <f t="shared" si="45"/>
        <v>14</v>
      </c>
      <c r="AR32" s="23">
        <f t="shared" si="45"/>
        <v>14</v>
      </c>
      <c r="AS32" s="23">
        <f t="shared" si="45"/>
        <v>14</v>
      </c>
    </row>
    <row r="33" spans="1:57" outlineLevel="1" x14ac:dyDescent="0.2">
      <c r="A33" s="236" t="s">
        <v>45</v>
      </c>
      <c r="B33" s="25" t="s">
        <v>64</v>
      </c>
      <c r="C33" s="26" t="s">
        <v>65</v>
      </c>
      <c r="D33" s="27">
        <v>1</v>
      </c>
      <c r="E33" s="28">
        <f t="shared" ref="E33:E40" si="46">+BE33</f>
        <v>270</v>
      </c>
      <c r="F33" s="29">
        <f>_xlfn.XLOOKUP(C33,[5]Salarios!B:B,[5]Salarios!C:C)</f>
        <v>3984750</v>
      </c>
      <c r="G33" s="29">
        <f t="shared" ref="G33:G40" si="47">+$F33/30</f>
        <v>132825</v>
      </c>
      <c r="H33" s="29">
        <f t="shared" ref="H33:H40" si="48">+$F33/230</f>
        <v>17325</v>
      </c>
      <c r="I33" s="79">
        <f t="shared" si="19"/>
        <v>0</v>
      </c>
      <c r="J33" s="30">
        <f t="shared" ref="J33:J40" si="49">+D33*E33*G33</f>
        <v>35862750</v>
      </c>
      <c r="K33" s="31">
        <f t="shared" ref="K33:K40" si="50">+D33*E33*I33</f>
        <v>0</v>
      </c>
      <c r="L33" s="32"/>
      <c r="M33" s="33">
        <f t="shared" ref="M33:M40" si="51">ROUND($H33*L33*M$7,0)</f>
        <v>0</v>
      </c>
      <c r="N33" s="32"/>
      <c r="O33" s="33">
        <f t="shared" ref="O33:O40" si="52">+$H33*N33*O$7</f>
        <v>0</v>
      </c>
      <c r="P33" s="32"/>
      <c r="Q33" s="33">
        <f t="shared" ref="Q33:Q40" si="53">+$H33*P33*Q$7</f>
        <v>0</v>
      </c>
      <c r="R33" s="32"/>
      <c r="S33" s="33">
        <f t="shared" ref="S33:S40" si="54">+$H33*R33*S$7</f>
        <v>0</v>
      </c>
      <c r="T33" s="32"/>
      <c r="U33" s="33">
        <f t="shared" ref="U33:U40" si="55">+$H33*T33*U$7</f>
        <v>0</v>
      </c>
      <c r="V33" s="32"/>
      <c r="W33" s="33">
        <f t="shared" ref="W33:W40" si="56">+$H33*V33*W$7</f>
        <v>0</v>
      </c>
      <c r="X33" s="32"/>
      <c r="Y33" s="33">
        <f t="shared" ref="Y33:Y40" si="57">+$H33*X33*Y$7</f>
        <v>0</v>
      </c>
      <c r="Z33" s="31">
        <f t="shared" ref="Z33:Z40" si="58">+J33+K33+M33+O33+Q33+S33+U33+W33+Y33</f>
        <v>35862750</v>
      </c>
      <c r="AA33" s="29">
        <f t="shared" ref="AA33:AC40" si="59">+$Z33*AA$7</f>
        <v>2987367.0750000002</v>
      </c>
      <c r="AB33" s="29">
        <f t="shared" si="59"/>
        <v>358627.5</v>
      </c>
      <c r="AC33" s="29">
        <f t="shared" si="59"/>
        <v>2987367.0750000002</v>
      </c>
      <c r="AD33" s="29">
        <f t="shared" ref="AD33:AF40" si="60">($Z33-$K33)*AD$7</f>
        <v>1495476.675</v>
      </c>
      <c r="AE33" s="29">
        <f t="shared" si="60"/>
        <v>4303530</v>
      </c>
      <c r="AF33" s="29">
        <f t="shared" si="60"/>
        <v>2496047.4</v>
      </c>
      <c r="AG33" s="29">
        <f t="shared" ref="AG33:AG40" si="61">($Z33-$K33+AD33)*AG$7</f>
        <v>1494329.0669999998</v>
      </c>
      <c r="AH33" s="31">
        <f t="shared" ref="AH33:AH40" si="62">SUM(Z33:AG33)</f>
        <v>51985494.792000003</v>
      </c>
      <c r="AI33" s="34"/>
      <c r="AJ33" s="35">
        <v>1</v>
      </c>
      <c r="AK33" s="35">
        <v>1</v>
      </c>
      <c r="AL33" s="35">
        <v>1</v>
      </c>
      <c r="AM33" s="35">
        <v>1</v>
      </c>
      <c r="AN33" s="35">
        <v>1</v>
      </c>
      <c r="AO33" s="35">
        <v>1</v>
      </c>
      <c r="AP33" s="35">
        <v>1</v>
      </c>
      <c r="AQ33" s="35">
        <v>1</v>
      </c>
      <c r="AR33" s="35">
        <v>1</v>
      </c>
      <c r="AS33" s="35">
        <v>1</v>
      </c>
      <c r="AT33" s="1">
        <f>COUNT(AJ33:AS33)</f>
        <v>10</v>
      </c>
      <c r="AV33" s="1">
        <f t="shared" si="44"/>
        <v>30</v>
      </c>
      <c r="AW33" s="1">
        <f t="shared" si="44"/>
        <v>30</v>
      </c>
      <c r="AX33" s="1">
        <f t="shared" si="44"/>
        <v>30</v>
      </c>
      <c r="AY33" s="1">
        <f t="shared" si="44"/>
        <v>30</v>
      </c>
      <c r="AZ33" s="1">
        <f t="shared" si="44"/>
        <v>30</v>
      </c>
      <c r="BA33" s="1">
        <f t="shared" si="44"/>
        <v>30</v>
      </c>
      <c r="BB33" s="1">
        <f t="shared" si="44"/>
        <v>30</v>
      </c>
      <c r="BC33" s="1">
        <f t="shared" si="44"/>
        <v>30</v>
      </c>
      <c r="BD33" s="1">
        <f t="shared" si="44"/>
        <v>30</v>
      </c>
      <c r="BE33" s="1">
        <f t="shared" ref="BE33:BE42" si="63">SUM(AU33:BD33)</f>
        <v>270</v>
      </c>
    </row>
    <row r="34" spans="1:57" outlineLevel="1" x14ac:dyDescent="0.2">
      <c r="A34" s="236"/>
      <c r="B34" s="25" t="s">
        <v>76</v>
      </c>
      <c r="C34" s="26" t="s">
        <v>49</v>
      </c>
      <c r="D34" s="27">
        <v>2</v>
      </c>
      <c r="E34" s="28">
        <f t="shared" si="46"/>
        <v>270</v>
      </c>
      <c r="F34" s="29">
        <f>_xlfn.XLOOKUP(C34,[5]Salarios!B:B,[5]Salarios!C:C)</f>
        <v>2021250</v>
      </c>
      <c r="G34" s="29">
        <f t="shared" si="47"/>
        <v>67375</v>
      </c>
      <c r="H34" s="29">
        <f t="shared" si="48"/>
        <v>8788.04347826087</v>
      </c>
      <c r="I34" s="79">
        <f t="shared" si="19"/>
        <v>8303</v>
      </c>
      <c r="J34" s="30">
        <f t="shared" si="49"/>
        <v>36382500</v>
      </c>
      <c r="K34" s="31">
        <f t="shared" si="50"/>
        <v>4483620</v>
      </c>
      <c r="L34" s="32"/>
      <c r="M34" s="33">
        <f t="shared" si="51"/>
        <v>0</v>
      </c>
      <c r="N34" s="32"/>
      <c r="O34" s="33">
        <f t="shared" si="52"/>
        <v>0</v>
      </c>
      <c r="P34" s="32"/>
      <c r="Q34" s="33">
        <f t="shared" si="53"/>
        <v>0</v>
      </c>
      <c r="R34" s="32"/>
      <c r="S34" s="33">
        <f t="shared" si="54"/>
        <v>0</v>
      </c>
      <c r="T34" s="32"/>
      <c r="U34" s="33">
        <f t="shared" si="55"/>
        <v>0</v>
      </c>
      <c r="V34" s="32"/>
      <c r="W34" s="33">
        <f t="shared" si="56"/>
        <v>0</v>
      </c>
      <c r="X34" s="32"/>
      <c r="Y34" s="33">
        <f t="shared" si="57"/>
        <v>0</v>
      </c>
      <c r="Z34" s="31">
        <f t="shared" si="58"/>
        <v>40866120</v>
      </c>
      <c r="AA34" s="29">
        <f t="shared" si="59"/>
        <v>3404147.7960000001</v>
      </c>
      <c r="AB34" s="29">
        <f t="shared" si="59"/>
        <v>408661.2</v>
      </c>
      <c r="AC34" s="29">
        <f t="shared" si="59"/>
        <v>3404147.7960000001</v>
      </c>
      <c r="AD34" s="29">
        <f t="shared" si="60"/>
        <v>1517150.25</v>
      </c>
      <c r="AE34" s="29">
        <f t="shared" si="60"/>
        <v>4365900</v>
      </c>
      <c r="AF34" s="29">
        <f t="shared" si="60"/>
        <v>2532222</v>
      </c>
      <c r="AG34" s="29">
        <f t="shared" si="61"/>
        <v>1515986.01</v>
      </c>
      <c r="AH34" s="31">
        <f t="shared" si="62"/>
        <v>58014335.052000009</v>
      </c>
      <c r="AI34" s="34"/>
      <c r="AJ34" s="35">
        <v>2</v>
      </c>
      <c r="AK34" s="35">
        <v>2</v>
      </c>
      <c r="AL34" s="35">
        <v>2</v>
      </c>
      <c r="AM34" s="35">
        <v>2</v>
      </c>
      <c r="AN34" s="35">
        <v>2</v>
      </c>
      <c r="AO34" s="35">
        <v>2</v>
      </c>
      <c r="AP34" s="35">
        <v>2</v>
      </c>
      <c r="AQ34" s="35">
        <v>2</v>
      </c>
      <c r="AR34" s="35">
        <v>2</v>
      </c>
      <c r="AS34" s="35">
        <v>2</v>
      </c>
      <c r="AT34" s="1">
        <f t="shared" ref="AT34:AT40" si="64">COUNT(AJ34:AS34)</f>
        <v>10</v>
      </c>
      <c r="AV34" s="1">
        <f t="shared" si="44"/>
        <v>30</v>
      </c>
      <c r="AW34" s="1">
        <f t="shared" si="44"/>
        <v>30</v>
      </c>
      <c r="AX34" s="1">
        <f t="shared" si="44"/>
        <v>30</v>
      </c>
      <c r="AY34" s="1">
        <f t="shared" si="44"/>
        <v>30</v>
      </c>
      <c r="AZ34" s="1">
        <f t="shared" si="44"/>
        <v>30</v>
      </c>
      <c r="BA34" s="1">
        <f t="shared" si="44"/>
        <v>30</v>
      </c>
      <c r="BB34" s="1">
        <f t="shared" si="44"/>
        <v>30</v>
      </c>
      <c r="BC34" s="1">
        <f t="shared" si="44"/>
        <v>30</v>
      </c>
      <c r="BD34" s="1">
        <f t="shared" si="44"/>
        <v>30</v>
      </c>
      <c r="BE34" s="1">
        <f t="shared" si="63"/>
        <v>270</v>
      </c>
    </row>
    <row r="35" spans="1:57" outlineLevel="1" x14ac:dyDescent="0.2">
      <c r="A35" s="24"/>
      <c r="B35" s="25" t="s">
        <v>77</v>
      </c>
      <c r="C35" s="26" t="s">
        <v>49</v>
      </c>
      <c r="D35" s="27">
        <v>2</v>
      </c>
      <c r="E35" s="28">
        <f>+BE35</f>
        <v>270</v>
      </c>
      <c r="F35" s="29">
        <f>_xlfn.XLOOKUP(C35,[5]Salarios!B:B,[5]Salarios!C:C)</f>
        <v>2021250</v>
      </c>
      <c r="G35" s="29">
        <f t="shared" si="47"/>
        <v>67375</v>
      </c>
      <c r="H35" s="29">
        <f t="shared" si="48"/>
        <v>8788.04347826087</v>
      </c>
      <c r="I35" s="79">
        <f t="shared" si="19"/>
        <v>8303</v>
      </c>
      <c r="J35" s="30">
        <f t="shared" si="49"/>
        <v>36382500</v>
      </c>
      <c r="K35" s="31">
        <f t="shared" si="50"/>
        <v>4483620</v>
      </c>
      <c r="L35" s="32"/>
      <c r="M35" s="33">
        <f>ROUND($H35*L35*M$7,0)</f>
        <v>0</v>
      </c>
      <c r="N35" s="32"/>
      <c r="O35" s="33">
        <f>+$H35*N35*O$7</f>
        <v>0</v>
      </c>
      <c r="P35" s="32"/>
      <c r="Q35" s="33">
        <f>+$H35*P35*Q$7</f>
        <v>0</v>
      </c>
      <c r="R35" s="32"/>
      <c r="S35" s="33">
        <f>+$H35*R35*S$7</f>
        <v>0</v>
      </c>
      <c r="T35" s="32"/>
      <c r="U35" s="33">
        <f>+$H35*T35*U$7</f>
        <v>0</v>
      </c>
      <c r="V35" s="32"/>
      <c r="W35" s="33">
        <f>+$H35*V35*W$7</f>
        <v>0</v>
      </c>
      <c r="X35" s="32"/>
      <c r="Y35" s="33">
        <f>+$H35*X35*Y$7</f>
        <v>0</v>
      </c>
      <c r="Z35" s="31">
        <f t="shared" si="58"/>
        <v>40866120</v>
      </c>
      <c r="AA35" s="29">
        <f t="shared" si="59"/>
        <v>3404147.7960000001</v>
      </c>
      <c r="AB35" s="29">
        <f t="shared" si="59"/>
        <v>408661.2</v>
      </c>
      <c r="AC35" s="29">
        <f t="shared" si="59"/>
        <v>3404147.7960000001</v>
      </c>
      <c r="AD35" s="29">
        <f t="shared" si="60"/>
        <v>1517150.25</v>
      </c>
      <c r="AE35" s="29">
        <f t="shared" si="60"/>
        <v>4365900</v>
      </c>
      <c r="AF35" s="29">
        <f t="shared" si="60"/>
        <v>2532222</v>
      </c>
      <c r="AG35" s="29">
        <f>($Z35-$K35+AD35)*AG$7</f>
        <v>1515986.01</v>
      </c>
      <c r="AH35" s="31">
        <f>SUM(Z35:AG35)</f>
        <v>58014335.052000009</v>
      </c>
      <c r="AI35" s="34"/>
      <c r="AJ35" s="35">
        <v>2</v>
      </c>
      <c r="AK35" s="35">
        <v>2</v>
      </c>
      <c r="AL35" s="35">
        <v>2</v>
      </c>
      <c r="AM35" s="35">
        <v>2</v>
      </c>
      <c r="AN35" s="35">
        <v>2</v>
      </c>
      <c r="AO35" s="35">
        <v>2</v>
      </c>
      <c r="AP35" s="35">
        <v>2</v>
      </c>
      <c r="AQ35" s="35">
        <v>2</v>
      </c>
      <c r="AR35" s="35">
        <v>2</v>
      </c>
      <c r="AS35" s="35">
        <v>2</v>
      </c>
      <c r="AT35" s="1">
        <f t="shared" si="64"/>
        <v>10</v>
      </c>
      <c r="AV35" s="1">
        <f t="shared" si="44"/>
        <v>30</v>
      </c>
      <c r="AW35" s="1">
        <f t="shared" si="44"/>
        <v>30</v>
      </c>
      <c r="AX35" s="1">
        <f t="shared" si="44"/>
        <v>30</v>
      </c>
      <c r="AY35" s="1">
        <f t="shared" si="44"/>
        <v>30</v>
      </c>
      <c r="AZ35" s="1">
        <f t="shared" si="44"/>
        <v>30</v>
      </c>
      <c r="BA35" s="1">
        <f t="shared" si="44"/>
        <v>30</v>
      </c>
      <c r="BB35" s="1">
        <f t="shared" si="44"/>
        <v>30</v>
      </c>
      <c r="BC35" s="1">
        <f t="shared" si="44"/>
        <v>30</v>
      </c>
      <c r="BD35" s="1">
        <f t="shared" si="44"/>
        <v>30</v>
      </c>
      <c r="BE35" s="1">
        <f t="shared" si="63"/>
        <v>270</v>
      </c>
    </row>
    <row r="36" spans="1:57" outlineLevel="1" x14ac:dyDescent="0.2">
      <c r="A36" s="236" t="s">
        <v>52</v>
      </c>
      <c r="B36" s="25" t="s">
        <v>53</v>
      </c>
      <c r="C36" s="26" t="s">
        <v>54</v>
      </c>
      <c r="D36" s="27">
        <v>1</v>
      </c>
      <c r="E36" s="28">
        <f t="shared" si="46"/>
        <v>270</v>
      </c>
      <c r="F36" s="29">
        <f>_xlfn.XLOOKUP(C36,[5]Salarios!B:B,[5]Salarios!C:C)</f>
        <v>2887500</v>
      </c>
      <c r="G36" s="29">
        <f t="shared" si="47"/>
        <v>96250</v>
      </c>
      <c r="H36" s="29">
        <f t="shared" si="48"/>
        <v>12554.347826086956</v>
      </c>
      <c r="I36" s="79">
        <f t="shared" si="19"/>
        <v>8303</v>
      </c>
      <c r="J36" s="30">
        <f t="shared" si="49"/>
        <v>25987500</v>
      </c>
      <c r="K36" s="31">
        <f t="shared" si="50"/>
        <v>2241810</v>
      </c>
      <c r="L36" s="32"/>
      <c r="M36" s="33">
        <f t="shared" si="51"/>
        <v>0</v>
      </c>
      <c r="N36" s="32"/>
      <c r="O36" s="33">
        <f t="shared" si="52"/>
        <v>0</v>
      </c>
      <c r="P36" s="32"/>
      <c r="Q36" s="33">
        <f t="shared" si="53"/>
        <v>0</v>
      </c>
      <c r="R36" s="32"/>
      <c r="S36" s="33">
        <f t="shared" si="54"/>
        <v>0</v>
      </c>
      <c r="T36" s="32"/>
      <c r="U36" s="33">
        <f t="shared" si="55"/>
        <v>0</v>
      </c>
      <c r="V36" s="32"/>
      <c r="W36" s="33">
        <f t="shared" si="56"/>
        <v>0</v>
      </c>
      <c r="X36" s="32"/>
      <c r="Y36" s="33">
        <f t="shared" si="57"/>
        <v>0</v>
      </c>
      <c r="Z36" s="31">
        <f t="shared" si="58"/>
        <v>28229310</v>
      </c>
      <c r="AA36" s="29">
        <f t="shared" si="59"/>
        <v>2351501.523</v>
      </c>
      <c r="AB36" s="29">
        <f t="shared" si="59"/>
        <v>282293.10000000003</v>
      </c>
      <c r="AC36" s="29">
        <f t="shared" si="59"/>
        <v>2351501.523</v>
      </c>
      <c r="AD36" s="29">
        <f t="shared" si="60"/>
        <v>1083678.75</v>
      </c>
      <c r="AE36" s="29">
        <f t="shared" si="60"/>
        <v>3118500</v>
      </c>
      <c r="AF36" s="29">
        <f t="shared" si="60"/>
        <v>1808729.9999999998</v>
      </c>
      <c r="AG36" s="29">
        <f t="shared" si="61"/>
        <v>1082847.1499999999</v>
      </c>
      <c r="AH36" s="31">
        <f t="shared" si="62"/>
        <v>40308362.046000004</v>
      </c>
      <c r="AI36" s="34"/>
      <c r="AJ36" s="35">
        <v>1</v>
      </c>
      <c r="AK36" s="35">
        <v>1</v>
      </c>
      <c r="AL36" s="35">
        <v>1</v>
      </c>
      <c r="AM36" s="35">
        <v>1</v>
      </c>
      <c r="AN36" s="35">
        <v>1</v>
      </c>
      <c r="AO36" s="35">
        <v>1</v>
      </c>
      <c r="AP36" s="35">
        <v>1</v>
      </c>
      <c r="AQ36" s="35">
        <v>1</v>
      </c>
      <c r="AR36" s="35">
        <v>1</v>
      </c>
      <c r="AS36" s="35">
        <v>1</v>
      </c>
      <c r="AT36" s="1">
        <f t="shared" si="64"/>
        <v>10</v>
      </c>
      <c r="AV36" s="1">
        <f t="shared" si="44"/>
        <v>30</v>
      </c>
      <c r="AW36" s="1">
        <f t="shared" si="44"/>
        <v>30</v>
      </c>
      <c r="AX36" s="1">
        <f t="shared" si="44"/>
        <v>30</v>
      </c>
      <c r="AY36" s="1">
        <f t="shared" si="44"/>
        <v>30</v>
      </c>
      <c r="AZ36" s="1">
        <f t="shared" si="44"/>
        <v>30</v>
      </c>
      <c r="BA36" s="1">
        <f t="shared" si="44"/>
        <v>30</v>
      </c>
      <c r="BB36" s="1">
        <f t="shared" si="44"/>
        <v>30</v>
      </c>
      <c r="BC36" s="1">
        <f t="shared" si="44"/>
        <v>30</v>
      </c>
      <c r="BD36" s="1">
        <f t="shared" si="44"/>
        <v>30</v>
      </c>
      <c r="BE36" s="1">
        <f t="shared" si="63"/>
        <v>270</v>
      </c>
    </row>
    <row r="37" spans="1:57" outlineLevel="1" x14ac:dyDescent="0.2">
      <c r="A37" s="236"/>
      <c r="B37" s="25" t="s">
        <v>78</v>
      </c>
      <c r="C37" s="26" t="s">
        <v>49</v>
      </c>
      <c r="D37" s="27">
        <v>4</v>
      </c>
      <c r="E37" s="28">
        <f t="shared" si="46"/>
        <v>270</v>
      </c>
      <c r="F37" s="29">
        <f>_xlfn.XLOOKUP(C37,[5]Salarios!B:B,[5]Salarios!C:C)</f>
        <v>2021250</v>
      </c>
      <c r="G37" s="29">
        <f t="shared" si="47"/>
        <v>67375</v>
      </c>
      <c r="H37" s="29">
        <f t="shared" si="48"/>
        <v>8788.04347826087</v>
      </c>
      <c r="I37" s="79">
        <f t="shared" si="19"/>
        <v>8303</v>
      </c>
      <c r="J37" s="30">
        <f t="shared" si="49"/>
        <v>72765000</v>
      </c>
      <c r="K37" s="31">
        <f t="shared" si="50"/>
        <v>8967240</v>
      </c>
      <c r="L37" s="32"/>
      <c r="M37" s="33">
        <f t="shared" si="51"/>
        <v>0</v>
      </c>
      <c r="N37" s="32"/>
      <c r="O37" s="33">
        <f t="shared" si="52"/>
        <v>0</v>
      </c>
      <c r="P37" s="32"/>
      <c r="Q37" s="33">
        <f t="shared" si="53"/>
        <v>0</v>
      </c>
      <c r="R37" s="32"/>
      <c r="S37" s="33">
        <f t="shared" si="54"/>
        <v>0</v>
      </c>
      <c r="T37" s="32"/>
      <c r="U37" s="33">
        <f t="shared" si="55"/>
        <v>0</v>
      </c>
      <c r="V37" s="32"/>
      <c r="W37" s="33">
        <f t="shared" si="56"/>
        <v>0</v>
      </c>
      <c r="X37" s="32"/>
      <c r="Y37" s="33">
        <f t="shared" si="57"/>
        <v>0</v>
      </c>
      <c r="Z37" s="31">
        <f t="shared" si="58"/>
        <v>81732240</v>
      </c>
      <c r="AA37" s="29">
        <f t="shared" si="59"/>
        <v>6808295.5920000002</v>
      </c>
      <c r="AB37" s="29">
        <f t="shared" si="59"/>
        <v>817322.4</v>
      </c>
      <c r="AC37" s="29">
        <f t="shared" si="59"/>
        <v>6808295.5920000002</v>
      </c>
      <c r="AD37" s="29">
        <f t="shared" si="60"/>
        <v>3034300.5</v>
      </c>
      <c r="AE37" s="29">
        <f t="shared" si="60"/>
        <v>8731800</v>
      </c>
      <c r="AF37" s="29">
        <f t="shared" si="60"/>
        <v>5064444</v>
      </c>
      <c r="AG37" s="29">
        <f t="shared" si="61"/>
        <v>3031972.02</v>
      </c>
      <c r="AH37" s="31">
        <f t="shared" si="62"/>
        <v>116028670.10400002</v>
      </c>
      <c r="AI37" s="34"/>
      <c r="AJ37" s="35">
        <v>4</v>
      </c>
      <c r="AK37" s="35">
        <v>4</v>
      </c>
      <c r="AL37" s="35">
        <v>4</v>
      </c>
      <c r="AM37" s="35">
        <v>4</v>
      </c>
      <c r="AN37" s="35">
        <v>4</v>
      </c>
      <c r="AO37" s="35">
        <v>4</v>
      </c>
      <c r="AP37" s="35">
        <v>4</v>
      </c>
      <c r="AQ37" s="35">
        <v>4</v>
      </c>
      <c r="AR37" s="35">
        <v>4</v>
      </c>
      <c r="AS37" s="35">
        <v>4</v>
      </c>
      <c r="AT37" s="1">
        <f t="shared" si="64"/>
        <v>10</v>
      </c>
      <c r="AV37" s="1">
        <f t="shared" si="44"/>
        <v>30</v>
      </c>
      <c r="AW37" s="1">
        <f t="shared" si="44"/>
        <v>30</v>
      </c>
      <c r="AX37" s="1">
        <f t="shared" si="44"/>
        <v>30</v>
      </c>
      <c r="AY37" s="1">
        <f t="shared" si="44"/>
        <v>30</v>
      </c>
      <c r="AZ37" s="1">
        <f t="shared" si="44"/>
        <v>30</v>
      </c>
      <c r="BA37" s="1">
        <f t="shared" si="44"/>
        <v>30</v>
      </c>
      <c r="BB37" s="1">
        <f t="shared" si="44"/>
        <v>30</v>
      </c>
      <c r="BC37" s="1">
        <f t="shared" si="44"/>
        <v>30</v>
      </c>
      <c r="BD37" s="1">
        <f t="shared" si="44"/>
        <v>30</v>
      </c>
      <c r="BE37" s="1">
        <f t="shared" si="63"/>
        <v>270</v>
      </c>
    </row>
    <row r="38" spans="1:57" outlineLevel="1" x14ac:dyDescent="0.2">
      <c r="A38" s="36"/>
      <c r="B38" s="25" t="s">
        <v>79</v>
      </c>
      <c r="C38" s="26" t="s">
        <v>54</v>
      </c>
      <c r="D38" s="27">
        <v>1</v>
      </c>
      <c r="E38" s="28">
        <f>+BE38</f>
        <v>270</v>
      </c>
      <c r="F38" s="29">
        <f>_xlfn.XLOOKUP(C38,[5]Salarios!B:B,[5]Salarios!C:C)</f>
        <v>2887500</v>
      </c>
      <c r="G38" s="29">
        <f t="shared" si="47"/>
        <v>96250</v>
      </c>
      <c r="H38" s="29">
        <f t="shared" si="48"/>
        <v>12554.347826086956</v>
      </c>
      <c r="I38" s="79">
        <f t="shared" si="19"/>
        <v>8303</v>
      </c>
      <c r="J38" s="30">
        <f t="shared" si="49"/>
        <v>25987500</v>
      </c>
      <c r="K38" s="31">
        <f t="shared" si="50"/>
        <v>2241810</v>
      </c>
      <c r="L38" s="32"/>
      <c r="M38" s="33">
        <f>ROUND($H38*L38*M$7,0)</f>
        <v>0</v>
      </c>
      <c r="N38" s="32"/>
      <c r="O38" s="33">
        <f>+$H38*N38*O$7</f>
        <v>0</v>
      </c>
      <c r="P38" s="32"/>
      <c r="Q38" s="33">
        <f>+$H38*P38*Q$7</f>
        <v>0</v>
      </c>
      <c r="R38" s="32"/>
      <c r="S38" s="33">
        <f>+$H38*R38*S$7</f>
        <v>0</v>
      </c>
      <c r="T38" s="32"/>
      <c r="U38" s="33">
        <f>+$H38*T38*U$7</f>
        <v>0</v>
      </c>
      <c r="V38" s="32"/>
      <c r="W38" s="33">
        <f>+$H38*V38*W$7</f>
        <v>0</v>
      </c>
      <c r="X38" s="32"/>
      <c r="Y38" s="33">
        <f>+$H38*X38*Y$7</f>
        <v>0</v>
      </c>
      <c r="Z38" s="31">
        <f t="shared" si="58"/>
        <v>28229310</v>
      </c>
      <c r="AA38" s="29">
        <f t="shared" si="59"/>
        <v>2351501.523</v>
      </c>
      <c r="AB38" s="29">
        <f t="shared" si="59"/>
        <v>282293.10000000003</v>
      </c>
      <c r="AC38" s="29">
        <f t="shared" si="59"/>
        <v>2351501.523</v>
      </c>
      <c r="AD38" s="29">
        <f t="shared" si="60"/>
        <v>1083678.75</v>
      </c>
      <c r="AE38" s="29">
        <f t="shared" si="60"/>
        <v>3118500</v>
      </c>
      <c r="AF38" s="29">
        <f t="shared" si="60"/>
        <v>1808729.9999999998</v>
      </c>
      <c r="AG38" s="29">
        <f>($Z38-$K38+AD38)*AG$7</f>
        <v>1082847.1499999999</v>
      </c>
      <c r="AH38" s="31">
        <f>SUM(Z38:AG38)</f>
        <v>40308362.046000004</v>
      </c>
      <c r="AI38" s="34"/>
      <c r="AJ38" s="35"/>
      <c r="AK38" s="35">
        <v>1</v>
      </c>
      <c r="AL38" s="35">
        <v>1</v>
      </c>
      <c r="AM38" s="35">
        <v>1</v>
      </c>
      <c r="AN38" s="35">
        <v>1</v>
      </c>
      <c r="AO38" s="35">
        <v>1</v>
      </c>
      <c r="AP38" s="35">
        <v>1</v>
      </c>
      <c r="AQ38" s="35">
        <v>1</v>
      </c>
      <c r="AR38" s="35">
        <v>1</v>
      </c>
      <c r="AS38" s="35">
        <v>1</v>
      </c>
      <c r="AT38" s="1">
        <f t="shared" si="64"/>
        <v>9</v>
      </c>
      <c r="AV38" s="1">
        <f t="shared" si="44"/>
        <v>30</v>
      </c>
      <c r="AW38" s="1">
        <f t="shared" si="44"/>
        <v>30</v>
      </c>
      <c r="AX38" s="1">
        <f t="shared" si="44"/>
        <v>30</v>
      </c>
      <c r="AY38" s="1">
        <f t="shared" si="44"/>
        <v>30</v>
      </c>
      <c r="AZ38" s="1">
        <f t="shared" si="44"/>
        <v>30</v>
      </c>
      <c r="BA38" s="1">
        <f t="shared" si="44"/>
        <v>30</v>
      </c>
      <c r="BB38" s="1">
        <f t="shared" si="44"/>
        <v>30</v>
      </c>
      <c r="BC38" s="1">
        <f t="shared" si="44"/>
        <v>30</v>
      </c>
      <c r="BD38" s="1">
        <f t="shared" si="44"/>
        <v>30</v>
      </c>
      <c r="BE38" s="1">
        <f t="shared" si="63"/>
        <v>270</v>
      </c>
    </row>
    <row r="39" spans="1:57" outlineLevel="1" x14ac:dyDescent="0.2">
      <c r="A39" s="36"/>
      <c r="B39" s="25" t="s">
        <v>51</v>
      </c>
      <c r="C39" s="26" t="s">
        <v>49</v>
      </c>
      <c r="D39" s="27">
        <v>2</v>
      </c>
      <c r="E39" s="28">
        <f t="shared" si="46"/>
        <v>270</v>
      </c>
      <c r="F39" s="29">
        <f>_xlfn.XLOOKUP(C39,[5]Salarios!B:B,[5]Salarios!C:C)</f>
        <v>2021250</v>
      </c>
      <c r="G39" s="29">
        <f t="shared" si="47"/>
        <v>67375</v>
      </c>
      <c r="H39" s="29">
        <f t="shared" si="48"/>
        <v>8788.04347826087</v>
      </c>
      <c r="I39" s="79">
        <f t="shared" si="19"/>
        <v>8303</v>
      </c>
      <c r="J39" s="30">
        <f t="shared" si="49"/>
        <v>36382500</v>
      </c>
      <c r="K39" s="31">
        <f t="shared" si="50"/>
        <v>4483620</v>
      </c>
      <c r="L39" s="32"/>
      <c r="M39" s="33">
        <f t="shared" si="51"/>
        <v>0</v>
      </c>
      <c r="N39" s="32"/>
      <c r="O39" s="33">
        <f t="shared" si="52"/>
        <v>0</v>
      </c>
      <c r="P39" s="32"/>
      <c r="Q39" s="33">
        <f t="shared" si="53"/>
        <v>0</v>
      </c>
      <c r="R39" s="32"/>
      <c r="S39" s="33">
        <f t="shared" si="54"/>
        <v>0</v>
      </c>
      <c r="T39" s="32"/>
      <c r="U39" s="33">
        <f t="shared" si="55"/>
        <v>0</v>
      </c>
      <c r="V39" s="32"/>
      <c r="W39" s="33">
        <f t="shared" si="56"/>
        <v>0</v>
      </c>
      <c r="X39" s="32"/>
      <c r="Y39" s="33">
        <f t="shared" si="57"/>
        <v>0</v>
      </c>
      <c r="Z39" s="31">
        <f t="shared" si="58"/>
        <v>40866120</v>
      </c>
      <c r="AA39" s="29">
        <f t="shared" si="59"/>
        <v>3404147.7960000001</v>
      </c>
      <c r="AB39" s="29">
        <f t="shared" si="59"/>
        <v>408661.2</v>
      </c>
      <c r="AC39" s="29">
        <f t="shared" si="59"/>
        <v>3404147.7960000001</v>
      </c>
      <c r="AD39" s="29">
        <f t="shared" si="60"/>
        <v>1517150.25</v>
      </c>
      <c r="AE39" s="29">
        <f t="shared" si="60"/>
        <v>4365900</v>
      </c>
      <c r="AF39" s="29">
        <f t="shared" si="60"/>
        <v>2532222</v>
      </c>
      <c r="AG39" s="29">
        <f t="shared" si="61"/>
        <v>1515986.01</v>
      </c>
      <c r="AH39" s="31">
        <f t="shared" si="62"/>
        <v>58014335.052000009</v>
      </c>
      <c r="AI39" s="34"/>
      <c r="AJ39" s="35"/>
      <c r="AK39" s="35">
        <v>2</v>
      </c>
      <c r="AL39" s="35">
        <v>2</v>
      </c>
      <c r="AM39" s="35">
        <v>2</v>
      </c>
      <c r="AN39" s="35">
        <v>2</v>
      </c>
      <c r="AO39" s="35">
        <v>2</v>
      </c>
      <c r="AP39" s="35">
        <v>2</v>
      </c>
      <c r="AQ39" s="35">
        <v>2</v>
      </c>
      <c r="AR39" s="35">
        <v>2</v>
      </c>
      <c r="AS39" s="35">
        <v>2</v>
      </c>
      <c r="AT39" s="1">
        <f t="shared" si="64"/>
        <v>9</v>
      </c>
      <c r="AV39" s="1">
        <f t="shared" si="44"/>
        <v>30</v>
      </c>
      <c r="AW39" s="1">
        <f t="shared" si="44"/>
        <v>30</v>
      </c>
      <c r="AX39" s="1">
        <f t="shared" si="44"/>
        <v>30</v>
      </c>
      <c r="AY39" s="1">
        <f t="shared" si="44"/>
        <v>30</v>
      </c>
      <c r="AZ39" s="1">
        <f t="shared" si="44"/>
        <v>30</v>
      </c>
      <c r="BA39" s="1">
        <f t="shared" si="44"/>
        <v>30</v>
      </c>
      <c r="BB39" s="1">
        <f t="shared" si="44"/>
        <v>30</v>
      </c>
      <c r="BC39" s="1">
        <f t="shared" si="44"/>
        <v>30</v>
      </c>
      <c r="BD39" s="1">
        <f t="shared" si="44"/>
        <v>30</v>
      </c>
      <c r="BE39" s="1">
        <f t="shared" si="63"/>
        <v>270</v>
      </c>
    </row>
    <row r="40" spans="1:57" outlineLevel="1" x14ac:dyDescent="0.2">
      <c r="A40" s="36" t="s">
        <v>61</v>
      </c>
      <c r="B40" s="25" t="s">
        <v>62</v>
      </c>
      <c r="C40" s="26" t="s">
        <v>62</v>
      </c>
      <c r="D40" s="27">
        <v>1</v>
      </c>
      <c r="E40" s="28">
        <f t="shared" si="46"/>
        <v>270</v>
      </c>
      <c r="F40" s="29">
        <f>_xlfn.XLOOKUP(C40,[5]Salarios!B:B,[5]Salarios!C:C)</f>
        <v>2100000</v>
      </c>
      <c r="G40" s="29">
        <f t="shared" si="47"/>
        <v>70000</v>
      </c>
      <c r="H40" s="29">
        <f t="shared" si="48"/>
        <v>9130.434782608696</v>
      </c>
      <c r="I40" s="79">
        <f t="shared" si="19"/>
        <v>8303</v>
      </c>
      <c r="J40" s="30">
        <f t="shared" si="49"/>
        <v>18900000</v>
      </c>
      <c r="K40" s="31">
        <f t="shared" si="50"/>
        <v>2241810</v>
      </c>
      <c r="L40" s="32"/>
      <c r="M40" s="33">
        <f t="shared" si="51"/>
        <v>0</v>
      </c>
      <c r="N40" s="32"/>
      <c r="O40" s="33">
        <f t="shared" si="52"/>
        <v>0</v>
      </c>
      <c r="P40" s="32"/>
      <c r="Q40" s="33">
        <f t="shared" si="53"/>
        <v>0</v>
      </c>
      <c r="R40" s="32"/>
      <c r="S40" s="33">
        <f t="shared" si="54"/>
        <v>0</v>
      </c>
      <c r="T40" s="32"/>
      <c r="U40" s="33">
        <f t="shared" si="55"/>
        <v>0</v>
      </c>
      <c r="V40" s="32"/>
      <c r="W40" s="33">
        <f t="shared" si="56"/>
        <v>0</v>
      </c>
      <c r="X40" s="32"/>
      <c r="Y40" s="33">
        <f t="shared" si="57"/>
        <v>0</v>
      </c>
      <c r="Z40" s="31">
        <f t="shared" si="58"/>
        <v>21141810</v>
      </c>
      <c r="AA40" s="29">
        <f t="shared" si="59"/>
        <v>1761112.773</v>
      </c>
      <c r="AB40" s="29">
        <f t="shared" si="59"/>
        <v>211418.1</v>
      </c>
      <c r="AC40" s="29">
        <f t="shared" si="59"/>
        <v>1761112.773</v>
      </c>
      <c r="AD40" s="29">
        <f t="shared" si="60"/>
        <v>788130</v>
      </c>
      <c r="AE40" s="29">
        <f t="shared" si="60"/>
        <v>2268000</v>
      </c>
      <c r="AF40" s="29">
        <f t="shared" si="60"/>
        <v>1315440</v>
      </c>
      <c r="AG40" s="29">
        <f t="shared" si="61"/>
        <v>787525.20000000007</v>
      </c>
      <c r="AH40" s="31">
        <f t="shared" si="62"/>
        <v>30034548.846000005</v>
      </c>
      <c r="AI40" s="34"/>
      <c r="AJ40" s="35">
        <v>1</v>
      </c>
      <c r="AK40" s="35">
        <v>1</v>
      </c>
      <c r="AL40" s="35">
        <v>1</v>
      </c>
      <c r="AM40" s="35">
        <v>1</v>
      </c>
      <c r="AN40" s="35">
        <v>1</v>
      </c>
      <c r="AO40" s="35">
        <v>1</v>
      </c>
      <c r="AP40" s="35">
        <v>1</v>
      </c>
      <c r="AQ40" s="35">
        <v>1</v>
      </c>
      <c r="AR40" s="35">
        <v>1</v>
      </c>
      <c r="AS40" s="35">
        <v>1</v>
      </c>
      <c r="AT40" s="1">
        <f t="shared" si="64"/>
        <v>10</v>
      </c>
      <c r="AV40" s="1">
        <f t="shared" si="44"/>
        <v>30</v>
      </c>
      <c r="AW40" s="1">
        <f t="shared" si="44"/>
        <v>30</v>
      </c>
      <c r="AX40" s="1">
        <f t="shared" si="44"/>
        <v>30</v>
      </c>
      <c r="AY40" s="1">
        <f t="shared" si="44"/>
        <v>30</v>
      </c>
      <c r="AZ40" s="1">
        <f t="shared" si="44"/>
        <v>30</v>
      </c>
      <c r="BA40" s="1">
        <f t="shared" si="44"/>
        <v>30</v>
      </c>
      <c r="BB40" s="1">
        <f t="shared" si="44"/>
        <v>30</v>
      </c>
      <c r="BC40" s="1">
        <f t="shared" si="44"/>
        <v>30</v>
      </c>
      <c r="BD40" s="1">
        <f t="shared" si="44"/>
        <v>30</v>
      </c>
      <c r="BE40" s="1">
        <f t="shared" si="63"/>
        <v>270</v>
      </c>
    </row>
    <row r="41" spans="1:57" ht="12" x14ac:dyDescent="0.2">
      <c r="A41" s="17"/>
      <c r="B41" s="18" t="s">
        <v>80</v>
      </c>
      <c r="C41" s="40"/>
      <c r="D41" s="41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21">
        <f>SUBTOTAL(9,AH42:AH42)</f>
        <v>58014335.052000009</v>
      </c>
      <c r="AI41" s="22"/>
      <c r="AJ41" s="23">
        <f t="shared" ref="AJ41:AS41" si="65">SUBTOTAL(9,AJ42)</f>
        <v>2</v>
      </c>
      <c r="AK41" s="23">
        <f t="shared" si="65"/>
        <v>2</v>
      </c>
      <c r="AL41" s="23">
        <f t="shared" si="65"/>
        <v>2</v>
      </c>
      <c r="AM41" s="23">
        <f t="shared" si="65"/>
        <v>2</v>
      </c>
      <c r="AN41" s="23">
        <f t="shared" si="65"/>
        <v>2</v>
      </c>
      <c r="AO41" s="23">
        <f t="shared" si="65"/>
        <v>2</v>
      </c>
      <c r="AP41" s="23">
        <f t="shared" si="65"/>
        <v>2</v>
      </c>
      <c r="AQ41" s="23">
        <f t="shared" si="65"/>
        <v>2</v>
      </c>
      <c r="AR41" s="23">
        <f t="shared" si="65"/>
        <v>2</v>
      </c>
      <c r="AS41" s="23">
        <f t="shared" si="65"/>
        <v>2</v>
      </c>
      <c r="AV41" s="1">
        <f t="shared" si="44"/>
        <v>30</v>
      </c>
      <c r="BB41" s="1">
        <f t="shared" si="44"/>
        <v>30</v>
      </c>
      <c r="BE41" s="1">
        <f t="shared" si="63"/>
        <v>60</v>
      </c>
    </row>
    <row r="42" spans="1:57" outlineLevel="1" x14ac:dyDescent="0.2">
      <c r="A42" s="38" t="s">
        <v>52</v>
      </c>
      <c r="B42" s="25" t="s">
        <v>78</v>
      </c>
      <c r="C42" s="25" t="s">
        <v>49</v>
      </c>
      <c r="D42" s="28">
        <v>2</v>
      </c>
      <c r="E42" s="28">
        <f>+BE42</f>
        <v>270</v>
      </c>
      <c r="F42" s="29">
        <f>_xlfn.XLOOKUP(C42,[6]Salarios!B:B,[6]Salarios!C:C)</f>
        <v>2021250</v>
      </c>
      <c r="G42" s="29">
        <f>+$F42/30</f>
        <v>67375</v>
      </c>
      <c r="H42" s="29">
        <f>+$F42/230</f>
        <v>8788.04347826087</v>
      </c>
      <c r="I42" s="79">
        <f t="shared" si="19"/>
        <v>8303</v>
      </c>
      <c r="J42" s="30">
        <f>+D42*E42*G42</f>
        <v>36382500</v>
      </c>
      <c r="K42" s="31">
        <f>+D42*E42*I42</f>
        <v>4483620</v>
      </c>
      <c r="L42" s="32"/>
      <c r="M42" s="33">
        <f>ROUND($H42*L42*M$7,0)</f>
        <v>0</v>
      </c>
      <c r="N42" s="32"/>
      <c r="O42" s="33">
        <f>+$H42*N42*O$7</f>
        <v>0</v>
      </c>
      <c r="P42" s="32"/>
      <c r="Q42" s="33">
        <f>+$H42*P42*Q$7</f>
        <v>0</v>
      </c>
      <c r="R42" s="32"/>
      <c r="S42" s="33">
        <f>+$H42*R42*S$7</f>
        <v>0</v>
      </c>
      <c r="T42" s="32"/>
      <c r="U42" s="33">
        <f>+$H42*T42*U$7</f>
        <v>0</v>
      </c>
      <c r="V42" s="32"/>
      <c r="W42" s="33">
        <f>+$H42*V42*W$7</f>
        <v>0</v>
      </c>
      <c r="X42" s="32"/>
      <c r="Y42" s="33">
        <f>+$H42*X42*Y$7</f>
        <v>0</v>
      </c>
      <c r="Z42" s="31">
        <f>+J42+K42+M42+O42+Q42+S42+U42+W42+Y42</f>
        <v>40866120</v>
      </c>
      <c r="AA42" s="29">
        <f>+$Z42*AA$7</f>
        <v>3404147.7960000001</v>
      </c>
      <c r="AB42" s="29">
        <f>+$Z42*AB$7</f>
        <v>408661.2</v>
      </c>
      <c r="AC42" s="29">
        <f>+$Z42*AC$7</f>
        <v>3404147.7960000001</v>
      </c>
      <c r="AD42" s="29">
        <f>($Z42-$K42)*AD$7</f>
        <v>1517150.25</v>
      </c>
      <c r="AE42" s="29">
        <f>($Z42-$K42)*AE$7</f>
        <v>4365900</v>
      </c>
      <c r="AF42" s="29">
        <f>($Z42-$K42)*AF$7</f>
        <v>2532222</v>
      </c>
      <c r="AG42" s="29">
        <f>($Z42-$K42+AD42)*AG$7</f>
        <v>1515986.01</v>
      </c>
      <c r="AH42" s="31">
        <f>SUM(Z42:AG42)</f>
        <v>58014335.052000009</v>
      </c>
      <c r="AI42" s="34"/>
      <c r="AJ42" s="35">
        <v>2</v>
      </c>
      <c r="AK42" s="35">
        <v>2</v>
      </c>
      <c r="AL42" s="35">
        <v>2</v>
      </c>
      <c r="AM42" s="35">
        <v>2</v>
      </c>
      <c r="AN42" s="35">
        <v>2</v>
      </c>
      <c r="AO42" s="35">
        <v>2</v>
      </c>
      <c r="AP42" s="35">
        <v>2</v>
      </c>
      <c r="AQ42" s="35">
        <v>2</v>
      </c>
      <c r="AR42" s="35">
        <v>2</v>
      </c>
      <c r="AS42" s="35">
        <v>2</v>
      </c>
      <c r="AT42" s="1">
        <f>COUNT(AJ42:AS42)</f>
        <v>10</v>
      </c>
      <c r="AV42" s="1">
        <f t="shared" si="44"/>
        <v>30</v>
      </c>
      <c r="AW42" s="1">
        <f t="shared" si="44"/>
        <v>30</v>
      </c>
      <c r="AX42" s="1">
        <f t="shared" si="44"/>
        <v>30</v>
      </c>
      <c r="AY42" s="1">
        <f t="shared" si="44"/>
        <v>30</v>
      </c>
      <c r="AZ42" s="1">
        <f t="shared" si="44"/>
        <v>30</v>
      </c>
      <c r="BA42" s="1">
        <f t="shared" si="44"/>
        <v>30</v>
      </c>
      <c r="BB42" s="1">
        <f t="shared" si="44"/>
        <v>30</v>
      </c>
      <c r="BC42" s="1">
        <f t="shared" si="44"/>
        <v>30</v>
      </c>
      <c r="BD42" s="1">
        <f t="shared" si="44"/>
        <v>30</v>
      </c>
      <c r="BE42" s="1">
        <f t="shared" si="63"/>
        <v>270</v>
      </c>
    </row>
    <row r="43" spans="1:57" ht="11.25" customHeight="1" x14ac:dyDescent="0.2">
      <c r="A43" s="42"/>
      <c r="B43" s="18" t="s">
        <v>81</v>
      </c>
      <c r="C43" s="43"/>
      <c r="D43" s="44">
        <f>SUM(D9:D42)</f>
        <v>58</v>
      </c>
      <c r="AH43" s="45">
        <f>SUBTOTAL(9,AH9:AH42)</f>
        <v>1819932411.031805</v>
      </c>
      <c r="AI43" s="45"/>
      <c r="AJ43" s="46">
        <f t="shared" ref="AJ43:AS43" si="66">SUBTOTAL(9,AJ9:AJ42)</f>
        <v>49</v>
      </c>
      <c r="AK43" s="46">
        <f t="shared" si="66"/>
        <v>54</v>
      </c>
      <c r="AL43" s="46">
        <f t="shared" si="66"/>
        <v>58</v>
      </c>
      <c r="AM43" s="46">
        <f t="shared" si="66"/>
        <v>58</v>
      </c>
      <c r="AN43" s="46">
        <f t="shared" si="66"/>
        <v>56</v>
      </c>
      <c r="AO43" s="46">
        <f t="shared" si="66"/>
        <v>54</v>
      </c>
      <c r="AP43" s="46">
        <f t="shared" si="66"/>
        <v>54</v>
      </c>
      <c r="AQ43" s="46">
        <f t="shared" si="66"/>
        <v>56</v>
      </c>
      <c r="AR43" s="46">
        <f t="shared" si="66"/>
        <v>58</v>
      </c>
      <c r="AS43" s="46">
        <f t="shared" si="66"/>
        <v>58</v>
      </c>
    </row>
    <row r="44" spans="1:57" ht="11.25" customHeight="1" x14ac:dyDescent="0.2">
      <c r="B44" s="47"/>
      <c r="C44" s="47"/>
      <c r="D44" s="48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</row>
    <row r="45" spans="1:57" ht="11.25" customHeight="1" x14ac:dyDescent="0.2">
      <c r="B45" s="47"/>
      <c r="C45" s="47"/>
      <c r="D45" s="48"/>
      <c r="AH45" s="49"/>
      <c r="AI45" s="50"/>
      <c r="AJ45" s="51"/>
      <c r="AK45" s="51"/>
      <c r="AL45" s="51"/>
      <c r="AM45" s="51"/>
      <c r="AN45" s="51"/>
      <c r="AO45" s="51"/>
      <c r="AP45" s="51"/>
      <c r="AQ45" s="51"/>
      <c r="AR45" s="51"/>
      <c r="AS45" s="51"/>
    </row>
    <row r="46" spans="1:57" x14ac:dyDescent="0.2">
      <c r="B46" s="2" t="s">
        <v>82</v>
      </c>
      <c r="E46" s="6"/>
      <c r="F46" s="52"/>
      <c r="AG46" s="3"/>
      <c r="AH46" s="4"/>
      <c r="AI46" s="4"/>
      <c r="AR46" s="1"/>
      <c r="AS46" s="1"/>
    </row>
    <row r="47" spans="1:57" s="203" customFormat="1" x14ac:dyDescent="0.2">
      <c r="B47" s="53" t="s">
        <v>83</v>
      </c>
      <c r="C47" s="53"/>
      <c r="D47" s="53" t="s">
        <v>84</v>
      </c>
      <c r="E47" s="53" t="s">
        <v>85</v>
      </c>
      <c r="F47" s="53" t="s">
        <v>86</v>
      </c>
      <c r="AG47" s="204"/>
      <c r="AH47" s="167"/>
      <c r="AI47" s="167"/>
      <c r="AJ47" s="167"/>
      <c r="AK47" s="167"/>
      <c r="AL47" s="167"/>
      <c r="AM47" s="167"/>
      <c r="AN47" s="167"/>
      <c r="AO47" s="167"/>
      <c r="AP47" s="167"/>
      <c r="AQ47" s="167"/>
    </row>
    <row r="48" spans="1:57" x14ac:dyDescent="0.2">
      <c r="B48" s="18" t="s">
        <v>87</v>
      </c>
      <c r="C48" s="32"/>
      <c r="D48" s="28"/>
      <c r="E48" s="54"/>
      <c r="F48" s="55"/>
      <c r="G48" s="56"/>
      <c r="AG48" s="3"/>
      <c r="AH48" s="4"/>
      <c r="AI48" s="4"/>
      <c r="AR48" s="1"/>
      <c r="AS48" s="1"/>
    </row>
    <row r="49" spans="2:45" x14ac:dyDescent="0.2">
      <c r="B49" s="25" t="s">
        <v>88</v>
      </c>
      <c r="C49" s="32" t="s">
        <v>89</v>
      </c>
      <c r="D49" s="28">
        <v>59</v>
      </c>
      <c r="E49" s="54"/>
      <c r="F49" s="55"/>
      <c r="G49" s="56"/>
      <c r="AG49" s="3"/>
      <c r="AH49" s="4"/>
      <c r="AI49" s="4"/>
      <c r="AR49" s="1"/>
      <c r="AS49" s="1"/>
    </row>
    <row r="50" spans="2:45" x14ac:dyDescent="0.2">
      <c r="B50" s="25" t="s">
        <v>90</v>
      </c>
      <c r="C50" s="32" t="s">
        <v>89</v>
      </c>
      <c r="D50" s="28">
        <f>58*2</f>
        <v>116</v>
      </c>
      <c r="E50" s="54"/>
      <c r="F50" s="55"/>
      <c r="G50" s="56"/>
      <c r="AG50" s="3"/>
      <c r="AH50" s="4"/>
      <c r="AI50" s="4"/>
      <c r="AR50" s="1"/>
      <c r="AS50" s="1"/>
    </row>
    <row r="51" spans="2:45" x14ac:dyDescent="0.2">
      <c r="B51" s="25" t="s">
        <v>91</v>
      </c>
      <c r="C51" s="32" t="s">
        <v>89</v>
      </c>
      <c r="D51" s="28">
        <v>102</v>
      </c>
      <c r="E51" s="54"/>
      <c r="F51" s="55"/>
      <c r="G51" s="56"/>
      <c r="AG51" s="3"/>
      <c r="AH51" s="4"/>
      <c r="AI51" s="4"/>
      <c r="AR51" s="1"/>
      <c r="AS51" s="1"/>
    </row>
    <row r="52" spans="2:45" x14ac:dyDescent="0.2">
      <c r="B52" s="18" t="s">
        <v>92</v>
      </c>
      <c r="C52" s="32"/>
      <c r="D52" s="28"/>
      <c r="E52" s="54"/>
      <c r="F52" s="55"/>
      <c r="G52" s="56"/>
      <c r="AG52" s="3"/>
      <c r="AH52" s="4"/>
      <c r="AI52" s="4"/>
      <c r="AR52" s="1"/>
      <c r="AS52" s="1"/>
    </row>
    <row r="53" spans="2:45" x14ac:dyDescent="0.2">
      <c r="B53" s="25" t="s">
        <v>93</v>
      </c>
      <c r="C53" s="32" t="s">
        <v>89</v>
      </c>
      <c r="D53" s="28">
        <v>15</v>
      </c>
      <c r="E53" s="54"/>
      <c r="F53" s="55"/>
      <c r="G53" s="56"/>
      <c r="AG53" s="3"/>
      <c r="AH53" s="4"/>
      <c r="AI53" s="4"/>
      <c r="AR53" s="1"/>
      <c r="AS53" s="1"/>
    </row>
    <row r="54" spans="2:45" x14ac:dyDescent="0.2">
      <c r="B54" s="25" t="s">
        <v>94</v>
      </c>
      <c r="C54" s="32" t="s">
        <v>89</v>
      </c>
      <c r="D54" s="28">
        <v>15</v>
      </c>
      <c r="E54" s="54"/>
      <c r="F54" s="55"/>
      <c r="G54" s="56"/>
      <c r="AG54" s="3"/>
      <c r="AH54" s="4"/>
      <c r="AI54" s="4"/>
      <c r="AR54" s="1"/>
      <c r="AS54" s="1"/>
    </row>
    <row r="55" spans="2:45" x14ac:dyDescent="0.2">
      <c r="B55" s="25" t="s">
        <v>95</v>
      </c>
      <c r="C55" s="32" t="s">
        <v>89</v>
      </c>
      <c r="D55" s="28">
        <v>5</v>
      </c>
      <c r="E55" s="54"/>
      <c r="F55" s="55"/>
      <c r="G55" s="56"/>
      <c r="AG55" s="3"/>
      <c r="AH55" s="4"/>
      <c r="AI55" s="4"/>
      <c r="AR55" s="1"/>
      <c r="AS55" s="1"/>
    </row>
    <row r="56" spans="2:45" x14ac:dyDescent="0.2">
      <c r="B56" s="25"/>
      <c r="C56" s="32"/>
      <c r="D56" s="28"/>
      <c r="E56" s="54"/>
      <c r="F56" s="57"/>
      <c r="G56" s="56"/>
      <c r="AG56" s="3"/>
      <c r="AH56" s="4"/>
      <c r="AI56" s="4"/>
      <c r="AR56" s="1"/>
      <c r="AS56" s="1"/>
    </row>
    <row r="57" spans="2:45" x14ac:dyDescent="0.2">
      <c r="B57" s="25"/>
      <c r="C57" s="32"/>
      <c r="D57" s="28"/>
      <c r="E57" s="54"/>
      <c r="F57" s="57"/>
      <c r="G57" s="56"/>
      <c r="AG57" s="3"/>
      <c r="AH57" s="4"/>
      <c r="AI57" s="4"/>
      <c r="AR57" s="1"/>
      <c r="AS57" s="1"/>
    </row>
    <row r="58" spans="2:45" x14ac:dyDescent="0.2">
      <c r="B58" s="18" t="s">
        <v>96</v>
      </c>
      <c r="C58" s="32"/>
      <c r="D58" s="28"/>
      <c r="E58" s="54"/>
      <c r="F58" s="55"/>
      <c r="G58" s="56"/>
      <c r="AG58" s="3"/>
      <c r="AH58" s="4"/>
      <c r="AI58" s="4"/>
      <c r="AR58" s="1"/>
      <c r="AS58" s="1"/>
    </row>
    <row r="59" spans="2:45" x14ac:dyDescent="0.2">
      <c r="B59" s="58" t="s">
        <v>96</v>
      </c>
      <c r="C59" s="32" t="s">
        <v>97</v>
      </c>
      <c r="D59" s="28">
        <v>100</v>
      </c>
      <c r="E59" s="54"/>
      <c r="F59" s="55"/>
      <c r="G59" s="56"/>
      <c r="AG59" s="3"/>
      <c r="AH59" s="4"/>
      <c r="AI59" s="4"/>
      <c r="AR59" s="1"/>
      <c r="AS59" s="1"/>
    </row>
    <row r="60" spans="2:45" x14ac:dyDescent="0.2">
      <c r="B60" s="18" t="s">
        <v>98</v>
      </c>
      <c r="C60" s="32"/>
      <c r="D60" s="28"/>
      <c r="E60" s="54"/>
      <c r="F60" s="55"/>
      <c r="G60" s="56"/>
      <c r="AG60" s="3"/>
      <c r="AH60" s="4"/>
      <c r="AI60" s="4"/>
      <c r="AR60" s="1"/>
      <c r="AS60" s="1"/>
    </row>
    <row r="61" spans="2:45" ht="22.5" x14ac:dyDescent="0.2">
      <c r="B61" s="58" t="s">
        <v>99</v>
      </c>
      <c r="C61" s="32" t="s">
        <v>97</v>
      </c>
      <c r="D61" s="28">
        <v>50</v>
      </c>
      <c r="E61" s="54"/>
      <c r="F61" s="55"/>
      <c r="G61" s="56"/>
      <c r="AG61" s="3"/>
      <c r="AH61" s="4"/>
      <c r="AI61" s="4"/>
      <c r="AR61" s="1"/>
      <c r="AS61" s="1"/>
    </row>
    <row r="62" spans="2:45" x14ac:dyDescent="0.2">
      <c r="B62" s="18" t="s">
        <v>100</v>
      </c>
      <c r="C62" s="32"/>
      <c r="D62" s="28"/>
      <c r="E62" s="54"/>
      <c r="F62" s="55"/>
      <c r="G62" s="56"/>
      <c r="AG62" s="3"/>
      <c r="AH62" s="4"/>
      <c r="AI62" s="4"/>
      <c r="AR62" s="1"/>
      <c r="AS62" s="1"/>
    </row>
    <row r="63" spans="2:45" x14ac:dyDescent="0.2">
      <c r="B63" s="25" t="s">
        <v>101</v>
      </c>
      <c r="C63" s="32" t="s">
        <v>97</v>
      </c>
      <c r="D63" s="28">
        <v>8</v>
      </c>
      <c r="E63" s="54"/>
      <c r="F63" s="55"/>
      <c r="G63" s="56"/>
      <c r="AG63" s="3"/>
      <c r="AH63" s="4"/>
      <c r="AI63" s="4"/>
      <c r="AR63" s="1"/>
      <c r="AS63" s="1"/>
    </row>
    <row r="64" spans="2:45" x14ac:dyDescent="0.2">
      <c r="B64" s="25"/>
      <c r="C64" s="32"/>
      <c r="D64" s="28"/>
      <c r="E64" s="54"/>
      <c r="F64" s="57"/>
      <c r="G64" s="56"/>
      <c r="AG64" s="3"/>
      <c r="AH64" s="4"/>
      <c r="AI64" s="4"/>
      <c r="AR64" s="1"/>
      <c r="AS64" s="1"/>
    </row>
    <row r="65" spans="1:56" x14ac:dyDescent="0.2">
      <c r="B65" s="25"/>
      <c r="C65" s="32"/>
      <c r="D65" s="28"/>
      <c r="E65" s="54"/>
      <c r="F65" s="55"/>
      <c r="G65" s="56"/>
      <c r="AG65" s="3"/>
      <c r="AH65" s="4"/>
      <c r="AI65" s="4"/>
      <c r="AR65" s="1"/>
      <c r="AS65" s="1"/>
    </row>
    <row r="66" spans="1:56" x14ac:dyDescent="0.2">
      <c r="B66" s="18" t="s">
        <v>102</v>
      </c>
      <c r="C66" s="32"/>
      <c r="D66" s="28"/>
      <c r="E66" s="54"/>
      <c r="F66" s="55"/>
      <c r="G66" s="56"/>
      <c r="AG66" s="3"/>
      <c r="AH66" s="4"/>
      <c r="AI66" s="4"/>
      <c r="AR66" s="1"/>
      <c r="AS66" s="1"/>
    </row>
    <row r="67" spans="1:56" x14ac:dyDescent="0.2">
      <c r="B67" s="58" t="s">
        <v>103</v>
      </c>
      <c r="C67" s="32" t="s">
        <v>104</v>
      </c>
      <c r="D67" s="28">
        <v>50</v>
      </c>
      <c r="E67" s="54"/>
      <c r="F67" s="55"/>
      <c r="G67" s="56"/>
      <c r="AG67" s="3"/>
      <c r="AH67" s="4"/>
      <c r="AI67" s="4"/>
      <c r="AR67" s="1"/>
      <c r="AS67" s="1"/>
    </row>
    <row r="68" spans="1:56" x14ac:dyDescent="0.2">
      <c r="B68" s="18" t="s">
        <v>105</v>
      </c>
      <c r="C68" s="32"/>
      <c r="D68" s="28"/>
      <c r="E68" s="54"/>
      <c r="F68" s="55"/>
      <c r="G68" s="56"/>
      <c r="AG68" s="3"/>
      <c r="AH68" s="4"/>
      <c r="AI68" s="4"/>
      <c r="AR68" s="1"/>
      <c r="AS68" s="1"/>
    </row>
    <row r="69" spans="1:56" x14ac:dyDescent="0.2">
      <c r="B69" s="25" t="s">
        <v>106</v>
      </c>
      <c r="C69" s="32" t="s">
        <v>104</v>
      </c>
      <c r="D69" s="28">
        <v>4</v>
      </c>
      <c r="E69" s="54"/>
      <c r="F69" s="55"/>
      <c r="G69" s="56"/>
      <c r="AG69" s="3"/>
      <c r="AH69" s="4"/>
      <c r="AI69" s="4"/>
      <c r="AR69" s="1"/>
      <c r="AS69" s="1"/>
    </row>
    <row r="70" spans="1:56" x14ac:dyDescent="0.2">
      <c r="B70" s="43" t="s">
        <v>81</v>
      </c>
      <c r="F70" s="57"/>
      <c r="G70" s="56"/>
      <c r="AG70" s="3"/>
      <c r="AH70" s="4"/>
      <c r="AI70" s="4"/>
      <c r="AR70" s="1"/>
      <c r="AS70" s="1"/>
    </row>
    <row r="71" spans="1:56" ht="11.25" customHeight="1" x14ac:dyDescent="0.2">
      <c r="B71" s="47"/>
      <c r="C71" s="47"/>
      <c r="D71" s="48"/>
      <c r="F71" s="56"/>
      <c r="G71" s="56"/>
      <c r="AF71" s="49"/>
      <c r="AG71" s="50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1"/>
      <c r="AS71" s="1"/>
    </row>
    <row r="72" spans="1:56" ht="11.25" customHeight="1" x14ac:dyDescent="0.25">
      <c r="B72" s="47"/>
      <c r="C72" s="47"/>
      <c r="D72" s="48"/>
      <c r="F72"/>
      <c r="AF72" s="49"/>
      <c r="AG72" s="50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1"/>
      <c r="AS72" s="1"/>
    </row>
    <row r="73" spans="1:56" ht="11.25" customHeight="1" x14ac:dyDescent="0.2">
      <c r="B73" s="47"/>
      <c r="C73" s="47"/>
      <c r="D73" s="48"/>
      <c r="AH73" s="49"/>
      <c r="AI73" s="50"/>
      <c r="AJ73" s="51"/>
      <c r="AK73" s="51"/>
      <c r="AL73" s="51"/>
      <c r="AM73" s="51"/>
      <c r="AN73" s="51"/>
      <c r="AO73" s="51"/>
      <c r="AP73" s="51"/>
      <c r="AQ73" s="51"/>
      <c r="AR73" s="51"/>
      <c r="AS73" s="51"/>
    </row>
    <row r="74" spans="1:56" ht="11.25" customHeight="1" x14ac:dyDescent="0.2">
      <c r="B74" s="47"/>
      <c r="C74" s="47"/>
      <c r="D74" s="48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</row>
    <row r="75" spans="1:56" customFormat="1" ht="11.25" customHeight="1" x14ac:dyDescent="0.25">
      <c r="A75" s="1"/>
      <c r="B75" s="2" t="s">
        <v>113</v>
      </c>
      <c r="C75" s="1"/>
      <c r="D75" s="1"/>
      <c r="E75" s="185">
        <f>+F75*30</f>
        <v>210</v>
      </c>
      <c r="F75" s="186">
        <v>7</v>
      </c>
      <c r="G75" s="1"/>
      <c r="H75" s="1"/>
      <c r="I75" s="60"/>
      <c r="J75" s="60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1"/>
      <c r="AW75" s="1"/>
      <c r="AX75" s="1"/>
      <c r="AY75" s="1"/>
      <c r="AZ75" s="1"/>
      <c r="BA75" s="1"/>
      <c r="BB75" s="1"/>
      <c r="BC75" s="1"/>
      <c r="BD75" s="1"/>
    </row>
    <row r="76" spans="1:56" customFormat="1" ht="32.25" customHeight="1" x14ac:dyDescent="0.25">
      <c r="A76" s="1"/>
      <c r="B76" s="226" t="s">
        <v>3</v>
      </c>
      <c r="C76" s="61"/>
      <c r="D76" s="219" t="s">
        <v>4</v>
      </c>
      <c r="E76" s="219" t="s">
        <v>5</v>
      </c>
      <c r="F76" s="228" t="s">
        <v>6</v>
      </c>
      <c r="G76" s="237"/>
      <c r="H76" s="238"/>
      <c r="I76" s="219" t="s">
        <v>7</v>
      </c>
      <c r="J76" s="219" t="s">
        <v>8</v>
      </c>
      <c r="K76" s="219" t="s">
        <v>9</v>
      </c>
      <c r="L76" s="217" t="s">
        <v>10</v>
      </c>
      <c r="M76" s="234"/>
      <c r="N76" s="217" t="s">
        <v>11</v>
      </c>
      <c r="O76" s="234"/>
      <c r="P76" s="217" t="s">
        <v>12</v>
      </c>
      <c r="Q76" s="234"/>
      <c r="R76" s="217" t="s">
        <v>13</v>
      </c>
      <c r="S76" s="234"/>
      <c r="T76" s="217" t="s">
        <v>14</v>
      </c>
      <c r="U76" s="234"/>
      <c r="V76" s="217" t="s">
        <v>15</v>
      </c>
      <c r="W76" s="234"/>
      <c r="X76" s="217" t="s">
        <v>16</v>
      </c>
      <c r="Y76" s="234"/>
      <c r="Z76" s="219" t="s">
        <v>17</v>
      </c>
      <c r="AA76" s="62" t="s">
        <v>18</v>
      </c>
      <c r="AB76" s="62" t="s">
        <v>19</v>
      </c>
      <c r="AC76" s="62" t="s">
        <v>20</v>
      </c>
      <c r="AD76" s="62" t="s">
        <v>21</v>
      </c>
      <c r="AE76" s="62" t="s">
        <v>22</v>
      </c>
      <c r="AF76" s="62" t="s">
        <v>23</v>
      </c>
      <c r="AG76" s="62" t="s">
        <v>24</v>
      </c>
      <c r="AH76" s="219" t="s">
        <v>25</v>
      </c>
      <c r="AI76" s="4"/>
      <c r="AJ76" s="63">
        <v>31</v>
      </c>
      <c r="AK76" s="63">
        <v>28</v>
      </c>
      <c r="AL76" s="109"/>
      <c r="AM76" s="63">
        <v>31</v>
      </c>
      <c r="AN76" s="63">
        <v>30</v>
      </c>
      <c r="AO76" s="63">
        <v>31</v>
      </c>
      <c r="AP76" s="63">
        <v>30</v>
      </c>
      <c r="AQ76" s="63">
        <v>31</v>
      </c>
      <c r="AR76" s="63">
        <v>31</v>
      </c>
      <c r="AS76" s="63">
        <v>30</v>
      </c>
      <c r="AT76" s="63">
        <v>31</v>
      </c>
      <c r="AU76" s="63">
        <v>30</v>
      </c>
      <c r="AV76" s="63">
        <v>31</v>
      </c>
      <c r="AW76" s="1"/>
      <c r="AX76" s="1"/>
      <c r="AY76" s="1"/>
      <c r="AZ76" s="1"/>
      <c r="BA76" s="1"/>
      <c r="BB76" s="1"/>
      <c r="BC76" s="1"/>
      <c r="BD76" s="1"/>
    </row>
    <row r="77" spans="1:56" customFormat="1" ht="11.25" customHeight="1" x14ac:dyDescent="0.25">
      <c r="A77" s="64" t="s">
        <v>27</v>
      </c>
      <c r="B77" s="225"/>
      <c r="C77" s="65"/>
      <c r="D77" s="235"/>
      <c r="E77" s="235"/>
      <c r="F77" s="216"/>
      <c r="G77" s="239"/>
      <c r="H77" s="240"/>
      <c r="I77" s="235"/>
      <c r="J77" s="235"/>
      <c r="K77" s="235"/>
      <c r="L77" s="63" t="s">
        <v>28</v>
      </c>
      <c r="M77" s="66">
        <v>1.25</v>
      </c>
      <c r="N77" s="63" t="s">
        <v>28</v>
      </c>
      <c r="O77" s="66">
        <v>1.75</v>
      </c>
      <c r="P77" s="63" t="s">
        <v>28</v>
      </c>
      <c r="Q77" s="66">
        <v>1.35</v>
      </c>
      <c r="R77" s="63" t="s">
        <v>28</v>
      </c>
      <c r="S77" s="66">
        <v>1.85</v>
      </c>
      <c r="T77" s="63" t="s">
        <v>28</v>
      </c>
      <c r="U77" s="66">
        <v>2.1</v>
      </c>
      <c r="V77" s="63" t="s">
        <v>28</v>
      </c>
      <c r="W77" s="66">
        <v>2</v>
      </c>
      <c r="X77" s="63" t="s">
        <v>28</v>
      </c>
      <c r="Y77" s="66">
        <v>2.5</v>
      </c>
      <c r="Z77" s="235"/>
      <c r="AA77" s="67">
        <v>8.3299999999999999E-2</v>
      </c>
      <c r="AB77" s="68">
        <v>0.01</v>
      </c>
      <c r="AC77" s="67">
        <v>8.3299999999999999E-2</v>
      </c>
      <c r="AD77" s="67">
        <v>4.1700000000000001E-2</v>
      </c>
      <c r="AE77" s="68">
        <v>0.12</v>
      </c>
      <c r="AF77" s="69">
        <v>2.436E-2</v>
      </c>
      <c r="AG77" s="67">
        <v>0.04</v>
      </c>
      <c r="AH77" s="225"/>
      <c r="AI77" s="4"/>
      <c r="AJ77" s="70" t="s">
        <v>114</v>
      </c>
      <c r="AK77" s="70" t="s">
        <v>115</v>
      </c>
      <c r="AL77" s="109"/>
      <c r="AM77" s="70" t="s">
        <v>29</v>
      </c>
      <c r="AN77" s="70" t="s">
        <v>30</v>
      </c>
      <c r="AO77" s="70" t="s">
        <v>31</v>
      </c>
      <c r="AP77" s="70" t="s">
        <v>32</v>
      </c>
      <c r="AQ77" s="70" t="s">
        <v>33</v>
      </c>
      <c r="AR77" s="70" t="s">
        <v>34</v>
      </c>
      <c r="AS77" s="70" t="s">
        <v>35</v>
      </c>
      <c r="AT77" s="70" t="s">
        <v>36</v>
      </c>
      <c r="AU77" s="70" t="s">
        <v>37</v>
      </c>
      <c r="AV77" s="70" t="s">
        <v>38</v>
      </c>
      <c r="AW77" s="1"/>
      <c r="AX77" s="1"/>
      <c r="AY77" s="1"/>
      <c r="AZ77" s="1"/>
      <c r="BA77" s="1"/>
      <c r="BB77" s="1"/>
      <c r="BC77" s="1"/>
      <c r="BD77" s="1"/>
    </row>
    <row r="78" spans="1:56" customFormat="1" ht="11.25" customHeight="1" x14ac:dyDescent="0.25">
      <c r="A78" s="1"/>
      <c r="B78" s="71" t="s">
        <v>116</v>
      </c>
      <c r="C78" s="71"/>
      <c r="D78" s="225"/>
      <c r="E78" s="225"/>
      <c r="F78" s="72" t="s">
        <v>40</v>
      </c>
      <c r="G78" s="72" t="s">
        <v>41</v>
      </c>
      <c r="H78" s="72" t="s">
        <v>42</v>
      </c>
      <c r="I78" s="225"/>
      <c r="J78" s="225"/>
      <c r="K78" s="225"/>
      <c r="L78" s="72" t="s">
        <v>43</v>
      </c>
      <c r="M78" s="72" t="s">
        <v>44</v>
      </c>
      <c r="N78" s="72" t="s">
        <v>43</v>
      </c>
      <c r="O78" s="72" t="s">
        <v>44</v>
      </c>
      <c r="P78" s="72" t="s">
        <v>43</v>
      </c>
      <c r="Q78" s="72" t="s">
        <v>44</v>
      </c>
      <c r="R78" s="72" t="s">
        <v>43</v>
      </c>
      <c r="S78" s="72" t="s">
        <v>44</v>
      </c>
      <c r="T78" s="72" t="s">
        <v>43</v>
      </c>
      <c r="U78" s="72" t="s">
        <v>44</v>
      </c>
      <c r="V78" s="72" t="s">
        <v>43</v>
      </c>
      <c r="W78" s="72" t="s">
        <v>44</v>
      </c>
      <c r="X78" s="72" t="s">
        <v>43</v>
      </c>
      <c r="Y78" s="72" t="s">
        <v>44</v>
      </c>
      <c r="Z78" s="225"/>
      <c r="AA78" s="61"/>
      <c r="AB78" s="61"/>
      <c r="AC78" s="61"/>
      <c r="AD78" s="61"/>
      <c r="AE78" s="61"/>
      <c r="AF78" s="61"/>
      <c r="AG78" s="61"/>
      <c r="AH78" s="61"/>
      <c r="AI78" s="73"/>
      <c r="AJ78" s="74">
        <v>4</v>
      </c>
      <c r="AK78" s="75">
        <v>4</v>
      </c>
      <c r="AL78" s="109"/>
      <c r="AM78" s="75">
        <v>5</v>
      </c>
      <c r="AN78" s="75">
        <v>4</v>
      </c>
      <c r="AO78" s="75">
        <v>5</v>
      </c>
      <c r="AP78" s="75">
        <v>4</v>
      </c>
      <c r="AQ78" s="75">
        <v>4</v>
      </c>
      <c r="AR78" s="75">
        <v>5</v>
      </c>
      <c r="AS78" s="75">
        <v>4</v>
      </c>
      <c r="AT78" s="75">
        <v>4</v>
      </c>
      <c r="AU78" s="75">
        <v>5</v>
      </c>
      <c r="AV78" s="75">
        <v>4</v>
      </c>
      <c r="AW78" s="1">
        <f>SUM(AM78:AV78)</f>
        <v>44</v>
      </c>
      <c r="AX78" s="1"/>
      <c r="AY78" s="1"/>
      <c r="AZ78" s="1"/>
      <c r="BA78" s="1"/>
      <c r="BB78" s="1"/>
      <c r="BC78" s="1"/>
      <c r="BD78" s="1"/>
    </row>
    <row r="79" spans="1:56" customFormat="1" ht="11.25" customHeight="1" outlineLevel="1" x14ac:dyDescent="0.25">
      <c r="A79" s="224" t="s">
        <v>45</v>
      </c>
      <c r="B79" s="76" t="s">
        <v>117</v>
      </c>
      <c r="C79" s="77" t="s">
        <v>118</v>
      </c>
      <c r="D79" s="78">
        <v>9</v>
      </c>
      <c r="E79" s="108">
        <f>+$E$75</f>
        <v>210</v>
      </c>
      <c r="F79" s="79">
        <v>1950000</v>
      </c>
      <c r="G79" s="79">
        <f t="shared" ref="G79:G83" si="67">+$F79/30</f>
        <v>65000</v>
      </c>
      <c r="H79" s="79">
        <f t="shared" ref="H79:H83" si="68">+$F79/230</f>
        <v>8478.2608695652179</v>
      </c>
      <c r="I79" s="79">
        <f t="shared" ref="I79:I83" si="69">IF(F79&lt;&gt;0,IF(F79&gt;3501810,0,ROUND(249095/30,0)),)</f>
        <v>8303</v>
      </c>
      <c r="J79" s="80">
        <f>+D79*E79*G79</f>
        <v>122850000</v>
      </c>
      <c r="K79" s="80">
        <f>+D79*E79*I79</f>
        <v>15692670</v>
      </c>
      <c r="L79" s="61">
        <f>+L86</f>
        <v>180</v>
      </c>
      <c r="M79" s="79">
        <f t="shared" ref="M79:M83" si="70">ROUND($H79*L79*M$7,0)</f>
        <v>1907609</v>
      </c>
      <c r="N79" s="61"/>
      <c r="O79" s="81">
        <f t="shared" ref="O79:O83" si="71">+$H79*N79*O$7</f>
        <v>0</v>
      </c>
      <c r="P79" s="61"/>
      <c r="Q79" s="81">
        <f t="shared" ref="Q79:Q83" si="72">+$H79*P79*Q$7</f>
        <v>0</v>
      </c>
      <c r="R79" s="61">
        <f t="shared" ref="R79:R82" si="73">+R86</f>
        <v>4320</v>
      </c>
      <c r="S79" s="79">
        <f>+$H79*R79*S$77</f>
        <v>67758260.869565219</v>
      </c>
      <c r="T79" s="61"/>
      <c r="U79" s="81">
        <f t="shared" ref="U79:U83" si="74">+$H79*T79*U$7</f>
        <v>0</v>
      </c>
      <c r="V79" s="61"/>
      <c r="W79" s="81">
        <f t="shared" ref="W79:W83" si="75">+$H79*V79*W$7</f>
        <v>0</v>
      </c>
      <c r="X79" s="61"/>
      <c r="Y79" s="81">
        <f t="shared" ref="Y79:Y83" si="76">+$H79*X79*Y$7</f>
        <v>0</v>
      </c>
      <c r="Z79" s="80">
        <f t="shared" ref="Z79:Z83" si="77">+J79+K79+M79+O79+Q79+S79+U79+W79+Y79</f>
        <v>208208539.86956522</v>
      </c>
      <c r="AA79" s="79">
        <f t="shared" ref="AA79:AC84" si="78">+$Z79*AA$7</f>
        <v>17343771.371134784</v>
      </c>
      <c r="AB79" s="79">
        <f t="shared" si="78"/>
        <v>2082085.3986956521</v>
      </c>
      <c r="AC79" s="79">
        <f t="shared" si="78"/>
        <v>17343771.371134784</v>
      </c>
      <c r="AD79" s="79">
        <f t="shared" ref="AD79:AE84" si="79">($Z79-$K79)*AD$7</f>
        <v>8027911.7735608695</v>
      </c>
      <c r="AE79" s="79">
        <f t="shared" si="79"/>
        <v>23101904.384347826</v>
      </c>
      <c r="AF79" s="79">
        <f>($Z79-$K79)*AF$77</f>
        <v>4689686.5900226086</v>
      </c>
      <c r="AG79" s="79">
        <f t="shared" ref="AG79:AG84" si="80">($Z79-$K79+AD79)*AG$7</f>
        <v>8021751.2657250445</v>
      </c>
      <c r="AH79" s="80">
        <f t="shared" ref="AH79:AH83" si="81">SUM(Z79:AG79)</f>
        <v>288819422.02418679</v>
      </c>
      <c r="AI79" s="48"/>
      <c r="AJ79" s="72">
        <v>2</v>
      </c>
      <c r="AK79" s="72">
        <v>0</v>
      </c>
      <c r="AL79" s="109"/>
      <c r="AM79" s="72">
        <v>1</v>
      </c>
      <c r="AN79" s="72">
        <v>2</v>
      </c>
      <c r="AO79" s="72">
        <v>2</v>
      </c>
      <c r="AP79" s="72">
        <v>3</v>
      </c>
      <c r="AQ79" s="72">
        <v>1</v>
      </c>
      <c r="AR79" s="72">
        <v>2</v>
      </c>
      <c r="AS79" s="72">
        <v>0</v>
      </c>
      <c r="AT79" s="72">
        <v>1</v>
      </c>
      <c r="AU79" s="72">
        <v>2</v>
      </c>
      <c r="AV79" s="72">
        <v>2</v>
      </c>
      <c r="AW79" s="1">
        <f t="shared" ref="AW79:AW83" si="82">SUM(AM79:AV79)</f>
        <v>16</v>
      </c>
      <c r="AX79" s="1"/>
      <c r="AY79" s="1"/>
      <c r="AZ79" s="1"/>
      <c r="BA79" s="1"/>
      <c r="BB79" s="1"/>
      <c r="BC79" s="1"/>
      <c r="BD79" s="1"/>
    </row>
    <row r="80" spans="1:56" customFormat="1" ht="11.25" customHeight="1" outlineLevel="1" x14ac:dyDescent="0.25">
      <c r="A80" s="225"/>
      <c r="B80" s="76" t="s">
        <v>119</v>
      </c>
      <c r="C80" s="77" t="s">
        <v>118</v>
      </c>
      <c r="D80" s="78">
        <v>0</v>
      </c>
      <c r="E80" s="108">
        <v>10</v>
      </c>
      <c r="F80" s="79">
        <v>1950000</v>
      </c>
      <c r="G80" s="79">
        <f t="shared" si="67"/>
        <v>65000</v>
      </c>
      <c r="H80" s="79">
        <f t="shared" si="68"/>
        <v>8478.2608695652179</v>
      </c>
      <c r="I80" s="79">
        <f t="shared" si="69"/>
        <v>8303</v>
      </c>
      <c r="J80" s="80">
        <f>+D80*E80*G80</f>
        <v>0</v>
      </c>
      <c r="K80" s="80">
        <f t="shared" ref="K80:K82" si="83">+D80*E80*I80</f>
        <v>0</v>
      </c>
      <c r="L80" s="61"/>
      <c r="M80" s="81">
        <f t="shared" si="70"/>
        <v>0</v>
      </c>
      <c r="N80" s="61"/>
      <c r="O80" s="81">
        <f t="shared" si="71"/>
        <v>0</v>
      </c>
      <c r="P80" s="61"/>
      <c r="Q80" s="81">
        <f t="shared" si="72"/>
        <v>0</v>
      </c>
      <c r="R80" s="61">
        <f t="shared" si="73"/>
        <v>0</v>
      </c>
      <c r="S80" s="79">
        <f t="shared" ref="S80:S83" si="84">+$H80*R80*S$77</f>
        <v>0</v>
      </c>
      <c r="T80" s="61"/>
      <c r="U80" s="81">
        <f t="shared" si="74"/>
        <v>0</v>
      </c>
      <c r="V80" s="61"/>
      <c r="W80" s="81">
        <f t="shared" si="75"/>
        <v>0</v>
      </c>
      <c r="X80" s="61"/>
      <c r="Y80" s="81">
        <f t="shared" si="76"/>
        <v>0</v>
      </c>
      <c r="Z80" s="80">
        <f t="shared" si="77"/>
        <v>0</v>
      </c>
      <c r="AA80" s="79">
        <f t="shared" si="78"/>
        <v>0</v>
      </c>
      <c r="AB80" s="79">
        <f t="shared" si="78"/>
        <v>0</v>
      </c>
      <c r="AC80" s="79">
        <f t="shared" si="78"/>
        <v>0</v>
      </c>
      <c r="AD80" s="79">
        <f t="shared" si="79"/>
        <v>0</v>
      </c>
      <c r="AE80" s="79">
        <f t="shared" si="79"/>
        <v>0</v>
      </c>
      <c r="AF80" s="79">
        <f t="shared" ref="AF80:AF83" si="85">($Z80-$K80)*AF$77</f>
        <v>0</v>
      </c>
      <c r="AG80" s="79">
        <f t="shared" si="80"/>
        <v>0</v>
      </c>
      <c r="AH80" s="80">
        <f t="shared" si="81"/>
        <v>0</v>
      </c>
      <c r="AI80" s="48"/>
      <c r="AJ80" s="82">
        <f t="shared" ref="AJ80:AK80" si="86">+AJ78+AJ79</f>
        <v>6</v>
      </c>
      <c r="AK80" s="82">
        <f t="shared" si="86"/>
        <v>4</v>
      </c>
      <c r="AL80" s="109"/>
      <c r="AM80" s="82">
        <f t="shared" ref="AM80:AV80" si="87">+AM78+AM79</f>
        <v>6</v>
      </c>
      <c r="AN80" s="82">
        <f t="shared" si="87"/>
        <v>6</v>
      </c>
      <c r="AO80" s="82">
        <f t="shared" si="87"/>
        <v>7</v>
      </c>
      <c r="AP80" s="82">
        <f t="shared" si="87"/>
        <v>7</v>
      </c>
      <c r="AQ80" s="82">
        <f t="shared" si="87"/>
        <v>5</v>
      </c>
      <c r="AR80" s="82">
        <f t="shared" si="87"/>
        <v>7</v>
      </c>
      <c r="AS80" s="82">
        <f t="shared" si="87"/>
        <v>4</v>
      </c>
      <c r="AT80" s="82">
        <f t="shared" si="87"/>
        <v>5</v>
      </c>
      <c r="AU80" s="82">
        <f t="shared" si="87"/>
        <v>7</v>
      </c>
      <c r="AV80" s="82">
        <f t="shared" si="87"/>
        <v>6</v>
      </c>
      <c r="AW80" s="1">
        <f t="shared" si="82"/>
        <v>60</v>
      </c>
      <c r="AX80" s="1"/>
      <c r="AY80" s="1"/>
      <c r="AZ80" s="1"/>
      <c r="BA80" s="1"/>
      <c r="BB80" s="1"/>
      <c r="BC80" s="1"/>
      <c r="BD80" s="1"/>
    </row>
    <row r="81" spans="1:56" customFormat="1" ht="11.25" customHeight="1" outlineLevel="1" x14ac:dyDescent="0.25">
      <c r="A81" s="224" t="s">
        <v>52</v>
      </c>
      <c r="B81" s="76" t="s">
        <v>120</v>
      </c>
      <c r="C81" s="77" t="s">
        <v>121</v>
      </c>
      <c r="D81" s="78">
        <v>7</v>
      </c>
      <c r="E81" s="108">
        <f t="shared" ref="E81:E83" si="88">+$E$75</f>
        <v>210</v>
      </c>
      <c r="F81" s="79">
        <v>1751000</v>
      </c>
      <c r="G81" s="79">
        <f t="shared" si="67"/>
        <v>58366.666666666664</v>
      </c>
      <c r="H81" s="79">
        <f t="shared" si="68"/>
        <v>7613.04347826087</v>
      </c>
      <c r="I81" s="79">
        <f t="shared" si="69"/>
        <v>8303</v>
      </c>
      <c r="J81" s="80">
        <f t="shared" ref="J81:J83" si="89">+D81*E81*G81</f>
        <v>85799000</v>
      </c>
      <c r="K81" s="80">
        <f t="shared" si="83"/>
        <v>12205410</v>
      </c>
      <c r="L81" s="61">
        <v>192</v>
      </c>
      <c r="M81" s="79">
        <f t="shared" si="70"/>
        <v>1827130</v>
      </c>
      <c r="N81" s="61">
        <f>+L87</f>
        <v>140</v>
      </c>
      <c r="O81" s="79">
        <f t="shared" si="71"/>
        <v>1865195.6521739131</v>
      </c>
      <c r="P81" s="61">
        <f>+P86</f>
        <v>2952</v>
      </c>
      <c r="Q81" s="79">
        <f t="shared" si="72"/>
        <v>30339500.869565222</v>
      </c>
      <c r="R81" s="61">
        <f t="shared" si="73"/>
        <v>3360</v>
      </c>
      <c r="S81" s="79">
        <f t="shared" si="84"/>
        <v>47322678.26086957</v>
      </c>
      <c r="T81" s="61">
        <f>+T86</f>
        <v>720</v>
      </c>
      <c r="U81" s="79">
        <f t="shared" si="74"/>
        <v>11510921.739130436</v>
      </c>
      <c r="V81" s="61"/>
      <c r="W81" s="81">
        <f t="shared" si="75"/>
        <v>0</v>
      </c>
      <c r="X81" s="61"/>
      <c r="Y81" s="81">
        <f t="shared" si="76"/>
        <v>0</v>
      </c>
      <c r="Z81" s="80">
        <f t="shared" si="77"/>
        <v>190869836.52173913</v>
      </c>
      <c r="AA81" s="79">
        <f t="shared" si="78"/>
        <v>15899457.382260868</v>
      </c>
      <c r="AB81" s="79">
        <f t="shared" si="78"/>
        <v>1908698.3652173914</v>
      </c>
      <c r="AC81" s="79">
        <f t="shared" si="78"/>
        <v>15899457.382260868</v>
      </c>
      <c r="AD81" s="79">
        <f t="shared" si="79"/>
        <v>7450306.5859565213</v>
      </c>
      <c r="AE81" s="79">
        <f t="shared" si="79"/>
        <v>21439731.182608694</v>
      </c>
      <c r="AF81" s="79">
        <f t="shared" si="85"/>
        <v>4352265.4300695648</v>
      </c>
      <c r="AG81" s="79">
        <f t="shared" si="80"/>
        <v>7444589.3243078254</v>
      </c>
      <c r="AH81" s="80">
        <f t="shared" si="81"/>
        <v>265264342.17442083</v>
      </c>
      <c r="AI81" s="48"/>
      <c r="AJ81" s="72">
        <f t="shared" ref="AJ81:AK81" si="90">+AJ76-AJ80</f>
        <v>25</v>
      </c>
      <c r="AK81" s="72">
        <f t="shared" si="90"/>
        <v>24</v>
      </c>
      <c r="AL81" s="109"/>
      <c r="AM81" s="72">
        <f t="shared" ref="AM81:AV81" si="91">+AM76-AM80</f>
        <v>25</v>
      </c>
      <c r="AN81" s="72">
        <f t="shared" si="91"/>
        <v>24</v>
      </c>
      <c r="AO81" s="72">
        <f t="shared" si="91"/>
        <v>24</v>
      </c>
      <c r="AP81" s="72">
        <f t="shared" si="91"/>
        <v>23</v>
      </c>
      <c r="AQ81" s="72">
        <f t="shared" si="91"/>
        <v>26</v>
      </c>
      <c r="AR81" s="72">
        <f t="shared" si="91"/>
        <v>24</v>
      </c>
      <c r="AS81" s="72">
        <f t="shared" si="91"/>
        <v>26</v>
      </c>
      <c r="AT81" s="72">
        <f t="shared" si="91"/>
        <v>26</v>
      </c>
      <c r="AU81" s="72">
        <f t="shared" si="91"/>
        <v>23</v>
      </c>
      <c r="AV81" s="72">
        <f t="shared" si="91"/>
        <v>25</v>
      </c>
      <c r="AW81" s="1">
        <f t="shared" si="82"/>
        <v>246</v>
      </c>
      <c r="AX81" s="1"/>
      <c r="AY81" s="1"/>
      <c r="AZ81" s="1"/>
      <c r="BA81" s="1"/>
      <c r="BB81" s="1"/>
      <c r="BC81" s="1"/>
      <c r="BD81" s="1"/>
    </row>
    <row r="82" spans="1:56" customFormat="1" ht="11.25" customHeight="1" outlineLevel="1" x14ac:dyDescent="0.25">
      <c r="A82" s="225"/>
      <c r="B82" s="76" t="s">
        <v>122</v>
      </c>
      <c r="C82" s="77" t="s">
        <v>123</v>
      </c>
      <c r="D82" s="78">
        <v>1</v>
      </c>
      <c r="E82" s="108">
        <f t="shared" si="88"/>
        <v>210</v>
      </c>
      <c r="F82" s="79">
        <v>4050000</v>
      </c>
      <c r="G82" s="79">
        <f t="shared" si="67"/>
        <v>135000</v>
      </c>
      <c r="H82" s="79">
        <f t="shared" si="68"/>
        <v>17608.695652173912</v>
      </c>
      <c r="I82" s="79">
        <f t="shared" si="69"/>
        <v>0</v>
      </c>
      <c r="J82" s="80">
        <f t="shared" si="89"/>
        <v>28350000</v>
      </c>
      <c r="K82" s="80">
        <f t="shared" si="83"/>
        <v>0</v>
      </c>
      <c r="L82" s="61"/>
      <c r="M82" s="81">
        <f t="shared" si="70"/>
        <v>0</v>
      </c>
      <c r="N82" s="61"/>
      <c r="O82" s="81">
        <f t="shared" si="71"/>
        <v>0</v>
      </c>
      <c r="P82" s="61"/>
      <c r="Q82" s="81">
        <f t="shared" si="72"/>
        <v>0</v>
      </c>
      <c r="R82" s="61">
        <f t="shared" si="73"/>
        <v>240</v>
      </c>
      <c r="S82" s="79">
        <f t="shared" si="84"/>
        <v>7818260.8695652178</v>
      </c>
      <c r="T82" s="61"/>
      <c r="U82" s="81">
        <f t="shared" si="74"/>
        <v>0</v>
      </c>
      <c r="V82" s="61"/>
      <c r="W82" s="81">
        <f t="shared" si="75"/>
        <v>0</v>
      </c>
      <c r="X82" s="61"/>
      <c r="Y82" s="81">
        <f t="shared" si="76"/>
        <v>0</v>
      </c>
      <c r="Z82" s="80">
        <f t="shared" si="77"/>
        <v>36168260.869565219</v>
      </c>
      <c r="AA82" s="79">
        <f t="shared" si="78"/>
        <v>3012816.1304347827</v>
      </c>
      <c r="AB82" s="79">
        <f t="shared" si="78"/>
        <v>361682.60869565222</v>
      </c>
      <c r="AC82" s="79">
        <f t="shared" si="78"/>
        <v>3012816.1304347827</v>
      </c>
      <c r="AD82" s="79">
        <f t="shared" si="79"/>
        <v>1508216.4782608696</v>
      </c>
      <c r="AE82" s="79">
        <f t="shared" si="79"/>
        <v>4340191.3043478262</v>
      </c>
      <c r="AF82" s="79">
        <f t="shared" si="85"/>
        <v>881058.83478260867</v>
      </c>
      <c r="AG82" s="79">
        <f t="shared" si="80"/>
        <v>1507059.0939130434</v>
      </c>
      <c r="AH82" s="80">
        <f t="shared" si="81"/>
        <v>50792101.450434774</v>
      </c>
      <c r="AI82" s="48"/>
      <c r="AJ82" s="72"/>
      <c r="AK82" s="72"/>
      <c r="AL82" s="109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1">
        <f t="shared" si="82"/>
        <v>0</v>
      </c>
      <c r="AX82" s="1"/>
      <c r="AY82" s="1"/>
      <c r="AZ82" s="1"/>
      <c r="BA82" s="1"/>
      <c r="BB82" s="1"/>
      <c r="BC82" s="1"/>
      <c r="BD82" s="1"/>
    </row>
    <row r="83" spans="1:56" customFormat="1" ht="11.25" customHeight="1" outlineLevel="1" x14ac:dyDescent="0.25">
      <c r="A83" s="83" t="s">
        <v>68</v>
      </c>
      <c r="B83" s="76" t="s">
        <v>124</v>
      </c>
      <c r="C83" s="77" t="s">
        <v>125</v>
      </c>
      <c r="D83" s="78">
        <v>1</v>
      </c>
      <c r="E83" s="108">
        <f t="shared" si="88"/>
        <v>210</v>
      </c>
      <c r="F83" s="79">
        <v>2900000</v>
      </c>
      <c r="G83" s="79">
        <f t="shared" si="67"/>
        <v>96666.666666666672</v>
      </c>
      <c r="H83" s="79">
        <f t="shared" si="68"/>
        <v>12608.695652173914</v>
      </c>
      <c r="I83" s="79">
        <f t="shared" si="69"/>
        <v>8303</v>
      </c>
      <c r="J83" s="80">
        <f t="shared" si="89"/>
        <v>20300000</v>
      </c>
      <c r="K83" s="80">
        <f>+D83*E83*I83</f>
        <v>1743630</v>
      </c>
      <c r="L83" s="61"/>
      <c r="M83" s="81">
        <f t="shared" si="70"/>
        <v>0</v>
      </c>
      <c r="N83" s="61"/>
      <c r="O83" s="81">
        <f t="shared" si="71"/>
        <v>0</v>
      </c>
      <c r="P83" s="61">
        <f>+P87</f>
        <v>140</v>
      </c>
      <c r="Q83" s="79">
        <f t="shared" si="72"/>
        <v>2383043.4782608696</v>
      </c>
      <c r="R83" s="61">
        <f>+R89</f>
        <v>240</v>
      </c>
      <c r="S83" s="79">
        <f t="shared" si="84"/>
        <v>5598260.8695652178</v>
      </c>
      <c r="T83" s="61"/>
      <c r="U83" s="81">
        <f t="shared" si="74"/>
        <v>0</v>
      </c>
      <c r="V83" s="61"/>
      <c r="W83" s="81">
        <f t="shared" si="75"/>
        <v>0</v>
      </c>
      <c r="X83" s="61"/>
      <c r="Y83" s="81">
        <f t="shared" si="76"/>
        <v>0</v>
      </c>
      <c r="Z83" s="80">
        <f t="shared" si="77"/>
        <v>30024934.34782609</v>
      </c>
      <c r="AA83" s="79">
        <f t="shared" si="78"/>
        <v>2501077.0311739133</v>
      </c>
      <c r="AB83" s="79">
        <f t="shared" si="78"/>
        <v>300249.34347826091</v>
      </c>
      <c r="AC83" s="79">
        <f t="shared" si="78"/>
        <v>2501077.0311739133</v>
      </c>
      <c r="AD83" s="79">
        <f t="shared" si="79"/>
        <v>1179330.3913043479</v>
      </c>
      <c r="AE83" s="79">
        <f t="shared" si="79"/>
        <v>3393756.5217391308</v>
      </c>
      <c r="AF83" s="79">
        <f t="shared" si="85"/>
        <v>688932.57391304348</v>
      </c>
      <c r="AG83" s="79">
        <f t="shared" si="80"/>
        <v>1178425.3895652175</v>
      </c>
      <c r="AH83" s="80">
        <f t="shared" si="81"/>
        <v>41767782.630173922</v>
      </c>
      <c r="AI83" s="48"/>
      <c r="AJ83" s="72"/>
      <c r="AK83" s="72"/>
      <c r="AL83" s="109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1">
        <f t="shared" si="82"/>
        <v>0</v>
      </c>
      <c r="AX83" s="1"/>
      <c r="AY83" s="1"/>
      <c r="AZ83" s="1"/>
      <c r="BA83" s="1"/>
      <c r="BB83" s="1"/>
      <c r="BC83" s="1"/>
      <c r="BD83" s="1"/>
    </row>
    <row r="84" spans="1:56" customFormat="1" ht="11.25" customHeight="1" x14ac:dyDescent="0.25">
      <c r="A84" s="84"/>
      <c r="B84" s="71" t="s">
        <v>81</v>
      </c>
      <c r="C84" s="85"/>
      <c r="D84" s="86"/>
      <c r="E84" s="61"/>
      <c r="F84" s="61"/>
      <c r="G84" s="61"/>
      <c r="H84" s="61"/>
      <c r="I84" s="61"/>
      <c r="J84" s="80">
        <f t="shared" ref="J84:K84" si="92">SUM(J79:J83)</f>
        <v>257299000</v>
      </c>
      <c r="K84" s="80">
        <f t="shared" si="92"/>
        <v>29641710</v>
      </c>
      <c r="L84" s="87"/>
      <c r="M84" s="80">
        <f>SUM(M79:M83)</f>
        <v>3734739</v>
      </c>
      <c r="N84" s="87"/>
      <c r="O84" s="88">
        <f>SUM(O79:O83)</f>
        <v>1865195.6521739131</v>
      </c>
      <c r="P84" s="87"/>
      <c r="Q84" s="88">
        <f>SUM(Q79:Q83)</f>
        <v>32722544.347826093</v>
      </c>
      <c r="R84" s="87"/>
      <c r="S84" s="80">
        <f>SUM(S79:S83)</f>
        <v>128497460.86956522</v>
      </c>
      <c r="T84" s="87"/>
      <c r="U84" s="88">
        <f>SUM(U79:U83)</f>
        <v>11510921.739130436</v>
      </c>
      <c r="V84" s="87"/>
      <c r="W84" s="87"/>
      <c r="X84" s="87"/>
      <c r="Y84" s="87"/>
      <c r="Z84" s="80">
        <f>SUM(Z79:Z83)</f>
        <v>465271571.60869569</v>
      </c>
      <c r="AA84" s="89">
        <f t="shared" si="78"/>
        <v>38757121.91500435</v>
      </c>
      <c r="AB84" s="89">
        <f t="shared" si="78"/>
        <v>4652715.7160869567</v>
      </c>
      <c r="AC84" s="89">
        <f t="shared" si="78"/>
        <v>38757121.91500435</v>
      </c>
      <c r="AD84" s="89">
        <f t="shared" si="79"/>
        <v>18165765.22908261</v>
      </c>
      <c r="AE84" s="89">
        <f>($Z84-$K84)*AE$7</f>
        <v>52275583.393043481</v>
      </c>
      <c r="AF84" s="80">
        <f>($Z84-$K84)*AF$77</f>
        <v>10611943.428787827</v>
      </c>
      <c r="AG84" s="89">
        <f t="shared" si="80"/>
        <v>18151825.073511131</v>
      </c>
      <c r="AH84" s="90">
        <f>SUBTOTAL(9,AH79:AH83)</f>
        <v>646643648.27921641</v>
      </c>
      <c r="AI84" s="51"/>
      <c r="AJ84" s="91">
        <f t="shared" ref="AJ84:AK84" si="93">SUBTOTAL(9,AJ79:AJ83)</f>
        <v>33</v>
      </c>
      <c r="AK84" s="91">
        <f t="shared" si="93"/>
        <v>28</v>
      </c>
      <c r="AL84" s="109"/>
      <c r="AM84" s="91">
        <f t="shared" ref="AM84:AV84" si="94">SUBTOTAL(9,AM79:AM83)</f>
        <v>32</v>
      </c>
      <c r="AN84" s="91">
        <f t="shared" si="94"/>
        <v>32</v>
      </c>
      <c r="AO84" s="91">
        <f t="shared" si="94"/>
        <v>33</v>
      </c>
      <c r="AP84" s="91">
        <f t="shared" si="94"/>
        <v>33</v>
      </c>
      <c r="AQ84" s="91">
        <f t="shared" si="94"/>
        <v>32</v>
      </c>
      <c r="AR84" s="91">
        <f t="shared" si="94"/>
        <v>33</v>
      </c>
      <c r="AS84" s="91">
        <f t="shared" si="94"/>
        <v>30</v>
      </c>
      <c r="AT84" s="91">
        <f t="shared" si="94"/>
        <v>32</v>
      </c>
      <c r="AU84" s="91">
        <f t="shared" si="94"/>
        <v>32</v>
      </c>
      <c r="AV84" s="91">
        <f t="shared" si="94"/>
        <v>33</v>
      </c>
      <c r="AW84" s="1"/>
      <c r="AX84" s="1"/>
      <c r="AY84" s="1"/>
      <c r="AZ84" s="1"/>
      <c r="BA84" s="1"/>
      <c r="BB84" s="1"/>
      <c r="BC84" s="1"/>
      <c r="BD84" s="1"/>
    </row>
    <row r="85" spans="1:56" customFormat="1" ht="11.25" customHeight="1" x14ac:dyDescent="0.25">
      <c r="A85" s="1"/>
      <c r="B85" s="92"/>
      <c r="C85" s="92"/>
      <c r="D85" s="4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93">
        <f>+M84+O84+Q84+S84+U84</f>
        <v>178330861.60869566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94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1"/>
      <c r="AW85" s="1"/>
      <c r="AX85" s="1"/>
      <c r="AY85" s="1"/>
      <c r="AZ85" s="1"/>
      <c r="BA85" s="1"/>
      <c r="BB85" s="1"/>
      <c r="BC85" s="1"/>
      <c r="BD85" s="1"/>
    </row>
    <row r="86" spans="1:56" x14ac:dyDescent="0.2">
      <c r="K86" s="1" t="s">
        <v>126</v>
      </c>
      <c r="L86" s="1">
        <f>2*10*D79</f>
        <v>180</v>
      </c>
      <c r="O86" s="1" t="s">
        <v>127</v>
      </c>
      <c r="P86" s="1">
        <f>12*AW81</f>
        <v>2952</v>
      </c>
      <c r="R86" s="1">
        <f>8*AW80*D79</f>
        <v>4320</v>
      </c>
      <c r="T86" s="1">
        <f>12*AW80</f>
        <v>720</v>
      </c>
    </row>
    <row r="87" spans="1:56" x14ac:dyDescent="0.2">
      <c r="K87" s="1" t="s">
        <v>126</v>
      </c>
      <c r="L87" s="1">
        <f>2*10*D81</f>
        <v>140</v>
      </c>
      <c r="P87" s="1">
        <f>14*10</f>
        <v>140</v>
      </c>
      <c r="R87" s="1">
        <f>8*12*D80</f>
        <v>0</v>
      </c>
    </row>
    <row r="88" spans="1:56" x14ac:dyDescent="0.2">
      <c r="R88" s="1">
        <f>8*AW80*D81</f>
        <v>3360</v>
      </c>
    </row>
    <row r="89" spans="1:56" x14ac:dyDescent="0.2">
      <c r="Q89" s="1" t="s">
        <v>128</v>
      </c>
      <c r="R89" s="1">
        <f>8*(AW80/2)</f>
        <v>240</v>
      </c>
    </row>
    <row r="90" spans="1:56" x14ac:dyDescent="0.2">
      <c r="B90" s="2" t="s">
        <v>129</v>
      </c>
      <c r="E90" s="74"/>
      <c r="F90" s="95"/>
      <c r="AG90" s="3"/>
      <c r="AH90" s="4"/>
      <c r="AI90" s="4"/>
      <c r="AR90" s="1"/>
      <c r="AS90" s="1"/>
    </row>
    <row r="91" spans="1:56" x14ac:dyDescent="0.2">
      <c r="B91" s="95" t="s">
        <v>83</v>
      </c>
      <c r="C91" s="95"/>
      <c r="D91" s="196" t="s">
        <v>84</v>
      </c>
      <c r="E91" s="212" t="s">
        <v>85</v>
      </c>
      <c r="F91" s="75" t="s">
        <v>86</v>
      </c>
      <c r="H91" s="137" t="s">
        <v>130</v>
      </c>
      <c r="I91" s="136" t="s">
        <v>131</v>
      </c>
      <c r="J91" s="48" t="s">
        <v>26</v>
      </c>
      <c r="AG91" s="3"/>
      <c r="AH91" s="4"/>
      <c r="AI91" s="4"/>
      <c r="AR91" s="1"/>
      <c r="AS91" s="1"/>
    </row>
    <row r="92" spans="1:56" x14ac:dyDescent="0.2">
      <c r="B92" s="71" t="s">
        <v>132</v>
      </c>
      <c r="C92" s="61"/>
      <c r="D92" s="197"/>
      <c r="E92" s="214"/>
      <c r="F92" s="210"/>
      <c r="G92" s="134" t="s">
        <v>133</v>
      </c>
      <c r="H92" s="137">
        <f t="shared" ref="H92:I92" si="95">+H94+H93</f>
        <v>10</v>
      </c>
      <c r="I92" s="136">
        <f t="shared" si="95"/>
        <v>8</v>
      </c>
      <c r="J92" s="48">
        <f t="shared" ref="J92:J94" si="96">+H92+I92</f>
        <v>18</v>
      </c>
      <c r="AG92" s="3"/>
      <c r="AH92" s="4"/>
      <c r="AI92" s="4"/>
      <c r="AR92" s="1"/>
      <c r="AS92" s="1"/>
    </row>
    <row r="93" spans="1:56" x14ac:dyDescent="0.2">
      <c r="B93" s="96" t="s">
        <v>134</v>
      </c>
      <c r="C93" s="97" t="s">
        <v>89</v>
      </c>
      <c r="D93" s="198">
        <v>10</v>
      </c>
      <c r="E93" s="205"/>
      <c r="F93" s="202"/>
      <c r="G93" s="135" t="s">
        <v>135</v>
      </c>
      <c r="H93" s="137">
        <v>3</v>
      </c>
      <c r="I93" s="136">
        <v>1</v>
      </c>
      <c r="J93" s="48">
        <f t="shared" si="96"/>
        <v>4</v>
      </c>
      <c r="AG93" s="3"/>
      <c r="AH93" s="4"/>
      <c r="AI93" s="4"/>
      <c r="AR93" s="1"/>
      <c r="AS93" s="1"/>
    </row>
    <row r="94" spans="1:56" x14ac:dyDescent="0.2">
      <c r="B94" s="96" t="s">
        <v>136</v>
      </c>
      <c r="C94" s="97" t="s">
        <v>89</v>
      </c>
      <c r="D94" s="198">
        <f>+H94*3</f>
        <v>21</v>
      </c>
      <c r="E94" s="205"/>
      <c r="F94" s="202"/>
      <c r="G94" s="135" t="s">
        <v>137</v>
      </c>
      <c r="H94" s="137">
        <v>7</v>
      </c>
      <c r="I94" s="136">
        <v>7</v>
      </c>
      <c r="J94" s="48">
        <f t="shared" si="96"/>
        <v>14</v>
      </c>
      <c r="AG94" s="3"/>
      <c r="AH94" s="4"/>
      <c r="AI94" s="4"/>
      <c r="AR94" s="1"/>
      <c r="AS94" s="1"/>
    </row>
    <row r="95" spans="1:56" x14ac:dyDescent="0.2">
      <c r="B95" s="96" t="s">
        <v>138</v>
      </c>
      <c r="C95" s="97" t="s">
        <v>89</v>
      </c>
      <c r="D95" s="198">
        <f>+H93*3</f>
        <v>9</v>
      </c>
      <c r="E95" s="205"/>
      <c r="F95" s="202"/>
      <c r="G95" s="60"/>
      <c r="AG95" s="3"/>
      <c r="AH95" s="4"/>
      <c r="AI95" s="4"/>
      <c r="AR95" s="1"/>
      <c r="AS95" s="1"/>
    </row>
    <row r="96" spans="1:56" x14ac:dyDescent="0.2">
      <c r="B96" s="96" t="s">
        <v>139</v>
      </c>
      <c r="C96" s="97" t="s">
        <v>89</v>
      </c>
      <c r="D96" s="198">
        <f>+H94*3</f>
        <v>21</v>
      </c>
      <c r="E96" s="205"/>
      <c r="F96" s="202"/>
      <c r="G96" s="60"/>
      <c r="I96" s="60"/>
      <c r="AG96" s="3"/>
      <c r="AH96" s="4"/>
      <c r="AI96" s="4"/>
      <c r="AR96" s="1"/>
      <c r="AS96" s="1"/>
    </row>
    <row r="97" spans="1:57" x14ac:dyDescent="0.2">
      <c r="B97" s="96" t="s">
        <v>140</v>
      </c>
      <c r="C97" s="97" t="s">
        <v>89</v>
      </c>
      <c r="D97" s="198">
        <f>+H92*2</f>
        <v>20</v>
      </c>
      <c r="E97" s="205"/>
      <c r="F97" s="202"/>
      <c r="G97" s="60"/>
      <c r="I97" s="60"/>
      <c r="AG97" s="3"/>
      <c r="AH97" s="4"/>
      <c r="AI97" s="4"/>
      <c r="AR97" s="1"/>
      <c r="AS97" s="1"/>
    </row>
    <row r="98" spans="1:57" x14ac:dyDescent="0.2">
      <c r="B98" s="96" t="s">
        <v>141</v>
      </c>
      <c r="C98" s="97" t="s">
        <v>89</v>
      </c>
      <c r="D98" s="198">
        <f>+H92*2</f>
        <v>20</v>
      </c>
      <c r="E98" s="205"/>
      <c r="F98" s="202"/>
      <c r="G98" s="60"/>
      <c r="I98" s="60"/>
      <c r="AG98" s="3"/>
      <c r="AH98" s="4"/>
      <c r="AI98" s="4"/>
      <c r="AR98" s="1"/>
      <c r="AS98" s="1"/>
    </row>
    <row r="99" spans="1:57" x14ac:dyDescent="0.2">
      <c r="B99" s="99" t="s">
        <v>142</v>
      </c>
      <c r="C99" s="100" t="s">
        <v>89</v>
      </c>
      <c r="D99" s="199">
        <f>+I92*3</f>
        <v>24</v>
      </c>
      <c r="E99" s="206"/>
      <c r="F99" s="211"/>
      <c r="G99" s="60"/>
      <c r="I99" s="60"/>
      <c r="N99" s="1">
        <v>5</v>
      </c>
      <c r="AG99" s="3"/>
      <c r="AH99" s="4"/>
      <c r="AI99" s="4"/>
      <c r="AR99" s="1"/>
      <c r="AS99" s="1"/>
    </row>
    <row r="100" spans="1:57" x14ac:dyDescent="0.2">
      <c r="B100" s="99" t="s">
        <v>143</v>
      </c>
      <c r="C100" s="100" t="s">
        <v>89</v>
      </c>
      <c r="D100" s="199">
        <f>+I92*2</f>
        <v>16</v>
      </c>
      <c r="E100" s="206"/>
      <c r="F100" s="211"/>
      <c r="G100" s="60"/>
      <c r="I100" s="60"/>
      <c r="N100" s="1">
        <v>15</v>
      </c>
      <c r="AG100" s="3"/>
      <c r="AH100" s="4"/>
      <c r="AI100" s="4"/>
      <c r="AR100" s="1"/>
      <c r="AS100" s="1"/>
    </row>
    <row r="101" spans="1:57" x14ac:dyDescent="0.2">
      <c r="B101" s="99" t="s">
        <v>144</v>
      </c>
      <c r="C101" s="100" t="s">
        <v>89</v>
      </c>
      <c r="D101" s="199">
        <f>+I92*2</f>
        <v>16</v>
      </c>
      <c r="E101" s="206"/>
      <c r="F101" s="211"/>
      <c r="G101" s="60"/>
      <c r="I101" s="60"/>
      <c r="N101" s="1">
        <f>N99*N100</f>
        <v>75</v>
      </c>
      <c r="AG101" s="3"/>
      <c r="AH101" s="4"/>
      <c r="AI101" s="4"/>
      <c r="AR101" s="1"/>
      <c r="AS101" s="1"/>
    </row>
    <row r="102" spans="1:57" x14ac:dyDescent="0.2">
      <c r="B102" s="71" t="s">
        <v>96</v>
      </c>
      <c r="C102" s="61"/>
      <c r="D102" s="197"/>
      <c r="E102" s="213"/>
      <c r="F102" s="101"/>
      <c r="G102" s="60">
        <f>SUM(F93:F101)</f>
        <v>0</v>
      </c>
      <c r="N102" s="1">
        <f>N101*10</f>
        <v>750</v>
      </c>
      <c r="AG102" s="3"/>
      <c r="AH102" s="4"/>
      <c r="AI102" s="4"/>
      <c r="AR102" s="1"/>
      <c r="AS102" s="1"/>
    </row>
    <row r="103" spans="1:57" x14ac:dyDescent="0.2">
      <c r="B103" s="102" t="s">
        <v>145</v>
      </c>
      <c r="C103" s="61" t="s">
        <v>97</v>
      </c>
      <c r="D103" s="78">
        <f>+J92*2</f>
        <v>36</v>
      </c>
      <c r="E103" s="209"/>
      <c r="F103" s="101"/>
      <c r="G103" s="60"/>
      <c r="AG103" s="3"/>
      <c r="AH103" s="4"/>
      <c r="AI103" s="4"/>
      <c r="AR103" s="1"/>
      <c r="AS103" s="1"/>
    </row>
    <row r="104" spans="1:57" x14ac:dyDescent="0.2">
      <c r="B104" s="102" t="s">
        <v>146</v>
      </c>
      <c r="C104" s="104" t="s">
        <v>97</v>
      </c>
      <c r="D104" s="200"/>
      <c r="E104" s="209"/>
      <c r="F104" s="105"/>
      <c r="G104" s="60">
        <f>+F103+F104</f>
        <v>0</v>
      </c>
      <c r="AG104" s="3"/>
      <c r="AH104" s="4"/>
      <c r="AI104" s="4"/>
      <c r="AR104" s="1"/>
      <c r="AS104" s="1"/>
    </row>
    <row r="105" spans="1:57" x14ac:dyDescent="0.2">
      <c r="B105" s="103" t="s">
        <v>81</v>
      </c>
      <c r="C105" s="32"/>
      <c r="D105" s="201"/>
      <c r="E105" s="193"/>
      <c r="F105" s="106"/>
      <c r="G105" s="60"/>
      <c r="AG105" s="3"/>
      <c r="AH105" s="4"/>
      <c r="AI105" s="4"/>
      <c r="AR105" s="1"/>
      <c r="AS105" s="1"/>
    </row>
    <row r="107" spans="1:57" x14ac:dyDescent="0.2">
      <c r="B107" s="2"/>
    </row>
    <row r="108" spans="1:57" x14ac:dyDescent="0.2">
      <c r="B108" s="2" t="s">
        <v>154</v>
      </c>
      <c r="E108" s="1">
        <v>255</v>
      </c>
      <c r="F108" s="1">
        <v>9</v>
      </c>
    </row>
    <row r="109" spans="1:57" customFormat="1" ht="32.25" customHeight="1" x14ac:dyDescent="0.25">
      <c r="A109" s="1"/>
      <c r="B109" s="226" t="s">
        <v>3</v>
      </c>
      <c r="C109" s="61"/>
      <c r="D109" s="219" t="s">
        <v>4</v>
      </c>
      <c r="E109" s="219" t="s">
        <v>5</v>
      </c>
      <c r="F109" s="228" t="s">
        <v>6</v>
      </c>
      <c r="G109" s="229"/>
      <c r="H109" s="230"/>
      <c r="I109" s="219" t="s">
        <v>7</v>
      </c>
      <c r="J109" s="219" t="s">
        <v>8</v>
      </c>
      <c r="K109" s="219" t="s">
        <v>9</v>
      </c>
      <c r="L109" s="217" t="s">
        <v>10</v>
      </c>
      <c r="M109" s="218"/>
      <c r="N109" s="217" t="s">
        <v>11</v>
      </c>
      <c r="O109" s="218"/>
      <c r="P109" s="217" t="s">
        <v>12</v>
      </c>
      <c r="Q109" s="218"/>
      <c r="R109" s="217" t="s">
        <v>13</v>
      </c>
      <c r="S109" s="218"/>
      <c r="T109" s="217" t="s">
        <v>14</v>
      </c>
      <c r="U109" s="218"/>
      <c r="V109" s="217" t="s">
        <v>15</v>
      </c>
      <c r="W109" s="218"/>
      <c r="X109" s="217" t="s">
        <v>16</v>
      </c>
      <c r="Y109" s="218"/>
      <c r="Z109" s="219" t="s">
        <v>17</v>
      </c>
      <c r="AA109" s="62" t="s">
        <v>18</v>
      </c>
      <c r="AB109" s="62" t="s">
        <v>19</v>
      </c>
      <c r="AC109" s="62" t="s">
        <v>20</v>
      </c>
      <c r="AD109" s="62" t="s">
        <v>21</v>
      </c>
      <c r="AE109" s="62" t="s">
        <v>22</v>
      </c>
      <c r="AF109" s="62" t="s">
        <v>23</v>
      </c>
      <c r="AG109" s="62" t="s">
        <v>24</v>
      </c>
      <c r="AH109" s="219" t="s">
        <v>25</v>
      </c>
      <c r="AI109" s="4"/>
      <c r="AJ109" s="63">
        <v>31</v>
      </c>
      <c r="AK109" s="63">
        <v>28</v>
      </c>
      <c r="AL109" s="109"/>
      <c r="AM109" s="63">
        <v>31</v>
      </c>
      <c r="AN109" s="63">
        <v>30</v>
      </c>
      <c r="AO109" s="63">
        <v>31</v>
      </c>
      <c r="AP109" s="63">
        <v>30</v>
      </c>
      <c r="AQ109" s="63">
        <v>31</v>
      </c>
      <c r="AR109" s="63">
        <v>31</v>
      </c>
      <c r="AS109" s="63">
        <v>30</v>
      </c>
      <c r="AT109" s="63">
        <v>31</v>
      </c>
      <c r="AU109" s="63">
        <v>30</v>
      </c>
      <c r="AV109" s="63">
        <v>31</v>
      </c>
      <c r="AW109" s="1"/>
      <c r="AX109" s="1"/>
      <c r="AY109" s="1"/>
      <c r="AZ109" s="1"/>
      <c r="BA109" s="1"/>
      <c r="BB109" s="1"/>
      <c r="BC109" s="1"/>
      <c r="BD109" s="1"/>
    </row>
    <row r="110" spans="1:57" customFormat="1" ht="11.25" customHeight="1" x14ac:dyDescent="0.25">
      <c r="A110" s="64" t="s">
        <v>27</v>
      </c>
      <c r="B110" s="227"/>
      <c r="C110" s="65"/>
      <c r="D110" s="220"/>
      <c r="E110" s="220"/>
      <c r="F110" s="231"/>
      <c r="G110" s="232"/>
      <c r="H110" s="233"/>
      <c r="I110" s="220"/>
      <c r="J110" s="220"/>
      <c r="K110" s="220"/>
      <c r="L110" s="63" t="s">
        <v>28</v>
      </c>
      <c r="M110" s="66">
        <v>1.25</v>
      </c>
      <c r="N110" s="63" t="s">
        <v>28</v>
      </c>
      <c r="O110" s="66">
        <v>1.75</v>
      </c>
      <c r="P110" s="63" t="s">
        <v>28</v>
      </c>
      <c r="Q110" s="66">
        <v>1.35</v>
      </c>
      <c r="R110" s="63" t="s">
        <v>28</v>
      </c>
      <c r="S110" s="66">
        <v>1.85</v>
      </c>
      <c r="T110" s="63" t="s">
        <v>28</v>
      </c>
      <c r="U110" s="66">
        <v>2.1</v>
      </c>
      <c r="V110" s="63" t="s">
        <v>28</v>
      </c>
      <c r="W110" s="66">
        <v>2</v>
      </c>
      <c r="X110" s="63" t="s">
        <v>28</v>
      </c>
      <c r="Y110" s="66">
        <v>2.5</v>
      </c>
      <c r="Z110" s="220"/>
      <c r="AA110" s="67">
        <v>8.3299999999999999E-2</v>
      </c>
      <c r="AB110" s="68">
        <v>0.01</v>
      </c>
      <c r="AC110" s="67">
        <v>8.3299999999999999E-2</v>
      </c>
      <c r="AD110" s="67">
        <v>4.1700000000000001E-2</v>
      </c>
      <c r="AE110" s="68">
        <v>0.12</v>
      </c>
      <c r="AF110" s="69">
        <v>2.436E-2</v>
      </c>
      <c r="AG110" s="67">
        <v>0.04</v>
      </c>
      <c r="AH110" s="222"/>
      <c r="AI110" s="4"/>
      <c r="AJ110" s="70" t="s">
        <v>114</v>
      </c>
      <c r="AK110" s="70" t="s">
        <v>115</v>
      </c>
      <c r="AL110" s="109"/>
      <c r="AM110" s="70" t="s">
        <v>29</v>
      </c>
      <c r="AN110" s="70" t="s">
        <v>30</v>
      </c>
      <c r="AO110" s="70" t="s">
        <v>31</v>
      </c>
      <c r="AP110" s="70" t="s">
        <v>32</v>
      </c>
      <c r="AQ110" s="70" t="s">
        <v>33</v>
      </c>
      <c r="AR110" s="70" t="s">
        <v>34</v>
      </c>
      <c r="AS110" s="70" t="s">
        <v>35</v>
      </c>
      <c r="AT110" s="70" t="s">
        <v>36</v>
      </c>
      <c r="AU110" s="70" t="s">
        <v>37</v>
      </c>
      <c r="AV110" s="70" t="s">
        <v>38</v>
      </c>
      <c r="AW110" s="1"/>
      <c r="AX110" s="1"/>
      <c r="AY110" s="1"/>
      <c r="AZ110" s="1"/>
      <c r="BA110" s="1"/>
      <c r="BB110" s="1"/>
      <c r="BC110" s="1"/>
      <c r="BD110" s="1"/>
    </row>
    <row r="111" spans="1:57" customFormat="1" ht="11.25" customHeight="1" x14ac:dyDescent="0.25">
      <c r="A111" s="1"/>
      <c r="B111" s="71" t="s">
        <v>116</v>
      </c>
      <c r="C111" s="71"/>
      <c r="D111" s="221"/>
      <c r="E111" s="221"/>
      <c r="F111" s="72" t="s">
        <v>40</v>
      </c>
      <c r="G111" s="72" t="s">
        <v>41</v>
      </c>
      <c r="H111" s="72" t="s">
        <v>42</v>
      </c>
      <c r="I111" s="222"/>
      <c r="J111" s="221"/>
      <c r="K111" s="221"/>
      <c r="L111" s="72" t="s">
        <v>43</v>
      </c>
      <c r="M111" s="72" t="s">
        <v>44</v>
      </c>
      <c r="N111" s="72" t="s">
        <v>43</v>
      </c>
      <c r="O111" s="72" t="s">
        <v>44</v>
      </c>
      <c r="P111" s="72" t="s">
        <v>43</v>
      </c>
      <c r="Q111" s="72" t="s">
        <v>44</v>
      </c>
      <c r="R111" s="72" t="s">
        <v>43</v>
      </c>
      <c r="S111" s="72" t="s">
        <v>44</v>
      </c>
      <c r="T111" s="72" t="s">
        <v>43</v>
      </c>
      <c r="U111" s="72" t="s">
        <v>44</v>
      </c>
      <c r="V111" s="72" t="s">
        <v>43</v>
      </c>
      <c r="W111" s="72" t="s">
        <v>44</v>
      </c>
      <c r="X111" s="72" t="s">
        <v>43</v>
      </c>
      <c r="Y111" s="72" t="s">
        <v>44</v>
      </c>
      <c r="Z111" s="221"/>
      <c r="AA111" s="61"/>
      <c r="AB111" s="61"/>
      <c r="AC111" s="61"/>
      <c r="AD111" s="61"/>
      <c r="AE111" s="61"/>
      <c r="AF111" s="61"/>
      <c r="AG111" s="61"/>
      <c r="AH111" s="61"/>
      <c r="AI111" s="73"/>
      <c r="AJ111" s="74">
        <v>4</v>
      </c>
      <c r="AK111" s="75">
        <v>4</v>
      </c>
      <c r="AL111" s="109"/>
      <c r="AM111" s="75">
        <v>5</v>
      </c>
      <c r="AN111" s="75">
        <v>4</v>
      </c>
      <c r="AO111" s="75">
        <v>5</v>
      </c>
      <c r="AP111" s="75">
        <v>4</v>
      </c>
      <c r="AQ111" s="75">
        <v>4</v>
      </c>
      <c r="AR111" s="75">
        <v>5</v>
      </c>
      <c r="AS111" s="75">
        <v>4</v>
      </c>
      <c r="AT111" s="75">
        <v>4</v>
      </c>
      <c r="AU111" s="75">
        <v>5</v>
      </c>
      <c r="AV111" s="75">
        <v>4</v>
      </c>
      <c r="AW111" s="1">
        <f>SUM(AM111:AV111)</f>
        <v>44</v>
      </c>
      <c r="AX111" s="1"/>
      <c r="AY111" s="1"/>
      <c r="AZ111" s="1"/>
      <c r="BA111" s="1"/>
      <c r="BB111" s="1"/>
      <c r="BC111" s="1"/>
      <c r="BD111" s="1"/>
    </row>
    <row r="112" spans="1:57" s="138" customFormat="1" x14ac:dyDescent="0.2">
      <c r="B112" s="142" t="s">
        <v>155</v>
      </c>
      <c r="C112" s="142" t="s">
        <v>169</v>
      </c>
      <c r="D112" s="180">
        <v>6</v>
      </c>
      <c r="E112" s="144">
        <f>+$E$108</f>
        <v>255</v>
      </c>
      <c r="F112" s="172">
        <v>2500000</v>
      </c>
      <c r="G112" s="146">
        <f>+$F112/30</f>
        <v>83333.333333333328</v>
      </c>
      <c r="H112" s="146">
        <f>+$F112/230</f>
        <v>10869.565217391304</v>
      </c>
      <c r="I112" s="79">
        <f t="shared" ref="I112:I125" si="97">IF(F112&lt;&gt;0,IF(F112&gt;3501810,0,ROUND(249095/30,0)),)</f>
        <v>8303</v>
      </c>
      <c r="J112" s="147">
        <f>+D112*E112*G112</f>
        <v>127500000</v>
      </c>
      <c r="K112" s="148">
        <f>+D112*E112*I112</f>
        <v>12703590</v>
      </c>
      <c r="L112" s="149">
        <v>10</v>
      </c>
      <c r="M112" s="150">
        <f>ROUND($H112*L112*M$7,0)</f>
        <v>135870</v>
      </c>
      <c r="N112" s="149">
        <v>100</v>
      </c>
      <c r="O112" s="150">
        <f t="shared" ref="O112:O123" si="98">+$H112*N112*O$7</f>
        <v>1902173.913043478</v>
      </c>
      <c r="P112" s="138">
        <v>100</v>
      </c>
      <c r="Q112" s="150">
        <f>+$H112*P112*Q$7</f>
        <v>1467391.3043478262</v>
      </c>
      <c r="R112" s="149">
        <v>50</v>
      </c>
      <c r="S112" s="150">
        <f>+$H112*R112*S$7</f>
        <v>951086.95652173902</v>
      </c>
      <c r="T112" s="149">
        <v>100</v>
      </c>
      <c r="U112" s="150">
        <f>+$H112*T112*U$7</f>
        <v>2282608.6956521738</v>
      </c>
      <c r="V112" s="149">
        <v>0</v>
      </c>
      <c r="W112" s="150">
        <f t="shared" ref="W112:W123" si="99">+$H112*V112*W$7</f>
        <v>0</v>
      </c>
      <c r="X112" s="149">
        <v>10</v>
      </c>
      <c r="Y112" s="150">
        <f t="shared" ref="Y112:Y123" si="100">+$H112*X112*Y$7</f>
        <v>271739.13043478259</v>
      </c>
      <c r="Z112" s="148">
        <f>+J112+K112+M112+O112+Q112+S112+U112+W112+Y112</f>
        <v>147214460</v>
      </c>
      <c r="AA112" s="146">
        <f>+$Z112*AA$7</f>
        <v>12262964.517999999</v>
      </c>
      <c r="AB112" s="146">
        <f>+$Z112*AB$7</f>
        <v>1472144.6</v>
      </c>
      <c r="AC112" s="146">
        <f>+$Z112*AC$7</f>
        <v>12262964.517999999</v>
      </c>
      <c r="AD112" s="146">
        <f>($Z112-$K112)*AD$7</f>
        <v>5609103.2790000001</v>
      </c>
      <c r="AE112" s="146">
        <f>($Z112-$K112)*AE$7</f>
        <v>16141304.399999999</v>
      </c>
      <c r="AF112" s="146">
        <f>($Z112-$K112)*AF$7</f>
        <v>9361956.5519999992</v>
      </c>
      <c r="AG112" s="146">
        <f>($Z112-$K112+AD112)*AG$7</f>
        <v>5604798.9311600011</v>
      </c>
      <c r="AH112" s="148">
        <f>SUM(Z112:AG112)</f>
        <v>209929696.79816002</v>
      </c>
      <c r="AI112" s="3">
        <f>(Z112/D112)/10</f>
        <v>2453574.333333333</v>
      </c>
      <c r="AJ112" s="143">
        <v>6</v>
      </c>
      <c r="AK112" s="143">
        <v>6</v>
      </c>
      <c r="AL112" s="143">
        <v>6</v>
      </c>
      <c r="AM112" s="143">
        <v>6</v>
      </c>
      <c r="AN112" s="143">
        <v>6</v>
      </c>
      <c r="AO112" s="143">
        <v>6</v>
      </c>
      <c r="AP112" s="143">
        <v>6</v>
      </c>
      <c r="AQ112" s="143">
        <v>6</v>
      </c>
      <c r="AR112" s="143">
        <v>6</v>
      </c>
      <c r="AS112" s="143">
        <v>6</v>
      </c>
      <c r="AU112" s="138">
        <f>IF(AJ112&lt;&gt;"",AJ$6,"")</f>
        <v>30</v>
      </c>
      <c r="AV112" s="138">
        <f t="shared" ref="AV112:BD123" si="101">IF(AK112&lt;&gt;"",AK$6,"")</f>
        <v>30</v>
      </c>
      <c r="AW112" s="138">
        <f t="shared" si="101"/>
        <v>30</v>
      </c>
      <c r="AX112" s="138">
        <f t="shared" si="101"/>
        <v>30</v>
      </c>
      <c r="AY112" s="138">
        <f t="shared" si="101"/>
        <v>30</v>
      </c>
      <c r="AZ112" s="138">
        <f t="shared" si="101"/>
        <v>30</v>
      </c>
      <c r="BA112" s="138">
        <f t="shared" si="101"/>
        <v>30</v>
      </c>
      <c r="BB112" s="138">
        <f t="shared" si="101"/>
        <v>30</v>
      </c>
      <c r="BC112" s="138">
        <f t="shared" si="101"/>
        <v>30</v>
      </c>
      <c r="BD112" s="138">
        <f t="shared" si="101"/>
        <v>30</v>
      </c>
      <c r="BE112" s="138">
        <f>SUM(AU112:BD112)</f>
        <v>300</v>
      </c>
    </row>
    <row r="113" spans="2:57" s="138" customFormat="1" x14ac:dyDescent="0.2">
      <c r="B113" s="142" t="s">
        <v>156</v>
      </c>
      <c r="C113" s="142" t="s">
        <v>169</v>
      </c>
      <c r="D113" s="177">
        <v>5</v>
      </c>
      <c r="E113" s="144">
        <f t="shared" ref="E113:E125" si="102">+$E$108</f>
        <v>255</v>
      </c>
      <c r="F113" s="172">
        <v>1750905</v>
      </c>
      <c r="G113" s="146">
        <f t="shared" ref="G113:G123" si="103">+$F113/30</f>
        <v>58363.5</v>
      </c>
      <c r="H113" s="146">
        <f t="shared" ref="H113:H123" si="104">+$F113/230</f>
        <v>7612.630434782609</v>
      </c>
      <c r="I113" s="79">
        <f t="shared" si="97"/>
        <v>8303</v>
      </c>
      <c r="J113" s="147">
        <f t="shared" ref="J113:J125" si="105">+D113*E113*G113</f>
        <v>74413462.5</v>
      </c>
      <c r="K113" s="148">
        <f t="shared" ref="K113:K125" si="106">+D113*E113*I113</f>
        <v>10586325</v>
      </c>
      <c r="L113" s="149">
        <v>10</v>
      </c>
      <c r="M113" s="150">
        <f t="shared" ref="M113:M123" si="107">ROUND($H113*L113*M$7,0)</f>
        <v>95158</v>
      </c>
      <c r="N113" s="149">
        <v>100</v>
      </c>
      <c r="O113" s="150">
        <f t="shared" si="98"/>
        <v>1332210.3260869565</v>
      </c>
      <c r="P113" s="138">
        <v>100</v>
      </c>
      <c r="Q113" s="150">
        <f t="shared" ref="Q113:Q123" si="108">+$H113*P113*Q$7</f>
        <v>1027705.1086956522</v>
      </c>
      <c r="R113" s="149">
        <v>50</v>
      </c>
      <c r="S113" s="150">
        <f t="shared" ref="S113:S123" si="109">+$H113*R113*S$7</f>
        <v>666105.16304347827</v>
      </c>
      <c r="T113" s="149">
        <v>100</v>
      </c>
      <c r="U113" s="150">
        <f t="shared" ref="U113:U123" si="110">+$H113*T113*U$7</f>
        <v>1598652.3913043479</v>
      </c>
      <c r="V113" s="149">
        <v>0</v>
      </c>
      <c r="W113" s="150">
        <f t="shared" si="99"/>
        <v>0</v>
      </c>
      <c r="X113" s="149">
        <v>10</v>
      </c>
      <c r="Y113" s="150">
        <f t="shared" si="100"/>
        <v>190315.76086956525</v>
      </c>
      <c r="Z113" s="148">
        <f t="shared" ref="Z113:Z125" si="111">+J113+K113+M113+O113+Q113+S113+U113+W113+Y113</f>
        <v>89909934.25</v>
      </c>
      <c r="AA113" s="146">
        <f t="shared" ref="AA113:AC125" si="112">+$Z113*AA$7</f>
        <v>7489497.5230249995</v>
      </c>
      <c r="AB113" s="146">
        <f t="shared" si="112"/>
        <v>899099.34250000003</v>
      </c>
      <c r="AC113" s="146">
        <f t="shared" si="112"/>
        <v>7489497.5230249995</v>
      </c>
      <c r="AD113" s="146">
        <f t="shared" ref="AD113:AF125" si="113">($Z113-$K113)*AD$7</f>
        <v>3307794.5057250001</v>
      </c>
      <c r="AE113" s="146">
        <f t="shared" si="113"/>
        <v>9518833.1099999994</v>
      </c>
      <c r="AF113" s="146">
        <f t="shared" si="113"/>
        <v>5520923.2037999993</v>
      </c>
      <c r="AG113" s="146">
        <f t="shared" ref="AG113:AG123" si="114">($Z113-$K113+AD113)*AG$7</f>
        <v>3305256.150229</v>
      </c>
      <c r="AH113" s="148">
        <f t="shared" ref="AH113:AH123" si="115">SUM(Z113:AG113)</f>
        <v>127440835.60830401</v>
      </c>
      <c r="AI113" s="3">
        <f t="shared" ref="AI113:AI125" si="116">(Z113/D113)/10</f>
        <v>1798198.6850000001</v>
      </c>
      <c r="AJ113" s="143">
        <v>3</v>
      </c>
      <c r="AK113" s="143">
        <v>3</v>
      </c>
      <c r="AL113" s="143">
        <v>3</v>
      </c>
      <c r="AM113" s="143">
        <v>3</v>
      </c>
      <c r="AN113" s="143">
        <v>3</v>
      </c>
      <c r="AO113" s="143">
        <v>3</v>
      </c>
      <c r="AP113" s="143">
        <v>3</v>
      </c>
      <c r="AQ113" s="143">
        <v>3</v>
      </c>
      <c r="AR113" s="143">
        <v>3</v>
      </c>
      <c r="AS113" s="143">
        <v>3</v>
      </c>
      <c r="AU113" s="138">
        <f t="shared" ref="AU113:BD125" si="117">IF(AJ113&lt;&gt;"",AJ$6,"")</f>
        <v>30</v>
      </c>
      <c r="AV113" s="138">
        <f t="shared" si="101"/>
        <v>30</v>
      </c>
      <c r="AW113" s="138">
        <f t="shared" si="101"/>
        <v>30</v>
      </c>
      <c r="AX113" s="138">
        <f t="shared" si="101"/>
        <v>30</v>
      </c>
      <c r="AY113" s="138">
        <f t="shared" si="101"/>
        <v>30</v>
      </c>
      <c r="AZ113" s="138">
        <f t="shared" si="101"/>
        <v>30</v>
      </c>
      <c r="BA113" s="138">
        <f t="shared" si="101"/>
        <v>30</v>
      </c>
      <c r="BB113" s="138">
        <f t="shared" si="101"/>
        <v>30</v>
      </c>
      <c r="BC113" s="138">
        <f t="shared" si="101"/>
        <v>30</v>
      </c>
      <c r="BD113" s="138">
        <f t="shared" si="101"/>
        <v>30</v>
      </c>
      <c r="BE113" s="138">
        <f t="shared" ref="BE113:BE123" si="118">SUM(AU113:BD113)</f>
        <v>300</v>
      </c>
    </row>
    <row r="114" spans="2:57" s="138" customFormat="1" x14ac:dyDescent="0.2">
      <c r="B114" s="142" t="s">
        <v>165</v>
      </c>
      <c r="C114" s="142" t="s">
        <v>169</v>
      </c>
      <c r="D114" s="175">
        <v>2</v>
      </c>
      <c r="E114" s="144">
        <f t="shared" si="102"/>
        <v>255</v>
      </c>
      <c r="F114" s="172">
        <v>1750905</v>
      </c>
      <c r="G114" s="146">
        <f t="shared" si="103"/>
        <v>58363.5</v>
      </c>
      <c r="H114" s="146">
        <f t="shared" si="104"/>
        <v>7612.630434782609</v>
      </c>
      <c r="I114" s="79">
        <f t="shared" si="97"/>
        <v>8303</v>
      </c>
      <c r="J114" s="147">
        <f t="shared" si="105"/>
        <v>29765385</v>
      </c>
      <c r="K114" s="148">
        <f t="shared" si="106"/>
        <v>4234530</v>
      </c>
      <c r="L114" s="149">
        <v>10</v>
      </c>
      <c r="M114" s="150">
        <f t="shared" si="107"/>
        <v>95158</v>
      </c>
      <c r="N114" s="149">
        <v>100</v>
      </c>
      <c r="O114" s="150">
        <f t="shared" si="98"/>
        <v>1332210.3260869565</v>
      </c>
      <c r="P114" s="138">
        <v>100</v>
      </c>
      <c r="Q114" s="150">
        <f t="shared" si="108"/>
        <v>1027705.1086956522</v>
      </c>
      <c r="R114" s="149">
        <v>50</v>
      </c>
      <c r="S114" s="150">
        <f t="shared" si="109"/>
        <v>666105.16304347827</v>
      </c>
      <c r="T114" s="149">
        <v>100</v>
      </c>
      <c r="U114" s="150">
        <f t="shared" si="110"/>
        <v>1598652.3913043479</v>
      </c>
      <c r="V114" s="149">
        <v>0</v>
      </c>
      <c r="W114" s="150">
        <f t="shared" si="99"/>
        <v>0</v>
      </c>
      <c r="X114" s="149">
        <v>10</v>
      </c>
      <c r="Y114" s="150">
        <f t="shared" si="100"/>
        <v>190315.76086956525</v>
      </c>
      <c r="Z114" s="148">
        <f t="shared" si="111"/>
        <v>38910061.749999993</v>
      </c>
      <c r="AA114" s="146">
        <f t="shared" si="112"/>
        <v>3241208.1437749993</v>
      </c>
      <c r="AB114" s="146">
        <f t="shared" si="112"/>
        <v>389100.61749999993</v>
      </c>
      <c r="AC114" s="146">
        <f t="shared" si="112"/>
        <v>3241208.1437749993</v>
      </c>
      <c r="AD114" s="146">
        <f t="shared" si="113"/>
        <v>1445969.6739749997</v>
      </c>
      <c r="AE114" s="146">
        <f t="shared" si="113"/>
        <v>4161063.8099999991</v>
      </c>
      <c r="AF114" s="146">
        <f t="shared" si="113"/>
        <v>2413417.0097999992</v>
      </c>
      <c r="AG114" s="146">
        <f t="shared" si="114"/>
        <v>1444860.0569589997</v>
      </c>
      <c r="AH114" s="148">
        <f t="shared" si="115"/>
        <v>55246889.205784</v>
      </c>
      <c r="AI114" s="3">
        <f>(Z114/D114)/10</f>
        <v>1945503.0874999997</v>
      </c>
      <c r="AJ114" s="143">
        <v>4</v>
      </c>
      <c r="AK114" s="143">
        <v>4</v>
      </c>
      <c r="AL114" s="143">
        <v>4</v>
      </c>
      <c r="AM114" s="143">
        <v>4</v>
      </c>
      <c r="AN114" s="143">
        <v>4</v>
      </c>
      <c r="AO114" s="143">
        <v>4</v>
      </c>
      <c r="AP114" s="143">
        <v>4</v>
      </c>
      <c r="AQ114" s="143">
        <v>4</v>
      </c>
      <c r="AR114" s="143">
        <v>4</v>
      </c>
      <c r="AS114" s="143">
        <v>4</v>
      </c>
      <c r="AU114" s="138">
        <f t="shared" si="117"/>
        <v>30</v>
      </c>
      <c r="AV114" s="138">
        <f t="shared" si="101"/>
        <v>30</v>
      </c>
      <c r="AW114" s="138">
        <f t="shared" si="101"/>
        <v>30</v>
      </c>
      <c r="AX114" s="138">
        <f t="shared" si="101"/>
        <v>30</v>
      </c>
      <c r="AY114" s="138">
        <f t="shared" si="101"/>
        <v>30</v>
      </c>
      <c r="AZ114" s="138">
        <f t="shared" si="101"/>
        <v>30</v>
      </c>
      <c r="BA114" s="138">
        <f t="shared" si="101"/>
        <v>30</v>
      </c>
      <c r="BB114" s="138">
        <f t="shared" si="101"/>
        <v>30</v>
      </c>
      <c r="BC114" s="138">
        <f t="shared" si="101"/>
        <v>30</v>
      </c>
      <c r="BD114" s="138">
        <f t="shared" si="101"/>
        <v>30</v>
      </c>
      <c r="BE114" s="138">
        <f t="shared" si="118"/>
        <v>300</v>
      </c>
    </row>
    <row r="115" spans="2:57" s="138" customFormat="1" x14ac:dyDescent="0.2">
      <c r="B115" s="142" t="s">
        <v>157</v>
      </c>
      <c r="C115" s="142" t="s">
        <v>169</v>
      </c>
      <c r="D115" s="173">
        <v>2</v>
      </c>
      <c r="E115" s="144">
        <f t="shared" si="102"/>
        <v>255</v>
      </c>
      <c r="F115" s="172">
        <v>2800000</v>
      </c>
      <c r="G115" s="146">
        <f t="shared" si="103"/>
        <v>93333.333333333328</v>
      </c>
      <c r="H115" s="146">
        <f t="shared" si="104"/>
        <v>12173.91304347826</v>
      </c>
      <c r="I115" s="79">
        <f t="shared" si="97"/>
        <v>8303</v>
      </c>
      <c r="J115" s="147">
        <f t="shared" si="105"/>
        <v>47600000</v>
      </c>
      <c r="K115" s="148">
        <f t="shared" si="106"/>
        <v>4234530</v>
      </c>
      <c r="L115" s="149">
        <v>10</v>
      </c>
      <c r="M115" s="150">
        <f t="shared" si="107"/>
        <v>152174</v>
      </c>
      <c r="N115" s="149">
        <v>100</v>
      </c>
      <c r="O115" s="150">
        <f t="shared" si="98"/>
        <v>2130434.7826086953</v>
      </c>
      <c r="P115" s="138">
        <v>100</v>
      </c>
      <c r="Q115" s="150">
        <f t="shared" si="108"/>
        <v>1643478.2608695652</v>
      </c>
      <c r="R115" s="149">
        <v>50</v>
      </c>
      <c r="S115" s="150">
        <f t="shared" si="109"/>
        <v>1065217.3913043477</v>
      </c>
      <c r="T115" s="149">
        <v>100</v>
      </c>
      <c r="U115" s="150">
        <f t="shared" si="110"/>
        <v>2556521.7391304346</v>
      </c>
      <c r="V115" s="149">
        <v>0</v>
      </c>
      <c r="W115" s="150">
        <f t="shared" si="99"/>
        <v>0</v>
      </c>
      <c r="X115" s="149">
        <v>10</v>
      </c>
      <c r="Y115" s="150">
        <f t="shared" si="100"/>
        <v>304347.82608695648</v>
      </c>
      <c r="Z115" s="148">
        <f t="shared" si="111"/>
        <v>59686704</v>
      </c>
      <c r="AA115" s="146">
        <f t="shared" si="112"/>
        <v>4971902.4431999996</v>
      </c>
      <c r="AB115" s="146">
        <f t="shared" si="112"/>
        <v>596867.04</v>
      </c>
      <c r="AC115" s="146">
        <f t="shared" si="112"/>
        <v>4971902.4431999996</v>
      </c>
      <c r="AD115" s="146">
        <f t="shared" si="113"/>
        <v>2312355.6557999998</v>
      </c>
      <c r="AE115" s="146">
        <f t="shared" si="113"/>
        <v>6654260.8799999999</v>
      </c>
      <c r="AF115" s="146">
        <f t="shared" si="113"/>
        <v>3859471.3103999998</v>
      </c>
      <c r="AG115" s="146">
        <f t="shared" si="114"/>
        <v>2310581.1862320001</v>
      </c>
      <c r="AH115" s="148">
        <f t="shared" si="115"/>
        <v>85364044.958831996</v>
      </c>
      <c r="AI115" s="3">
        <f t="shared" si="116"/>
        <v>2984335.2</v>
      </c>
      <c r="AJ115" s="143">
        <v>2</v>
      </c>
      <c r="AK115" s="143">
        <v>2</v>
      </c>
      <c r="AL115" s="143">
        <v>2</v>
      </c>
      <c r="AM115" s="143">
        <v>2</v>
      </c>
      <c r="AN115" s="143">
        <v>2</v>
      </c>
      <c r="AO115" s="143">
        <v>2</v>
      </c>
      <c r="AP115" s="143">
        <v>2</v>
      </c>
      <c r="AQ115" s="143">
        <v>2</v>
      </c>
      <c r="AR115" s="143">
        <v>2</v>
      </c>
      <c r="AS115" s="143">
        <v>2</v>
      </c>
      <c r="AU115" s="138">
        <f t="shared" si="117"/>
        <v>30</v>
      </c>
      <c r="AV115" s="138">
        <f t="shared" si="101"/>
        <v>30</v>
      </c>
      <c r="AW115" s="138">
        <f t="shared" si="101"/>
        <v>30</v>
      </c>
      <c r="AX115" s="138">
        <f t="shared" si="101"/>
        <v>30</v>
      </c>
      <c r="AY115" s="138">
        <f t="shared" si="101"/>
        <v>30</v>
      </c>
      <c r="AZ115" s="138">
        <f t="shared" si="101"/>
        <v>30</v>
      </c>
      <c r="BA115" s="138">
        <f t="shared" si="101"/>
        <v>30</v>
      </c>
      <c r="BB115" s="138">
        <f t="shared" si="101"/>
        <v>30</v>
      </c>
      <c r="BC115" s="138">
        <f t="shared" si="101"/>
        <v>30</v>
      </c>
      <c r="BD115" s="138">
        <f t="shared" si="101"/>
        <v>30</v>
      </c>
      <c r="BE115" s="138">
        <f t="shared" si="118"/>
        <v>300</v>
      </c>
    </row>
    <row r="116" spans="2:57" s="138" customFormat="1" x14ac:dyDescent="0.2">
      <c r="B116" s="142" t="s">
        <v>166</v>
      </c>
      <c r="C116" s="142" t="s">
        <v>169</v>
      </c>
      <c r="D116" s="173">
        <v>3</v>
      </c>
      <c r="E116" s="144">
        <f t="shared" si="102"/>
        <v>255</v>
      </c>
      <c r="F116" s="172">
        <v>2200000</v>
      </c>
      <c r="G116" s="146">
        <f>+$F116/30</f>
        <v>73333.333333333328</v>
      </c>
      <c r="H116" s="146">
        <f>+$F116/230</f>
        <v>9565.217391304348</v>
      </c>
      <c r="I116" s="79">
        <f t="shared" si="97"/>
        <v>8303</v>
      </c>
      <c r="J116" s="147">
        <f t="shared" si="105"/>
        <v>56100000</v>
      </c>
      <c r="K116" s="148">
        <f t="shared" si="106"/>
        <v>6351795</v>
      </c>
      <c r="L116" s="149">
        <v>10</v>
      </c>
      <c r="M116" s="150">
        <f>ROUND($H116*L116*M$7,0)</f>
        <v>119565</v>
      </c>
      <c r="N116" s="149">
        <v>100</v>
      </c>
      <c r="O116" s="150">
        <f>+$H116*N116*O$7</f>
        <v>1673913.043478261</v>
      </c>
      <c r="P116" s="138">
        <v>100</v>
      </c>
      <c r="Q116" s="150">
        <f>+$H116*P116*Q$7</f>
        <v>1291304.3478260871</v>
      </c>
      <c r="R116" s="149">
        <v>50</v>
      </c>
      <c r="S116" s="150">
        <f>+$H116*R116*S$7</f>
        <v>836956.52173913049</v>
      </c>
      <c r="T116" s="149">
        <v>100</v>
      </c>
      <c r="U116" s="150">
        <f>+$H116*T116*U$7</f>
        <v>2008695.6521739131</v>
      </c>
      <c r="V116" s="149">
        <v>0</v>
      </c>
      <c r="W116" s="150">
        <f>+$H116*V116*W$7</f>
        <v>0</v>
      </c>
      <c r="X116" s="149">
        <v>10</v>
      </c>
      <c r="Y116" s="150">
        <f>+$H116*X116*Y$7</f>
        <v>239130.4347826087</v>
      </c>
      <c r="Z116" s="148">
        <f t="shared" si="111"/>
        <v>68621360</v>
      </c>
      <c r="AA116" s="146">
        <f>+$Z116*AA$7</f>
        <v>5716159.2879999997</v>
      </c>
      <c r="AB116" s="146">
        <f>+$Z116*AB$7</f>
        <v>686213.6</v>
      </c>
      <c r="AC116" s="146">
        <f>+$Z116*AC$7</f>
        <v>5716159.2879999997</v>
      </c>
      <c r="AD116" s="146">
        <f>($Z116-$K116)*AD$7</f>
        <v>2596640.8605</v>
      </c>
      <c r="AE116" s="146">
        <f>($Z116-$K116)*AE$7</f>
        <v>7472347.7999999998</v>
      </c>
      <c r="AF116" s="146">
        <f>($Z116-$K116)*AF$7</f>
        <v>4333961.7239999995</v>
      </c>
      <c r="AG116" s="146">
        <f>($Z116-$K116+AD116)*AG$7</f>
        <v>2594648.2344200001</v>
      </c>
      <c r="AH116" s="148">
        <f t="shared" ref="AH116" si="119">SUM(Z116:AG116)</f>
        <v>97737490.794919997</v>
      </c>
      <c r="AI116" s="3">
        <f t="shared" si="116"/>
        <v>2287378.666666667</v>
      </c>
      <c r="AJ116" s="143">
        <v>3</v>
      </c>
      <c r="AK116" s="143">
        <v>3</v>
      </c>
      <c r="AL116" s="143">
        <v>3</v>
      </c>
      <c r="AM116" s="143">
        <v>3</v>
      </c>
      <c r="AN116" s="143">
        <v>3</v>
      </c>
      <c r="AO116" s="143">
        <v>3</v>
      </c>
      <c r="AP116" s="143">
        <v>3</v>
      </c>
      <c r="AQ116" s="143">
        <v>3</v>
      </c>
      <c r="AR116" s="143">
        <v>3</v>
      </c>
      <c r="AS116" s="143">
        <v>3</v>
      </c>
      <c r="AU116" s="138">
        <f t="shared" si="117"/>
        <v>30</v>
      </c>
      <c r="AV116" s="138">
        <f t="shared" si="117"/>
        <v>30</v>
      </c>
      <c r="AW116" s="138">
        <f t="shared" si="117"/>
        <v>30</v>
      </c>
      <c r="AX116" s="138">
        <f t="shared" si="117"/>
        <v>30</v>
      </c>
      <c r="AY116" s="138">
        <f t="shared" si="117"/>
        <v>30</v>
      </c>
      <c r="AZ116" s="138">
        <f t="shared" si="117"/>
        <v>30</v>
      </c>
      <c r="BA116" s="138">
        <f t="shared" si="117"/>
        <v>30</v>
      </c>
      <c r="BB116" s="138">
        <f t="shared" si="117"/>
        <v>30</v>
      </c>
      <c r="BC116" s="138">
        <f t="shared" si="117"/>
        <v>30</v>
      </c>
      <c r="BD116" s="138">
        <f t="shared" si="117"/>
        <v>30</v>
      </c>
      <c r="BE116" s="138">
        <f t="shared" si="118"/>
        <v>300</v>
      </c>
    </row>
    <row r="117" spans="2:57" s="138" customFormat="1" x14ac:dyDescent="0.2">
      <c r="B117" s="142" t="s">
        <v>158</v>
      </c>
      <c r="C117" s="142" t="s">
        <v>169</v>
      </c>
      <c r="D117" s="173">
        <v>9</v>
      </c>
      <c r="E117" s="144">
        <f t="shared" si="102"/>
        <v>255</v>
      </c>
      <c r="F117" s="172">
        <v>1750905</v>
      </c>
      <c r="G117" s="146">
        <f>+$F117/30</f>
        <v>58363.5</v>
      </c>
      <c r="H117" s="146">
        <f>+$F117/230</f>
        <v>7612.630434782609</v>
      </c>
      <c r="I117" s="79">
        <f t="shared" si="97"/>
        <v>8303</v>
      </c>
      <c r="J117" s="147">
        <f t="shared" si="105"/>
        <v>133944232.5</v>
      </c>
      <c r="K117" s="148">
        <f t="shared" si="106"/>
        <v>19055385</v>
      </c>
      <c r="L117" s="149">
        <v>100</v>
      </c>
      <c r="M117" s="150">
        <f t="shared" si="107"/>
        <v>951579</v>
      </c>
      <c r="N117" s="138">
        <v>750</v>
      </c>
      <c r="O117" s="150">
        <f t="shared" si="98"/>
        <v>9991577.4456521757</v>
      </c>
      <c r="P117" s="138">
        <v>750</v>
      </c>
      <c r="Q117" s="150">
        <f t="shared" si="108"/>
        <v>7707788.3152173925</v>
      </c>
      <c r="R117" s="149">
        <v>200</v>
      </c>
      <c r="S117" s="150">
        <f t="shared" si="109"/>
        <v>2664420.6521739131</v>
      </c>
      <c r="T117" s="149">
        <v>200</v>
      </c>
      <c r="U117" s="150">
        <f>+$H117*T117*U$7</f>
        <v>3197304.7826086958</v>
      </c>
      <c r="V117" s="149">
        <v>0</v>
      </c>
      <c r="W117" s="150">
        <f t="shared" si="99"/>
        <v>0</v>
      </c>
      <c r="X117" s="149">
        <v>10</v>
      </c>
      <c r="Y117" s="150">
        <f t="shared" si="100"/>
        <v>190315.76086956525</v>
      </c>
      <c r="Z117" s="148">
        <f t="shared" si="111"/>
        <v>177702603.45652175</v>
      </c>
      <c r="AA117" s="146">
        <f>+$Z117*AA$7</f>
        <v>14802626.867928261</v>
      </c>
      <c r="AB117" s="146">
        <f t="shared" si="112"/>
        <v>1777026.0345652176</v>
      </c>
      <c r="AC117" s="146">
        <f t="shared" si="112"/>
        <v>14802626.867928261</v>
      </c>
      <c r="AD117" s="146">
        <f t="shared" si="113"/>
        <v>6615589.0096369572</v>
      </c>
      <c r="AE117" s="146">
        <f t="shared" si="113"/>
        <v>19037666.214782611</v>
      </c>
      <c r="AF117" s="146">
        <f t="shared" si="113"/>
        <v>11041846.404573914</v>
      </c>
      <c r="AG117" s="146">
        <f t="shared" si="114"/>
        <v>6610512.2986463485</v>
      </c>
      <c r="AH117" s="148">
        <f>SUM(Z117:AG117)</f>
        <v>252390497.15458336</v>
      </c>
      <c r="AI117" s="3">
        <f>(Z117/D117)/10</f>
        <v>1974473.3717391305</v>
      </c>
      <c r="AJ117" s="143">
        <v>16</v>
      </c>
      <c r="AK117" s="143">
        <v>16</v>
      </c>
      <c r="AL117" s="143">
        <v>16</v>
      </c>
      <c r="AM117" s="143">
        <v>16</v>
      </c>
      <c r="AN117" s="143">
        <v>16</v>
      </c>
      <c r="AO117" s="143">
        <v>16</v>
      </c>
      <c r="AP117" s="143">
        <v>16</v>
      </c>
      <c r="AQ117" s="143">
        <v>16</v>
      </c>
      <c r="AR117" s="143">
        <v>16</v>
      </c>
      <c r="AS117" s="143">
        <v>16</v>
      </c>
      <c r="AU117" s="138">
        <f t="shared" si="117"/>
        <v>30</v>
      </c>
      <c r="AV117" s="138">
        <f t="shared" si="101"/>
        <v>30</v>
      </c>
      <c r="AW117" s="138">
        <f t="shared" si="101"/>
        <v>30</v>
      </c>
      <c r="AX117" s="138">
        <f t="shared" si="101"/>
        <v>30</v>
      </c>
      <c r="AY117" s="138">
        <f t="shared" si="101"/>
        <v>30</v>
      </c>
      <c r="AZ117" s="138">
        <f t="shared" si="101"/>
        <v>30</v>
      </c>
      <c r="BA117" s="138">
        <f t="shared" si="101"/>
        <v>30</v>
      </c>
      <c r="BB117" s="138">
        <f t="shared" si="101"/>
        <v>30</v>
      </c>
      <c r="BC117" s="138">
        <f t="shared" si="101"/>
        <v>30</v>
      </c>
      <c r="BD117" s="138">
        <f t="shared" si="101"/>
        <v>30</v>
      </c>
      <c r="BE117" s="138">
        <f t="shared" si="118"/>
        <v>300</v>
      </c>
    </row>
    <row r="118" spans="2:57" s="138" customFormat="1" x14ac:dyDescent="0.2">
      <c r="B118" s="142" t="s">
        <v>159</v>
      </c>
      <c r="C118" s="142" t="s">
        <v>169</v>
      </c>
      <c r="D118" s="173">
        <v>1</v>
      </c>
      <c r="E118" s="144">
        <f t="shared" si="102"/>
        <v>255</v>
      </c>
      <c r="F118" s="172">
        <v>2500000</v>
      </c>
      <c r="G118" s="146">
        <f t="shared" si="103"/>
        <v>83333.333333333328</v>
      </c>
      <c r="H118" s="146">
        <f t="shared" si="104"/>
        <v>10869.565217391304</v>
      </c>
      <c r="I118" s="79">
        <f t="shared" si="97"/>
        <v>8303</v>
      </c>
      <c r="J118" s="147">
        <f t="shared" si="105"/>
        <v>21250000</v>
      </c>
      <c r="K118" s="148">
        <f t="shared" si="106"/>
        <v>2117265</v>
      </c>
      <c r="L118" s="149">
        <v>10</v>
      </c>
      <c r="M118" s="150">
        <f t="shared" si="107"/>
        <v>135870</v>
      </c>
      <c r="N118" s="149">
        <v>100</v>
      </c>
      <c r="O118" s="150">
        <f t="shared" si="98"/>
        <v>1902173.913043478</v>
      </c>
      <c r="P118" s="138">
        <v>100</v>
      </c>
      <c r="Q118" s="150">
        <f t="shared" si="108"/>
        <v>1467391.3043478262</v>
      </c>
      <c r="R118" s="149">
        <v>50</v>
      </c>
      <c r="S118" s="150">
        <f t="shared" si="109"/>
        <v>951086.95652173902</v>
      </c>
      <c r="T118" s="149">
        <v>100</v>
      </c>
      <c r="U118" s="150">
        <f t="shared" si="110"/>
        <v>2282608.6956521738</v>
      </c>
      <c r="V118" s="149">
        <v>0</v>
      </c>
      <c r="W118" s="150">
        <f t="shared" si="99"/>
        <v>0</v>
      </c>
      <c r="X118" s="149">
        <v>10</v>
      </c>
      <c r="Y118" s="150">
        <f t="shared" si="100"/>
        <v>271739.13043478259</v>
      </c>
      <c r="Z118" s="148">
        <f t="shared" si="111"/>
        <v>30378135</v>
      </c>
      <c r="AA118" s="146">
        <f t="shared" si="112"/>
        <v>2530498.6455000001</v>
      </c>
      <c r="AB118" s="146">
        <f t="shared" si="112"/>
        <v>303781.35000000003</v>
      </c>
      <c r="AC118" s="146">
        <f t="shared" si="112"/>
        <v>2530498.6455000001</v>
      </c>
      <c r="AD118" s="146">
        <f t="shared" si="113"/>
        <v>1178478.2790000001</v>
      </c>
      <c r="AE118" s="146">
        <f t="shared" si="113"/>
        <v>3391304.4</v>
      </c>
      <c r="AF118" s="146">
        <f t="shared" si="113"/>
        <v>1966956.5519999999</v>
      </c>
      <c r="AG118" s="146">
        <f t="shared" si="114"/>
        <v>1177573.9311599999</v>
      </c>
      <c r="AH118" s="148">
        <f t="shared" si="115"/>
        <v>43457226.803160004</v>
      </c>
      <c r="AI118" s="3">
        <f t="shared" si="116"/>
        <v>3037813.5</v>
      </c>
      <c r="AJ118" s="143">
        <v>1</v>
      </c>
      <c r="AK118" s="143">
        <v>1</v>
      </c>
      <c r="AL118" s="143">
        <v>1</v>
      </c>
      <c r="AM118" s="143">
        <v>1</v>
      </c>
      <c r="AN118" s="143">
        <v>1</v>
      </c>
      <c r="AO118" s="143">
        <v>1</v>
      </c>
      <c r="AP118" s="143">
        <v>1</v>
      </c>
      <c r="AQ118" s="143">
        <v>1</v>
      </c>
      <c r="AR118" s="143">
        <v>1</v>
      </c>
      <c r="AS118" s="143">
        <v>1</v>
      </c>
      <c r="AU118" s="138">
        <f t="shared" si="117"/>
        <v>30</v>
      </c>
      <c r="AV118" s="138">
        <f t="shared" si="101"/>
        <v>30</v>
      </c>
      <c r="AW118" s="138">
        <f t="shared" si="101"/>
        <v>30</v>
      </c>
      <c r="AX118" s="138">
        <f t="shared" si="101"/>
        <v>30</v>
      </c>
      <c r="AY118" s="138">
        <f t="shared" si="101"/>
        <v>30</v>
      </c>
      <c r="AZ118" s="138">
        <f t="shared" si="101"/>
        <v>30</v>
      </c>
      <c r="BA118" s="138">
        <f t="shared" si="101"/>
        <v>30</v>
      </c>
      <c r="BB118" s="138">
        <f t="shared" si="101"/>
        <v>30</v>
      </c>
      <c r="BC118" s="138">
        <f t="shared" si="101"/>
        <v>30</v>
      </c>
      <c r="BD118" s="138">
        <f t="shared" si="101"/>
        <v>30</v>
      </c>
      <c r="BE118" s="138">
        <f t="shared" si="118"/>
        <v>300</v>
      </c>
    </row>
    <row r="119" spans="2:57" s="138" customFormat="1" x14ac:dyDescent="0.2">
      <c r="B119" s="142" t="s">
        <v>168</v>
      </c>
      <c r="C119" s="142" t="s">
        <v>169</v>
      </c>
      <c r="D119" s="173">
        <v>2</v>
      </c>
      <c r="E119" s="144">
        <f t="shared" si="102"/>
        <v>255</v>
      </c>
      <c r="F119" s="172">
        <v>2200000</v>
      </c>
      <c r="G119" s="146">
        <f t="shared" si="103"/>
        <v>73333.333333333328</v>
      </c>
      <c r="H119" s="146">
        <f t="shared" si="104"/>
        <v>9565.217391304348</v>
      </c>
      <c r="I119" s="79">
        <f t="shared" si="97"/>
        <v>8303</v>
      </c>
      <c r="J119" s="147">
        <f t="shared" si="105"/>
        <v>37400000</v>
      </c>
      <c r="K119" s="148">
        <f t="shared" si="106"/>
        <v>4234530</v>
      </c>
      <c r="L119" s="149">
        <v>10</v>
      </c>
      <c r="M119" s="150">
        <f t="shared" si="107"/>
        <v>119565</v>
      </c>
      <c r="N119" s="149">
        <v>100</v>
      </c>
      <c r="O119" s="150">
        <f t="shared" si="98"/>
        <v>1673913.043478261</v>
      </c>
      <c r="P119" s="138">
        <v>100</v>
      </c>
      <c r="Q119" s="150">
        <f t="shared" si="108"/>
        <v>1291304.3478260871</v>
      </c>
      <c r="R119" s="149">
        <v>50</v>
      </c>
      <c r="S119" s="150">
        <f t="shared" si="109"/>
        <v>836956.52173913049</v>
      </c>
      <c r="T119" s="149">
        <v>100</v>
      </c>
      <c r="U119" s="150">
        <f t="shared" si="110"/>
        <v>2008695.6521739131</v>
      </c>
      <c r="V119" s="149">
        <v>0</v>
      </c>
      <c r="W119" s="150">
        <f t="shared" si="99"/>
        <v>0</v>
      </c>
      <c r="X119" s="149">
        <v>10</v>
      </c>
      <c r="Y119" s="150">
        <f t="shared" si="100"/>
        <v>239130.4347826087</v>
      </c>
      <c r="Z119" s="148">
        <f t="shared" si="111"/>
        <v>47804095</v>
      </c>
      <c r="AA119" s="146">
        <f t="shared" si="112"/>
        <v>3982081.1135</v>
      </c>
      <c r="AB119" s="146">
        <f t="shared" si="112"/>
        <v>478040.95</v>
      </c>
      <c r="AC119" s="146">
        <f t="shared" si="112"/>
        <v>3982081.1135</v>
      </c>
      <c r="AD119" s="146">
        <f t="shared" si="113"/>
        <v>1816850.8605</v>
      </c>
      <c r="AE119" s="146">
        <f t="shared" si="113"/>
        <v>5228347.8</v>
      </c>
      <c r="AF119" s="146">
        <f t="shared" si="113"/>
        <v>3032441.7239999999</v>
      </c>
      <c r="AG119" s="146">
        <f t="shared" si="114"/>
        <v>1815456.63442</v>
      </c>
      <c r="AH119" s="148">
        <f t="shared" si="115"/>
        <v>68139395.195919991</v>
      </c>
      <c r="AI119" s="3">
        <f t="shared" si="116"/>
        <v>2390204.75</v>
      </c>
      <c r="AJ119" s="143">
        <v>3</v>
      </c>
      <c r="AK119" s="143">
        <v>3</v>
      </c>
      <c r="AL119" s="143">
        <v>3</v>
      </c>
      <c r="AM119" s="143">
        <v>3</v>
      </c>
      <c r="AN119" s="143">
        <v>3</v>
      </c>
      <c r="AO119" s="143">
        <v>3</v>
      </c>
      <c r="AP119" s="143">
        <v>3</v>
      </c>
      <c r="AQ119" s="143">
        <v>3</v>
      </c>
      <c r="AR119" s="143">
        <v>3</v>
      </c>
      <c r="AS119" s="143">
        <v>3</v>
      </c>
      <c r="AU119" s="138">
        <f t="shared" si="117"/>
        <v>30</v>
      </c>
      <c r="AV119" s="138">
        <f t="shared" si="101"/>
        <v>30</v>
      </c>
      <c r="AW119" s="138">
        <f t="shared" si="101"/>
        <v>30</v>
      </c>
      <c r="AX119" s="138">
        <f t="shared" si="101"/>
        <v>30</v>
      </c>
      <c r="AY119" s="138">
        <f t="shared" si="101"/>
        <v>30</v>
      </c>
      <c r="AZ119" s="138">
        <f t="shared" si="101"/>
        <v>30</v>
      </c>
      <c r="BA119" s="138">
        <f t="shared" si="101"/>
        <v>30</v>
      </c>
      <c r="BB119" s="138">
        <f t="shared" si="101"/>
        <v>30</v>
      </c>
      <c r="BC119" s="138">
        <f t="shared" si="101"/>
        <v>30</v>
      </c>
      <c r="BD119" s="138">
        <f t="shared" si="101"/>
        <v>30</v>
      </c>
      <c r="BE119" s="138">
        <f t="shared" si="118"/>
        <v>300</v>
      </c>
    </row>
    <row r="120" spans="2:57" s="138" customFormat="1" x14ac:dyDescent="0.2">
      <c r="B120" s="142" t="s">
        <v>160</v>
      </c>
      <c r="C120" s="142" t="s">
        <v>169</v>
      </c>
      <c r="D120" s="175">
        <v>2</v>
      </c>
      <c r="E120" s="144">
        <f t="shared" si="102"/>
        <v>255</v>
      </c>
      <c r="F120" s="172">
        <v>1750905</v>
      </c>
      <c r="G120" s="146">
        <f>+$F120/30</f>
        <v>58363.5</v>
      </c>
      <c r="H120" s="146">
        <f>+$F120/230</f>
        <v>7612.630434782609</v>
      </c>
      <c r="I120" s="79">
        <f t="shared" si="97"/>
        <v>8303</v>
      </c>
      <c r="J120" s="147">
        <f t="shared" si="105"/>
        <v>29765385</v>
      </c>
      <c r="K120" s="148">
        <f t="shared" si="106"/>
        <v>4234530</v>
      </c>
      <c r="L120" s="149">
        <v>10</v>
      </c>
      <c r="M120" s="150">
        <f>ROUND($H120*L120*M$7,0)</f>
        <v>95158</v>
      </c>
      <c r="N120" s="149">
        <v>100</v>
      </c>
      <c r="O120" s="150">
        <f>+$H120*N120*O$7</f>
        <v>1332210.3260869565</v>
      </c>
      <c r="P120" s="138">
        <v>100</v>
      </c>
      <c r="Q120" s="150">
        <f>+$H120*P120*Q$7</f>
        <v>1027705.1086956522</v>
      </c>
      <c r="R120" s="149">
        <v>50</v>
      </c>
      <c r="S120" s="150">
        <f>+$H120*R120*S$7</f>
        <v>666105.16304347827</v>
      </c>
      <c r="T120" s="149">
        <v>100</v>
      </c>
      <c r="U120" s="150">
        <f>+$H120*T120*U$7</f>
        <v>1598652.3913043479</v>
      </c>
      <c r="V120" s="149">
        <v>0</v>
      </c>
      <c r="W120" s="150">
        <f>+$H120*V120*W$7</f>
        <v>0</v>
      </c>
      <c r="X120" s="149">
        <v>10</v>
      </c>
      <c r="Y120" s="150">
        <f>+$H120*X120*Y$7</f>
        <v>190315.76086956525</v>
      </c>
      <c r="Z120" s="148">
        <f t="shared" si="111"/>
        <v>38910061.749999993</v>
      </c>
      <c r="AA120" s="146">
        <f t="shared" si="112"/>
        <v>3241208.1437749993</v>
      </c>
      <c r="AB120" s="146">
        <f t="shared" si="112"/>
        <v>389100.61749999993</v>
      </c>
      <c r="AC120" s="146">
        <f t="shared" si="112"/>
        <v>3241208.1437749993</v>
      </c>
      <c r="AD120" s="146">
        <f t="shared" si="113"/>
        <v>1445969.6739749997</v>
      </c>
      <c r="AE120" s="146">
        <f t="shared" si="113"/>
        <v>4161063.8099999991</v>
      </c>
      <c r="AF120" s="146">
        <f t="shared" si="113"/>
        <v>2413417.0097999992</v>
      </c>
      <c r="AG120" s="146">
        <f>($Z120-$K120+AD120)*AG$7</f>
        <v>1444860.0569589997</v>
      </c>
      <c r="AH120" s="148">
        <f>SUM(Z120:AG120)</f>
        <v>55246889.205784</v>
      </c>
      <c r="AI120" s="3">
        <f t="shared" si="116"/>
        <v>1945503.0874999997</v>
      </c>
      <c r="AJ120" s="143">
        <v>2</v>
      </c>
      <c r="AK120" s="143">
        <v>2</v>
      </c>
      <c r="AL120" s="143">
        <v>2</v>
      </c>
      <c r="AM120" s="143">
        <v>2</v>
      </c>
      <c r="AN120" s="143">
        <v>2</v>
      </c>
      <c r="AO120" s="143">
        <v>2</v>
      </c>
      <c r="AP120" s="143">
        <v>2</v>
      </c>
      <c r="AQ120" s="143">
        <v>2</v>
      </c>
      <c r="AR120" s="143">
        <v>2</v>
      </c>
      <c r="AS120" s="143">
        <v>2</v>
      </c>
      <c r="AU120" s="138">
        <f t="shared" si="117"/>
        <v>30</v>
      </c>
      <c r="AV120" s="138">
        <f t="shared" si="117"/>
        <v>30</v>
      </c>
      <c r="AW120" s="138">
        <f t="shared" si="117"/>
        <v>30</v>
      </c>
      <c r="AX120" s="138">
        <f t="shared" si="117"/>
        <v>30</v>
      </c>
      <c r="AY120" s="138">
        <f t="shared" si="117"/>
        <v>30</v>
      </c>
      <c r="AZ120" s="138">
        <f t="shared" si="117"/>
        <v>30</v>
      </c>
      <c r="BA120" s="138">
        <f t="shared" si="117"/>
        <v>30</v>
      </c>
      <c r="BB120" s="138">
        <f t="shared" si="117"/>
        <v>30</v>
      </c>
      <c r="BC120" s="138">
        <f t="shared" si="117"/>
        <v>30</v>
      </c>
      <c r="BD120" s="138">
        <f t="shared" si="117"/>
        <v>30</v>
      </c>
      <c r="BE120" s="138">
        <f>SUM(AU120:BD120)</f>
        <v>300</v>
      </c>
    </row>
    <row r="121" spans="2:57" s="138" customFormat="1" x14ac:dyDescent="0.2">
      <c r="B121" s="142" t="s">
        <v>162</v>
      </c>
      <c r="C121" s="142" t="s">
        <v>169</v>
      </c>
      <c r="D121" s="173">
        <v>1</v>
      </c>
      <c r="E121" s="144">
        <f t="shared" si="102"/>
        <v>255</v>
      </c>
      <c r="F121" s="172">
        <v>1750905</v>
      </c>
      <c r="G121" s="146">
        <f>+$F121/30</f>
        <v>58363.5</v>
      </c>
      <c r="H121" s="146">
        <f>+$F121/230</f>
        <v>7612.630434782609</v>
      </c>
      <c r="I121" s="79">
        <f t="shared" si="97"/>
        <v>8303</v>
      </c>
      <c r="J121" s="147">
        <f t="shared" si="105"/>
        <v>14882692.5</v>
      </c>
      <c r="K121" s="148">
        <f t="shared" si="106"/>
        <v>2117265</v>
      </c>
      <c r="L121" s="149">
        <v>10</v>
      </c>
      <c r="M121" s="150">
        <f>ROUND($H121*L121*M$7,0)</f>
        <v>95158</v>
      </c>
      <c r="N121" s="149">
        <v>100</v>
      </c>
      <c r="O121" s="150">
        <f>+$H121*N121*O$7</f>
        <v>1332210.3260869565</v>
      </c>
      <c r="P121" s="138">
        <v>100</v>
      </c>
      <c r="Q121" s="150">
        <f>+$H121*P121*Q$7</f>
        <v>1027705.1086956522</v>
      </c>
      <c r="R121" s="149">
        <v>50</v>
      </c>
      <c r="S121" s="150">
        <f>+$H121*R121*S$7</f>
        <v>666105.16304347827</v>
      </c>
      <c r="T121" s="149">
        <v>100</v>
      </c>
      <c r="U121" s="150">
        <f>+$H121*T121*U$7</f>
        <v>1598652.3913043479</v>
      </c>
      <c r="V121" s="149">
        <v>0</v>
      </c>
      <c r="W121" s="150">
        <f>+$H121*V121*W$7</f>
        <v>0</v>
      </c>
      <c r="X121" s="149">
        <v>10</v>
      </c>
      <c r="Y121" s="150">
        <f>+$H121*X121*Y$7</f>
        <v>190315.76086956525</v>
      </c>
      <c r="Z121" s="148">
        <f t="shared" si="111"/>
        <v>21910104.25</v>
      </c>
      <c r="AA121" s="146">
        <f t="shared" si="112"/>
        <v>1825111.6840250001</v>
      </c>
      <c r="AB121" s="146">
        <f t="shared" si="112"/>
        <v>219101.04250000001</v>
      </c>
      <c r="AC121" s="146">
        <f t="shared" si="112"/>
        <v>1825111.6840250001</v>
      </c>
      <c r="AD121" s="146">
        <f t="shared" si="113"/>
        <v>825361.396725</v>
      </c>
      <c r="AE121" s="146">
        <f t="shared" si="113"/>
        <v>2375140.71</v>
      </c>
      <c r="AF121" s="146">
        <f t="shared" si="113"/>
        <v>1377581.6117999998</v>
      </c>
      <c r="AG121" s="146">
        <f>($Z121-$K121+AD121)*AG$7</f>
        <v>824728.025869</v>
      </c>
      <c r="AH121" s="148">
        <f>SUM(Z121:AG121)</f>
        <v>31182240.404944003</v>
      </c>
      <c r="AI121" s="3">
        <f t="shared" si="116"/>
        <v>2191010.4249999998</v>
      </c>
      <c r="AJ121" s="143">
        <v>2</v>
      </c>
      <c r="AK121" s="143">
        <v>2</v>
      </c>
      <c r="AL121" s="143">
        <v>2</v>
      </c>
      <c r="AM121" s="143">
        <v>2</v>
      </c>
      <c r="AN121" s="143">
        <v>2</v>
      </c>
      <c r="AO121" s="143">
        <v>2</v>
      </c>
      <c r="AP121" s="143">
        <v>2</v>
      </c>
      <c r="AQ121" s="143">
        <v>2</v>
      </c>
      <c r="AR121" s="143">
        <v>2</v>
      </c>
      <c r="AS121" s="143">
        <v>2</v>
      </c>
      <c r="AU121" s="138">
        <f t="shared" si="117"/>
        <v>30</v>
      </c>
      <c r="AV121" s="138">
        <f t="shared" si="117"/>
        <v>30</v>
      </c>
      <c r="AW121" s="138">
        <f t="shared" si="117"/>
        <v>30</v>
      </c>
      <c r="AX121" s="138">
        <f t="shared" si="117"/>
        <v>30</v>
      </c>
      <c r="AY121" s="138">
        <f t="shared" si="117"/>
        <v>30</v>
      </c>
      <c r="AZ121" s="138">
        <f t="shared" si="117"/>
        <v>30</v>
      </c>
      <c r="BA121" s="138">
        <f t="shared" si="117"/>
        <v>30</v>
      </c>
      <c r="BB121" s="138">
        <f t="shared" si="117"/>
        <v>30</v>
      </c>
      <c r="BC121" s="138">
        <f t="shared" si="117"/>
        <v>30</v>
      </c>
      <c r="BD121" s="138">
        <f t="shared" si="117"/>
        <v>30</v>
      </c>
      <c r="BE121" s="138">
        <f>SUM(AU121:BD121)</f>
        <v>300</v>
      </c>
    </row>
    <row r="122" spans="2:57" s="138" customFormat="1" x14ac:dyDescent="0.2">
      <c r="B122" s="142" t="s">
        <v>163</v>
      </c>
      <c r="C122" s="142" t="s">
        <v>169</v>
      </c>
      <c r="D122" s="175">
        <v>1</v>
      </c>
      <c r="E122" s="144">
        <f t="shared" si="102"/>
        <v>255</v>
      </c>
      <c r="F122" s="172">
        <v>1750905</v>
      </c>
      <c r="G122" s="146">
        <f>+$F122/30</f>
        <v>58363.5</v>
      </c>
      <c r="H122" s="146">
        <f>+$F122/230</f>
        <v>7612.630434782609</v>
      </c>
      <c r="I122" s="79">
        <f t="shared" si="97"/>
        <v>8303</v>
      </c>
      <c r="J122" s="147">
        <f t="shared" si="105"/>
        <v>14882692.5</v>
      </c>
      <c r="K122" s="148">
        <f t="shared" si="106"/>
        <v>2117265</v>
      </c>
      <c r="L122" s="149">
        <v>10</v>
      </c>
      <c r="M122" s="150">
        <f>ROUND($H122*L122*M$7,0)</f>
        <v>95158</v>
      </c>
      <c r="N122" s="149">
        <v>100</v>
      </c>
      <c r="O122" s="150">
        <f>+$H122*N122*O$7</f>
        <v>1332210.3260869565</v>
      </c>
      <c r="P122" s="138">
        <v>100</v>
      </c>
      <c r="Q122" s="150">
        <f>+$H122*P122*Q$7</f>
        <v>1027705.1086956522</v>
      </c>
      <c r="R122" s="149">
        <v>50</v>
      </c>
      <c r="S122" s="150">
        <f>+$H122*R122*S$7</f>
        <v>666105.16304347827</v>
      </c>
      <c r="T122" s="149">
        <v>100</v>
      </c>
      <c r="U122" s="150">
        <f>+$H122*T122*U$7</f>
        <v>1598652.3913043479</v>
      </c>
      <c r="V122" s="149">
        <v>0</v>
      </c>
      <c r="W122" s="150">
        <f>+$H122*V122*W$7</f>
        <v>0</v>
      </c>
      <c r="X122" s="149">
        <v>10</v>
      </c>
      <c r="Y122" s="150">
        <f>+$H122*X122*Y$7</f>
        <v>190315.76086956525</v>
      </c>
      <c r="Z122" s="148">
        <f t="shared" si="111"/>
        <v>21910104.25</v>
      </c>
      <c r="AA122" s="146">
        <f t="shared" si="112"/>
        <v>1825111.6840250001</v>
      </c>
      <c r="AB122" s="146">
        <f t="shared" si="112"/>
        <v>219101.04250000001</v>
      </c>
      <c r="AC122" s="146">
        <f t="shared" si="112"/>
        <v>1825111.6840250001</v>
      </c>
      <c r="AD122" s="146">
        <f t="shared" si="113"/>
        <v>825361.396725</v>
      </c>
      <c r="AE122" s="146">
        <f t="shared" si="113"/>
        <v>2375140.71</v>
      </c>
      <c r="AF122" s="146">
        <f t="shared" si="113"/>
        <v>1377581.6117999998</v>
      </c>
      <c r="AG122" s="146">
        <f>($Z122-$K122+AD122)*AG$7</f>
        <v>824728.025869</v>
      </c>
      <c r="AH122" s="148">
        <f>SUM(Z122:AG122)</f>
        <v>31182240.404944003</v>
      </c>
      <c r="AI122" s="3">
        <f t="shared" si="116"/>
        <v>2191010.4249999998</v>
      </c>
      <c r="AJ122" s="143">
        <v>1</v>
      </c>
      <c r="AK122" s="143">
        <v>1</v>
      </c>
      <c r="AL122" s="143">
        <v>1</v>
      </c>
      <c r="AM122" s="143">
        <v>1</v>
      </c>
      <c r="AN122" s="143">
        <v>1</v>
      </c>
      <c r="AO122" s="143">
        <v>1</v>
      </c>
      <c r="AP122" s="143">
        <v>1</v>
      </c>
      <c r="AQ122" s="143">
        <v>1</v>
      </c>
      <c r="AR122" s="143">
        <v>1</v>
      </c>
      <c r="AS122" s="143">
        <v>1</v>
      </c>
      <c r="AU122" s="138">
        <f t="shared" si="117"/>
        <v>30</v>
      </c>
      <c r="AV122" s="138">
        <f t="shared" si="117"/>
        <v>30</v>
      </c>
      <c r="AW122" s="138">
        <f t="shared" si="117"/>
        <v>30</v>
      </c>
      <c r="AX122" s="138">
        <f t="shared" si="117"/>
        <v>30</v>
      </c>
      <c r="AY122" s="138">
        <f t="shared" si="117"/>
        <v>30</v>
      </c>
      <c r="AZ122" s="138">
        <f t="shared" si="117"/>
        <v>30</v>
      </c>
      <c r="BA122" s="138">
        <f t="shared" si="117"/>
        <v>30</v>
      </c>
      <c r="BB122" s="138">
        <f t="shared" si="117"/>
        <v>30</v>
      </c>
      <c r="BC122" s="138">
        <f t="shared" si="117"/>
        <v>30</v>
      </c>
      <c r="BD122" s="138">
        <f t="shared" si="117"/>
        <v>30</v>
      </c>
      <c r="BE122" s="138">
        <f>SUM(AU122:BD122)</f>
        <v>300</v>
      </c>
    </row>
    <row r="123" spans="2:57" s="138" customFormat="1" x14ac:dyDescent="0.2">
      <c r="B123" s="142" t="s">
        <v>170</v>
      </c>
      <c r="C123" s="142" t="s">
        <v>169</v>
      </c>
      <c r="D123" s="175">
        <v>1</v>
      </c>
      <c r="E123" s="144">
        <f t="shared" si="102"/>
        <v>255</v>
      </c>
      <c r="F123" s="172">
        <v>2100000</v>
      </c>
      <c r="G123" s="146">
        <f t="shared" si="103"/>
        <v>70000</v>
      </c>
      <c r="H123" s="146">
        <f t="shared" si="104"/>
        <v>9130.434782608696</v>
      </c>
      <c r="I123" s="79">
        <f t="shared" si="97"/>
        <v>8303</v>
      </c>
      <c r="J123" s="147">
        <f t="shared" si="105"/>
        <v>17850000</v>
      </c>
      <c r="K123" s="148">
        <f t="shared" si="106"/>
        <v>2117265</v>
      </c>
      <c r="L123" s="149">
        <v>10</v>
      </c>
      <c r="M123" s="150">
        <f t="shared" si="107"/>
        <v>114130</v>
      </c>
      <c r="N123" s="149">
        <v>50</v>
      </c>
      <c r="O123" s="150">
        <f t="shared" si="98"/>
        <v>798913.04347826098</v>
      </c>
      <c r="P123" s="138">
        <v>50</v>
      </c>
      <c r="Q123" s="150">
        <f t="shared" si="108"/>
        <v>616304.34782608703</v>
      </c>
      <c r="R123" s="149">
        <v>50</v>
      </c>
      <c r="S123" s="150">
        <f t="shared" si="109"/>
        <v>798913.04347826098</v>
      </c>
      <c r="T123" s="149">
        <v>50</v>
      </c>
      <c r="U123" s="150">
        <f t="shared" si="110"/>
        <v>958695.6521739132</v>
      </c>
      <c r="V123" s="149">
        <v>0</v>
      </c>
      <c r="W123" s="150">
        <f t="shared" si="99"/>
        <v>0</v>
      </c>
      <c r="X123" s="149">
        <v>10</v>
      </c>
      <c r="Y123" s="150">
        <f t="shared" si="100"/>
        <v>228260.86956521741</v>
      </c>
      <c r="Z123" s="148">
        <f t="shared" si="111"/>
        <v>23482481.956521742</v>
      </c>
      <c r="AA123" s="146">
        <f t="shared" si="112"/>
        <v>1956090.746978261</v>
      </c>
      <c r="AB123" s="146">
        <f t="shared" si="112"/>
        <v>234824.81956521742</v>
      </c>
      <c r="AC123" s="146">
        <f t="shared" si="112"/>
        <v>1956090.746978261</v>
      </c>
      <c r="AD123" s="146">
        <f t="shared" si="113"/>
        <v>890929.54708695668</v>
      </c>
      <c r="AE123" s="146">
        <f t="shared" si="113"/>
        <v>2563826.034782609</v>
      </c>
      <c r="AF123" s="146">
        <f t="shared" si="113"/>
        <v>1487019.1001739132</v>
      </c>
      <c r="AG123" s="146">
        <f t="shared" si="114"/>
        <v>890245.860144348</v>
      </c>
      <c r="AH123" s="148">
        <f t="shared" si="115"/>
        <v>33461508.81223131</v>
      </c>
      <c r="AI123" s="3">
        <f t="shared" si="116"/>
        <v>2348248.1956521743</v>
      </c>
      <c r="AJ123" s="143">
        <v>2</v>
      </c>
      <c r="AK123" s="143">
        <v>2</v>
      </c>
      <c r="AL123" s="143">
        <v>2</v>
      </c>
      <c r="AM123" s="143">
        <v>2</v>
      </c>
      <c r="AN123" s="143">
        <v>2</v>
      </c>
      <c r="AO123" s="143">
        <v>2</v>
      </c>
      <c r="AP123" s="143">
        <v>2</v>
      </c>
      <c r="AQ123" s="143">
        <v>2</v>
      </c>
      <c r="AR123" s="143">
        <v>2</v>
      </c>
      <c r="AS123" s="143">
        <v>2</v>
      </c>
      <c r="AU123" s="138">
        <f t="shared" si="117"/>
        <v>30</v>
      </c>
      <c r="AV123" s="138">
        <f t="shared" si="101"/>
        <v>30</v>
      </c>
      <c r="AW123" s="138">
        <f t="shared" si="101"/>
        <v>30</v>
      </c>
      <c r="AX123" s="138">
        <f t="shared" si="101"/>
        <v>30</v>
      </c>
      <c r="AY123" s="138">
        <f t="shared" si="101"/>
        <v>30</v>
      </c>
      <c r="AZ123" s="138">
        <f t="shared" si="101"/>
        <v>30</v>
      </c>
      <c r="BA123" s="138">
        <f t="shared" si="101"/>
        <v>30</v>
      </c>
      <c r="BB123" s="138">
        <f t="shared" si="101"/>
        <v>30</v>
      </c>
      <c r="BC123" s="138">
        <f t="shared" si="101"/>
        <v>30</v>
      </c>
      <c r="BD123" s="138">
        <f t="shared" si="101"/>
        <v>30</v>
      </c>
      <c r="BE123" s="138">
        <f t="shared" si="118"/>
        <v>300</v>
      </c>
    </row>
    <row r="124" spans="2:57" s="138" customFormat="1" x14ac:dyDescent="0.2">
      <c r="B124" s="142" t="s">
        <v>171</v>
      </c>
      <c r="C124" s="142" t="s">
        <v>167</v>
      </c>
      <c r="D124" s="175">
        <v>1</v>
      </c>
      <c r="E124" s="144">
        <f t="shared" si="102"/>
        <v>255</v>
      </c>
      <c r="F124" s="145">
        <v>2200000</v>
      </c>
      <c r="G124" s="146">
        <f>+$F124/30</f>
        <v>73333.333333333328</v>
      </c>
      <c r="H124" s="146">
        <f>+$F124/230</f>
        <v>9565.217391304348</v>
      </c>
      <c r="I124" s="79">
        <f t="shared" si="97"/>
        <v>8303</v>
      </c>
      <c r="J124" s="147">
        <f t="shared" si="105"/>
        <v>18700000</v>
      </c>
      <c r="K124" s="148">
        <f t="shared" si="106"/>
        <v>2117265</v>
      </c>
      <c r="L124" s="149">
        <v>0</v>
      </c>
      <c r="M124" s="150">
        <f>ROUND($H124*L124*M$7,0)</f>
        <v>0</v>
      </c>
      <c r="N124" s="138">
        <v>0</v>
      </c>
      <c r="O124" s="150">
        <f>+$H124*N124*O$7</f>
        <v>0</v>
      </c>
      <c r="P124" s="138">
        <v>0</v>
      </c>
      <c r="Q124" s="150">
        <f>+$H124*P124*Q$7</f>
        <v>0</v>
      </c>
      <c r="R124" s="149">
        <v>0</v>
      </c>
      <c r="S124" s="150">
        <f>+$H124*R124*S$7</f>
        <v>0</v>
      </c>
      <c r="T124" s="149">
        <v>0</v>
      </c>
      <c r="U124" s="150">
        <f>+$H124*T124*U$7</f>
        <v>0</v>
      </c>
      <c r="V124" s="149">
        <v>0</v>
      </c>
      <c r="W124" s="150">
        <f>+$H124*V124*W$7</f>
        <v>0</v>
      </c>
      <c r="X124" s="149">
        <v>0</v>
      </c>
      <c r="Y124" s="150">
        <f>+$H124*X124*Y$7</f>
        <v>0</v>
      </c>
      <c r="Z124" s="148">
        <f t="shared" si="111"/>
        <v>20817265</v>
      </c>
      <c r="AA124" s="146">
        <f t="shared" si="112"/>
        <v>1734078.1745</v>
      </c>
      <c r="AB124" s="146">
        <f t="shared" si="112"/>
        <v>208172.65</v>
      </c>
      <c r="AC124" s="146">
        <f t="shared" si="112"/>
        <v>1734078.1745</v>
      </c>
      <c r="AD124" s="146">
        <f t="shared" si="113"/>
        <v>779790</v>
      </c>
      <c r="AE124" s="146">
        <f t="shared" si="113"/>
        <v>2244000</v>
      </c>
      <c r="AF124" s="146">
        <f t="shared" si="113"/>
        <v>1301520</v>
      </c>
      <c r="AG124" s="146">
        <f>($Z124-$K124+AD124)*AG$7</f>
        <v>779191.6</v>
      </c>
      <c r="AH124" s="148">
        <f>SUM(Z124:AG124)</f>
        <v>29598095.598999999</v>
      </c>
      <c r="AI124" s="3">
        <f t="shared" si="116"/>
        <v>2081726.5</v>
      </c>
      <c r="AJ124" s="143">
        <v>1</v>
      </c>
      <c r="AK124" s="143">
        <v>1</v>
      </c>
      <c r="AL124" s="143">
        <v>1</v>
      </c>
      <c r="AM124" s="143">
        <v>1</v>
      </c>
      <c r="AN124" s="143">
        <v>1</v>
      </c>
      <c r="AO124" s="143">
        <v>1</v>
      </c>
      <c r="AP124" s="143">
        <v>1</v>
      </c>
      <c r="AQ124" s="143">
        <v>1</v>
      </c>
      <c r="AR124" s="143">
        <v>1</v>
      </c>
      <c r="AS124" s="143">
        <v>1</v>
      </c>
      <c r="AU124" s="138">
        <f t="shared" si="117"/>
        <v>30</v>
      </c>
      <c r="AV124" s="138">
        <f t="shared" si="117"/>
        <v>30</v>
      </c>
      <c r="AW124" s="138">
        <f t="shared" si="117"/>
        <v>30</v>
      </c>
      <c r="AX124" s="138">
        <f t="shared" si="117"/>
        <v>30</v>
      </c>
      <c r="AY124" s="138">
        <f t="shared" si="117"/>
        <v>30</v>
      </c>
      <c r="AZ124" s="138">
        <f t="shared" si="117"/>
        <v>30</v>
      </c>
      <c r="BA124" s="138">
        <f t="shared" si="117"/>
        <v>30</v>
      </c>
      <c r="BB124" s="138">
        <f t="shared" si="117"/>
        <v>30</v>
      </c>
      <c r="BC124" s="138">
        <f t="shared" si="117"/>
        <v>30</v>
      </c>
      <c r="BD124" s="138">
        <f t="shared" si="117"/>
        <v>30</v>
      </c>
      <c r="BE124" s="138">
        <f>SUM(AU124:BD124)</f>
        <v>300</v>
      </c>
    </row>
    <row r="125" spans="2:57" s="138" customFormat="1" x14ac:dyDescent="0.2">
      <c r="B125" s="142" t="s">
        <v>161</v>
      </c>
      <c r="C125" s="142" t="s">
        <v>167</v>
      </c>
      <c r="D125" s="175">
        <v>1</v>
      </c>
      <c r="E125" s="144">
        <f t="shared" si="102"/>
        <v>255</v>
      </c>
      <c r="F125" s="145">
        <v>3000000</v>
      </c>
      <c r="G125" s="146">
        <f>+$F125/30</f>
        <v>100000</v>
      </c>
      <c r="H125" s="146">
        <f>+$F125/230</f>
        <v>13043.478260869566</v>
      </c>
      <c r="I125" s="79">
        <f t="shared" si="97"/>
        <v>8303</v>
      </c>
      <c r="J125" s="147">
        <f t="shared" si="105"/>
        <v>25500000</v>
      </c>
      <c r="K125" s="148">
        <f t="shared" si="106"/>
        <v>2117265</v>
      </c>
      <c r="L125" s="149">
        <v>0</v>
      </c>
      <c r="M125" s="150">
        <f>ROUND($H125*L125*M$7,0)</f>
        <v>0</v>
      </c>
      <c r="N125" s="138">
        <v>0</v>
      </c>
      <c r="O125" s="150">
        <f>+$H125*N125*O$7</f>
        <v>0</v>
      </c>
      <c r="P125" s="138">
        <v>0</v>
      </c>
      <c r="Q125" s="150">
        <f>+$H125*P125*Q$7</f>
        <v>0</v>
      </c>
      <c r="R125" s="149">
        <v>0</v>
      </c>
      <c r="S125" s="150">
        <f>+$H125*R125*S$7</f>
        <v>0</v>
      </c>
      <c r="T125" s="149">
        <v>0</v>
      </c>
      <c r="U125" s="150">
        <f>+$H125*T125*U$7</f>
        <v>0</v>
      </c>
      <c r="V125" s="149">
        <v>0</v>
      </c>
      <c r="W125" s="150">
        <f>+$H125*V125*W$7</f>
        <v>0</v>
      </c>
      <c r="X125" s="149">
        <v>0</v>
      </c>
      <c r="Y125" s="150">
        <f>+$H125*X125*Y$7</f>
        <v>0</v>
      </c>
      <c r="Z125" s="148">
        <f t="shared" si="111"/>
        <v>27617265</v>
      </c>
      <c r="AA125" s="146">
        <f t="shared" si="112"/>
        <v>2300518.1745000002</v>
      </c>
      <c r="AB125" s="146">
        <f t="shared" si="112"/>
        <v>276172.65000000002</v>
      </c>
      <c r="AC125" s="146">
        <f t="shared" si="112"/>
        <v>2300518.1745000002</v>
      </c>
      <c r="AD125" s="146">
        <f t="shared" si="113"/>
        <v>1063350</v>
      </c>
      <c r="AE125" s="146">
        <f t="shared" si="113"/>
        <v>3060000</v>
      </c>
      <c r="AF125" s="146">
        <f t="shared" si="113"/>
        <v>1774799.9999999998</v>
      </c>
      <c r="AG125" s="146">
        <f>($Z125-$K125+AD125)*AG$7</f>
        <v>1062534</v>
      </c>
      <c r="AH125" s="148">
        <f>SUM(Z125:AG125)</f>
        <v>39455157.998999998</v>
      </c>
      <c r="AI125" s="3">
        <f t="shared" si="116"/>
        <v>2761726.5</v>
      </c>
      <c r="AJ125" s="143">
        <v>1</v>
      </c>
      <c r="AK125" s="143">
        <v>1</v>
      </c>
      <c r="AL125" s="143">
        <v>1</v>
      </c>
      <c r="AM125" s="143">
        <v>1</v>
      </c>
      <c r="AN125" s="143">
        <v>1</v>
      </c>
      <c r="AO125" s="143">
        <v>1</v>
      </c>
      <c r="AP125" s="143">
        <v>1</v>
      </c>
      <c r="AQ125" s="143">
        <v>1</v>
      </c>
      <c r="AR125" s="143">
        <v>1</v>
      </c>
      <c r="AS125" s="143">
        <v>1</v>
      </c>
      <c r="AU125" s="138">
        <f t="shared" si="117"/>
        <v>30</v>
      </c>
      <c r="AV125" s="138">
        <f t="shared" si="117"/>
        <v>30</v>
      </c>
      <c r="AW125" s="138">
        <f t="shared" si="117"/>
        <v>30</v>
      </c>
      <c r="AX125" s="138">
        <f t="shared" si="117"/>
        <v>30</v>
      </c>
      <c r="AY125" s="138">
        <f t="shared" si="117"/>
        <v>30</v>
      </c>
      <c r="AZ125" s="138">
        <f t="shared" si="117"/>
        <v>30</v>
      </c>
      <c r="BA125" s="138">
        <f t="shared" si="117"/>
        <v>30</v>
      </c>
      <c r="BB125" s="138">
        <f t="shared" si="117"/>
        <v>30</v>
      </c>
      <c r="BC125" s="138">
        <f t="shared" si="117"/>
        <v>30</v>
      </c>
      <c r="BD125" s="138">
        <f t="shared" si="117"/>
        <v>30</v>
      </c>
      <c r="BE125" s="138">
        <f>SUM(AU125:BD125)</f>
        <v>300</v>
      </c>
    </row>
    <row r="126" spans="2:57" s="151" customFormat="1" x14ac:dyDescent="0.2">
      <c r="B126" s="152" t="s">
        <v>81</v>
      </c>
      <c r="C126" s="153"/>
      <c r="M126" s="158">
        <f>SUM(M112:M125)</f>
        <v>2204543</v>
      </c>
      <c r="O126" s="158">
        <f>SUM(O112:O125)</f>
        <v>26734150.815217394</v>
      </c>
      <c r="Q126" s="158">
        <f>SUM(Q112:Q125)</f>
        <v>20623487.771739133</v>
      </c>
      <c r="S126" s="158">
        <f>SUM(S112:S125)</f>
        <v>11435163.858695652</v>
      </c>
      <c r="U126" s="158">
        <f>SUM(U112:U125)</f>
        <v>23288392.826086957</v>
      </c>
      <c r="Y126" s="158">
        <f>SUM(Y112:Y125)</f>
        <v>2696242.3913043481</v>
      </c>
      <c r="Z126" s="158">
        <f>SUM(Z112:Z125)</f>
        <v>814874635.6630435</v>
      </c>
      <c r="AA126" s="158">
        <f t="shared" ref="AA126:AG126" si="120">SUM(AA112:AA125)</f>
        <v>67879057.150731519</v>
      </c>
      <c r="AB126" s="158">
        <f t="shared" si="120"/>
        <v>8148746.3566304352</v>
      </c>
      <c r="AC126" s="158">
        <f t="shared" si="120"/>
        <v>67879057.150731519</v>
      </c>
      <c r="AD126" s="158">
        <f t="shared" si="120"/>
        <v>30713544.138648909</v>
      </c>
      <c r="AE126" s="158">
        <f t="shared" si="120"/>
        <v>88384299.679565191</v>
      </c>
      <c r="AF126" s="158">
        <f t="shared" si="120"/>
        <v>51262893.81414783</v>
      </c>
      <c r="AG126" s="158">
        <f t="shared" si="120"/>
        <v>30689974.992067698</v>
      </c>
      <c r="AH126" s="154">
        <f>SUM(AH112:AH125)</f>
        <v>1159832208.9455667</v>
      </c>
      <c r="AI126" s="155"/>
      <c r="AJ126" s="156"/>
      <c r="AK126" s="156"/>
      <c r="AL126" s="156"/>
      <c r="AM126" s="156"/>
      <c r="AN126" s="156"/>
      <c r="AO126" s="156"/>
      <c r="AP126" s="156"/>
      <c r="AQ126" s="156"/>
      <c r="AR126" s="156"/>
      <c r="AS126" s="156"/>
    </row>
    <row r="127" spans="2:57" s="138" customFormat="1" x14ac:dyDescent="0.2">
      <c r="B127" s="139"/>
      <c r="C127" s="139"/>
      <c r="AH127" s="140"/>
      <c r="AI127" s="3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</row>
    <row r="128" spans="2:57" x14ac:dyDescent="0.2">
      <c r="B128" s="2" t="s">
        <v>183</v>
      </c>
    </row>
    <row r="129" spans="2:45" s="194" customFormat="1" ht="15" x14ac:dyDescent="0.25">
      <c r="B129" s="159" t="s">
        <v>83</v>
      </c>
      <c r="C129" s="160"/>
      <c r="D129" s="159" t="s">
        <v>84</v>
      </c>
      <c r="E129" s="191" t="s">
        <v>85</v>
      </c>
      <c r="F129" s="75" t="s">
        <v>86</v>
      </c>
      <c r="AG129" s="195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0" spans="2:45" ht="15" x14ac:dyDescent="0.25">
      <c r="B130" s="162" t="s">
        <v>184</v>
      </c>
      <c r="C130" s="161"/>
      <c r="D130" s="161"/>
      <c r="E130" s="192"/>
      <c r="F130" s="163"/>
      <c r="AG130" s="3"/>
      <c r="AH130" s="4"/>
      <c r="AI130" s="4"/>
      <c r="AR130" s="1"/>
      <c r="AS130" s="1"/>
    </row>
    <row r="131" spans="2:45" x14ac:dyDescent="0.2">
      <c r="B131" s="164" t="s">
        <v>172</v>
      </c>
      <c r="C131" s="165" t="s">
        <v>89</v>
      </c>
      <c r="D131" s="184">
        <v>27</v>
      </c>
      <c r="E131" s="207"/>
      <c r="F131" s="98"/>
      <c r="AG131" s="3"/>
      <c r="AH131" s="4"/>
      <c r="AI131" s="4"/>
      <c r="AR131" s="1"/>
      <c r="AS131" s="1"/>
    </row>
    <row r="132" spans="2:45" x14ac:dyDescent="0.2">
      <c r="B132" s="164" t="s">
        <v>173</v>
      </c>
      <c r="C132" s="165" t="s">
        <v>89</v>
      </c>
      <c r="D132" s="184">
        <v>27</v>
      </c>
      <c r="E132" s="207"/>
      <c r="F132" s="98"/>
      <c r="H132" s="174" t="s">
        <v>185</v>
      </c>
      <c r="I132" s="1">
        <f>+D115+D116+D117+D121+D118+D119</f>
        <v>18</v>
      </c>
      <c r="J132" s="1">
        <f>+I132*3</f>
        <v>54</v>
      </c>
      <c r="K132" s="1">
        <f>+J132/2</f>
        <v>27</v>
      </c>
      <c r="AG132" s="3"/>
      <c r="AH132" s="4"/>
      <c r="AI132" s="4"/>
      <c r="AR132" s="1"/>
      <c r="AS132" s="1"/>
    </row>
    <row r="133" spans="2:45" x14ac:dyDescent="0.2">
      <c r="B133" s="164" t="s">
        <v>174</v>
      </c>
      <c r="C133" s="165" t="s">
        <v>89</v>
      </c>
      <c r="D133" s="184">
        <v>27</v>
      </c>
      <c r="E133" s="207"/>
      <c r="F133" s="98"/>
      <c r="H133" s="176">
        <v>2</v>
      </c>
      <c r="I133" s="1">
        <f>+D114+D120+D123+D124+D125+D122</f>
        <v>8</v>
      </c>
      <c r="J133" s="1">
        <f>+I133*3</f>
        <v>24</v>
      </c>
      <c r="AG133" s="3"/>
      <c r="AH133" s="4"/>
      <c r="AI133" s="4"/>
      <c r="AR133" s="1"/>
      <c r="AS133" s="1"/>
    </row>
    <row r="134" spans="2:45" x14ac:dyDescent="0.2">
      <c r="B134" s="164" t="s">
        <v>164</v>
      </c>
      <c r="C134" s="165" t="s">
        <v>89</v>
      </c>
      <c r="D134" s="184">
        <v>27</v>
      </c>
      <c r="E134" s="207"/>
      <c r="F134" s="98"/>
      <c r="H134" s="178">
        <v>3</v>
      </c>
      <c r="I134" s="1">
        <f>+D113</f>
        <v>5</v>
      </c>
      <c r="J134" s="1">
        <f t="shared" ref="J134:J135" si="121">+I134*3</f>
        <v>15</v>
      </c>
      <c r="AG134" s="3"/>
      <c r="AH134" s="4"/>
      <c r="AI134" s="4"/>
      <c r="AR134" s="1"/>
      <c r="AS134" s="1"/>
    </row>
    <row r="135" spans="2:45" x14ac:dyDescent="0.2">
      <c r="B135" s="164" t="s">
        <v>175</v>
      </c>
      <c r="C135" s="165" t="s">
        <v>89</v>
      </c>
      <c r="D135" s="184">
        <f>+J132</f>
        <v>54</v>
      </c>
      <c r="E135" s="207"/>
      <c r="F135" s="98"/>
      <c r="H135" s="179">
        <v>4</v>
      </c>
      <c r="I135" s="1">
        <f>+D112</f>
        <v>6</v>
      </c>
      <c r="J135" s="1">
        <f t="shared" si="121"/>
        <v>18</v>
      </c>
      <c r="AG135" s="3"/>
      <c r="AH135" s="4"/>
      <c r="AI135" s="4"/>
      <c r="AR135" s="1"/>
      <c r="AS135" s="1"/>
    </row>
    <row r="136" spans="2:45" x14ac:dyDescent="0.2">
      <c r="B136" s="164" t="s">
        <v>144</v>
      </c>
      <c r="C136" s="165" t="s">
        <v>89</v>
      </c>
      <c r="D136" s="184">
        <f>+J132</f>
        <v>54</v>
      </c>
      <c r="E136" s="207"/>
      <c r="F136" s="98"/>
      <c r="AG136" s="3"/>
      <c r="AH136" s="4"/>
      <c r="AI136" s="4"/>
      <c r="AR136" s="1"/>
      <c r="AS136" s="1"/>
    </row>
    <row r="137" spans="2:45" ht="15" x14ac:dyDescent="0.25">
      <c r="B137" s="162" t="s">
        <v>176</v>
      </c>
      <c r="C137" s="161"/>
      <c r="D137" s="161"/>
      <c r="E137" s="207"/>
      <c r="F137" s="98"/>
      <c r="AG137" s="3"/>
      <c r="AH137" s="4"/>
      <c r="AI137" s="4"/>
      <c r="AR137" s="1"/>
      <c r="AS137" s="1"/>
    </row>
    <row r="138" spans="2:45" x14ac:dyDescent="0.2">
      <c r="B138" s="164" t="s">
        <v>142</v>
      </c>
      <c r="C138" s="165" t="s">
        <v>89</v>
      </c>
      <c r="D138" s="184">
        <v>24</v>
      </c>
      <c r="E138" s="207"/>
      <c r="F138" s="98"/>
      <c r="AG138" s="3"/>
      <c r="AH138" s="4"/>
      <c r="AI138" s="4"/>
      <c r="AR138" s="1"/>
      <c r="AS138" s="1"/>
    </row>
    <row r="139" spans="2:45" x14ac:dyDescent="0.2">
      <c r="B139" s="164" t="s">
        <v>143</v>
      </c>
      <c r="C139" s="165" t="s">
        <v>89</v>
      </c>
      <c r="D139" s="184">
        <v>24</v>
      </c>
      <c r="E139" s="207"/>
      <c r="F139" s="98"/>
      <c r="AG139" s="3"/>
      <c r="AH139" s="4"/>
      <c r="AI139" s="4"/>
      <c r="AR139" s="1"/>
      <c r="AS139" s="1"/>
    </row>
    <row r="140" spans="2:45" x14ac:dyDescent="0.2">
      <c r="B140" s="164" t="s">
        <v>144</v>
      </c>
      <c r="C140" s="165" t="s">
        <v>89</v>
      </c>
      <c r="D140" s="184">
        <f>+J133</f>
        <v>24</v>
      </c>
      <c r="E140" s="207"/>
      <c r="F140" s="98"/>
      <c r="AG140" s="3"/>
      <c r="AH140" s="4"/>
      <c r="AI140" s="4"/>
      <c r="AR140" s="1"/>
      <c r="AS140" s="1"/>
    </row>
    <row r="141" spans="2:45" ht="15" x14ac:dyDescent="0.25">
      <c r="B141" s="162" t="s">
        <v>177</v>
      </c>
      <c r="C141" s="161"/>
      <c r="D141" s="161"/>
      <c r="E141" s="207"/>
      <c r="F141" s="98"/>
      <c r="AG141" s="3"/>
      <c r="AH141" s="4"/>
      <c r="AI141" s="4"/>
      <c r="AR141" s="1"/>
      <c r="AS141" s="1"/>
    </row>
    <row r="142" spans="2:45" ht="12.75" customHeight="1" x14ac:dyDescent="0.2">
      <c r="B142" s="164" t="s">
        <v>178</v>
      </c>
      <c r="C142" s="165" t="s">
        <v>89</v>
      </c>
      <c r="D142" s="184">
        <f>+J134</f>
        <v>15</v>
      </c>
      <c r="E142" s="207"/>
      <c r="F142" s="98"/>
      <c r="AG142" s="3"/>
      <c r="AH142" s="4"/>
      <c r="AI142" s="4"/>
      <c r="AR142" s="1"/>
      <c r="AS142" s="1"/>
    </row>
    <row r="143" spans="2:45" x14ac:dyDescent="0.2">
      <c r="B143" s="164" t="s">
        <v>144</v>
      </c>
      <c r="C143" s="165" t="s">
        <v>89</v>
      </c>
      <c r="D143" s="184">
        <f>+J134</f>
        <v>15</v>
      </c>
      <c r="E143" s="207"/>
      <c r="F143" s="98"/>
      <c r="AG143" s="3"/>
      <c r="AH143" s="4"/>
      <c r="AI143" s="4"/>
      <c r="AR143" s="1"/>
      <c r="AS143" s="1"/>
    </row>
    <row r="144" spans="2:45" ht="15" x14ac:dyDescent="0.25">
      <c r="B144" s="162" t="s">
        <v>179</v>
      </c>
      <c r="C144" s="161"/>
      <c r="D144" s="161"/>
      <c r="E144" s="207"/>
      <c r="F144" s="98"/>
      <c r="AG144" s="3"/>
      <c r="AH144" s="4"/>
      <c r="AI144" s="4"/>
      <c r="AR144" s="1"/>
      <c r="AS144" s="1"/>
    </row>
    <row r="145" spans="2:45" ht="12.75" customHeight="1" x14ac:dyDescent="0.2">
      <c r="B145" s="164" t="s">
        <v>180</v>
      </c>
      <c r="C145" s="165" t="s">
        <v>89</v>
      </c>
      <c r="D145" s="184">
        <f>+J135</f>
        <v>18</v>
      </c>
      <c r="E145" s="207"/>
      <c r="F145" s="98"/>
      <c r="AG145" s="3"/>
      <c r="AH145" s="4"/>
      <c r="AI145" s="4"/>
      <c r="AR145" s="1"/>
      <c r="AS145" s="1"/>
    </row>
    <row r="146" spans="2:45" x14ac:dyDescent="0.2">
      <c r="B146" s="164" t="s">
        <v>144</v>
      </c>
      <c r="C146" s="165" t="s">
        <v>89</v>
      </c>
      <c r="D146" s="184">
        <f>+J135</f>
        <v>18</v>
      </c>
      <c r="E146" s="207"/>
      <c r="F146" s="98"/>
      <c r="G146" s="60">
        <f>SUM(F131:F146)</f>
        <v>0</v>
      </c>
      <c r="AG146" s="3"/>
      <c r="AH146" s="4"/>
      <c r="AI146" s="4"/>
      <c r="AR146" s="1"/>
      <c r="AS146" s="1"/>
    </row>
    <row r="147" spans="2:45" ht="15" x14ac:dyDescent="0.25">
      <c r="B147" s="162" t="s">
        <v>96</v>
      </c>
      <c r="C147" s="161"/>
      <c r="D147" s="161"/>
      <c r="E147" s="207"/>
      <c r="F147" s="98"/>
      <c r="AG147" s="3"/>
      <c r="AH147" s="4"/>
      <c r="AI147" s="4"/>
      <c r="AR147" s="1"/>
      <c r="AS147" s="1"/>
    </row>
    <row r="148" spans="2:45" x14ac:dyDescent="0.2">
      <c r="B148" s="164" t="s">
        <v>145</v>
      </c>
      <c r="C148" s="165" t="s">
        <v>97</v>
      </c>
      <c r="D148" s="184">
        <v>50</v>
      </c>
      <c r="E148" s="207"/>
      <c r="F148" s="98"/>
      <c r="AG148" s="3"/>
      <c r="AH148" s="4"/>
      <c r="AI148" s="4"/>
      <c r="AR148" s="1"/>
      <c r="AS148" s="1"/>
    </row>
    <row r="149" spans="2:45" ht="15" x14ac:dyDescent="0.25">
      <c r="B149" s="162" t="s">
        <v>181</v>
      </c>
      <c r="C149" s="161"/>
      <c r="D149" s="161"/>
      <c r="E149" s="207"/>
      <c r="F149" s="98"/>
      <c r="AG149" s="3"/>
      <c r="AH149" s="4"/>
      <c r="AI149" s="4"/>
      <c r="AR149" s="1"/>
      <c r="AS149" s="1"/>
    </row>
    <row r="150" spans="2:45" ht="33.75" x14ac:dyDescent="0.2">
      <c r="B150" s="188" t="s">
        <v>182</v>
      </c>
      <c r="C150" s="189" t="s">
        <v>97</v>
      </c>
      <c r="D150" s="6">
        <v>40</v>
      </c>
      <c r="E150" s="207"/>
      <c r="F150" s="190"/>
      <c r="G150" s="208">
        <f>SUM(F148:F150)</f>
        <v>0</v>
      </c>
      <c r="AG150" s="3"/>
      <c r="AH150" s="4"/>
      <c r="AI150" s="4"/>
      <c r="AR150" s="1"/>
      <c r="AS150" s="1"/>
    </row>
    <row r="151" spans="2:45" x14ac:dyDescent="0.2">
      <c r="B151" s="162" t="s">
        <v>81</v>
      </c>
      <c r="C151" s="32"/>
      <c r="D151" s="32"/>
      <c r="E151" s="193"/>
      <c r="F151" s="166"/>
      <c r="G151" s="1">
        <v>33807900</v>
      </c>
      <c r="AG151" s="3"/>
      <c r="AH151" s="4"/>
      <c r="AI151" s="4"/>
      <c r="AR151" s="1"/>
      <c r="AS151" s="1"/>
    </row>
    <row r="153" spans="2:45" ht="39" customHeight="1" x14ac:dyDescent="0.2">
      <c r="B153" s="223" t="s">
        <v>147</v>
      </c>
      <c r="C153" s="223"/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  <c r="Y153" s="223"/>
      <c r="Z153" s="223"/>
      <c r="AA153" s="223"/>
      <c r="AB153" s="223"/>
      <c r="AC153" s="223"/>
      <c r="AD153" s="223"/>
      <c r="AE153" s="223"/>
      <c r="AF153" s="223"/>
      <c r="AG153" s="223"/>
      <c r="AH153" s="223"/>
    </row>
    <row r="154" spans="2:45" x14ac:dyDescent="0.2">
      <c r="B154" s="2"/>
    </row>
    <row r="155" spans="2:45" x14ac:dyDescent="0.2">
      <c r="B155" s="215" t="s">
        <v>148</v>
      </c>
      <c r="C155" s="159" t="s">
        <v>149</v>
      </c>
      <c r="D155" s="167"/>
      <c r="E155" s="167"/>
    </row>
    <row r="156" spans="2:45" x14ac:dyDescent="0.2">
      <c r="B156" s="216"/>
      <c r="C156" s="169">
        <v>0.14000000000000001</v>
      </c>
      <c r="D156" s="168"/>
      <c r="E156" s="168"/>
    </row>
    <row r="158" spans="2:45" x14ac:dyDescent="0.2">
      <c r="B158" s="2" t="s">
        <v>153</v>
      </c>
    </row>
    <row r="159" spans="2:45" x14ac:dyDescent="0.2">
      <c r="B159" s="2"/>
      <c r="AE159" s="3"/>
      <c r="AF159" s="4"/>
      <c r="AG159" s="4"/>
      <c r="AH159" s="4"/>
      <c r="AI159" s="4"/>
      <c r="AP159" s="1"/>
      <c r="AQ159" s="1"/>
      <c r="AR159" s="1"/>
      <c r="AS159" s="1"/>
    </row>
    <row r="160" spans="2:45" ht="12" thickBot="1" x14ac:dyDescent="0.25">
      <c r="B160" s="112" t="s">
        <v>107</v>
      </c>
      <c r="C160" s="113" t="s">
        <v>108</v>
      </c>
      <c r="D160" s="114" t="s">
        <v>186</v>
      </c>
      <c r="E160" s="112" t="s">
        <v>109</v>
      </c>
      <c r="F160" s="112" t="s">
        <v>110</v>
      </c>
      <c r="AE160" s="3"/>
      <c r="AF160" s="4"/>
      <c r="AG160" s="4"/>
      <c r="AH160" s="4"/>
      <c r="AI160" s="4"/>
      <c r="AP160" s="1"/>
      <c r="AQ160" s="1"/>
      <c r="AR160" s="1"/>
      <c r="AS160" s="1"/>
    </row>
    <row r="161" spans="2:45" x14ac:dyDescent="0.2">
      <c r="B161" s="115" t="s">
        <v>111</v>
      </c>
      <c r="C161" s="116">
        <f>SUM(C162:C165)</f>
        <v>1819932411.031805</v>
      </c>
      <c r="D161" s="116">
        <f>SUM(D162:D165)</f>
        <v>254790538</v>
      </c>
      <c r="E161" s="116">
        <f>SUM(E162:E165)</f>
        <v>48410202</v>
      </c>
      <c r="F161" s="117">
        <f>SUM(C161:E161)</f>
        <v>2123133151.031805</v>
      </c>
      <c r="AE161" s="3"/>
      <c r="AF161" s="4"/>
      <c r="AG161" s="4"/>
      <c r="AH161" s="4"/>
      <c r="AI161" s="4"/>
      <c r="AP161" s="1"/>
      <c r="AQ161" s="1"/>
      <c r="AR161" s="1"/>
      <c r="AS161" s="1"/>
    </row>
    <row r="162" spans="2:45" ht="12" x14ac:dyDescent="0.2">
      <c r="B162" s="118" t="s">
        <v>112</v>
      </c>
      <c r="C162" s="54">
        <f>AH43</f>
        <v>1819932411.031805</v>
      </c>
      <c r="D162" s="107">
        <f>ROUND(C162*$C$156,0)</f>
        <v>254790538</v>
      </c>
      <c r="E162" s="54">
        <f>ROUND(D162*0.19,0)</f>
        <v>48410202</v>
      </c>
      <c r="F162" s="119">
        <f>SUM(C162:E162)</f>
        <v>2123133151.031805</v>
      </c>
      <c r="AE162" s="3"/>
      <c r="AF162" s="4"/>
      <c r="AG162" s="4"/>
      <c r="AH162" s="4"/>
      <c r="AI162" s="4"/>
      <c r="AP162" s="1"/>
      <c r="AQ162" s="1"/>
      <c r="AR162" s="1"/>
      <c r="AS162" s="1"/>
    </row>
    <row r="163" spans="2:45" ht="12" x14ac:dyDescent="0.2">
      <c r="B163" s="118" t="s">
        <v>89</v>
      </c>
      <c r="C163" s="54">
        <f>F56</f>
        <v>0</v>
      </c>
      <c r="D163" s="107">
        <f>ROUND(C163*$C$156,0)</f>
        <v>0</v>
      </c>
      <c r="E163" s="54">
        <f>ROUND(D163*0.19,0)</f>
        <v>0</v>
      </c>
      <c r="F163" s="119">
        <f>SUM(C163:E163)</f>
        <v>0</v>
      </c>
      <c r="AE163" s="3"/>
      <c r="AF163" s="4"/>
      <c r="AG163" s="4"/>
      <c r="AH163" s="4"/>
      <c r="AI163" s="4"/>
      <c r="AP163" s="1"/>
      <c r="AQ163" s="1"/>
      <c r="AR163" s="1"/>
      <c r="AS163" s="1"/>
    </row>
    <row r="164" spans="2:45" x14ac:dyDescent="0.2">
      <c r="B164" s="118" t="s">
        <v>97</v>
      </c>
      <c r="C164" s="54">
        <f>F64</f>
        <v>0</v>
      </c>
      <c r="D164" s="59"/>
      <c r="E164" s="59"/>
      <c r="F164" s="119">
        <f>SUM(C164:E164)</f>
        <v>0</v>
      </c>
      <c r="AE164" s="3"/>
      <c r="AF164" s="4"/>
      <c r="AG164" s="4"/>
      <c r="AH164" s="4"/>
      <c r="AI164" s="4"/>
      <c r="AP164" s="1"/>
      <c r="AQ164" s="1"/>
      <c r="AR164" s="1"/>
      <c r="AS164" s="1"/>
    </row>
    <row r="165" spans="2:45" ht="12.75" thickBot="1" x14ac:dyDescent="0.25">
      <c r="B165" s="120" t="s">
        <v>104</v>
      </c>
      <c r="C165" s="121">
        <f>F70</f>
        <v>0</v>
      </c>
      <c r="D165" s="123">
        <f>ROUND(C165*$C$156,0)</f>
        <v>0</v>
      </c>
      <c r="E165" s="121">
        <f>ROUND(D165*0.19,0)</f>
        <v>0</v>
      </c>
      <c r="F165" s="122">
        <f>SUM(C165:E165)</f>
        <v>0</v>
      </c>
      <c r="AE165" s="3"/>
      <c r="AF165" s="4"/>
      <c r="AG165" s="4"/>
      <c r="AH165" s="4"/>
      <c r="AI165" s="4"/>
      <c r="AP165" s="1"/>
      <c r="AQ165" s="1"/>
      <c r="AR165" s="1"/>
      <c r="AS165" s="1"/>
    </row>
    <row r="166" spans="2:45" ht="12" x14ac:dyDescent="0.2">
      <c r="B166" s="124" t="s">
        <v>187</v>
      </c>
      <c r="C166" s="125">
        <f>SUM(C167:C169)</f>
        <v>646643648.27921641</v>
      </c>
      <c r="D166" s="125">
        <f>SUM(D167:D169)</f>
        <v>90530111</v>
      </c>
      <c r="E166" s="125">
        <f>SUM(E167:E169)</f>
        <v>17200721</v>
      </c>
      <c r="F166" s="126">
        <f>SUM(F167:F169)</f>
        <v>754374480.27921641</v>
      </c>
      <c r="AE166" s="3"/>
      <c r="AF166" s="4"/>
      <c r="AG166" s="4"/>
      <c r="AH166" s="4"/>
      <c r="AI166" s="4"/>
      <c r="AP166" s="1"/>
      <c r="AQ166" s="1"/>
      <c r="AR166" s="1"/>
      <c r="AS166" s="1"/>
    </row>
    <row r="167" spans="2:45" ht="12" x14ac:dyDescent="0.2">
      <c r="B167" s="127" t="s">
        <v>112</v>
      </c>
      <c r="C167" s="107">
        <f>+AH84</f>
        <v>646643648.27921641</v>
      </c>
      <c r="D167" s="107">
        <f>ROUND(C167*$C$156,0)</f>
        <v>90530111</v>
      </c>
      <c r="E167" s="107">
        <f t="shared" ref="E167:E168" si="122">ROUND(D167*0.19,0)</f>
        <v>17200721</v>
      </c>
      <c r="F167" s="128">
        <f>SUM(C167:E167)</f>
        <v>754374480.27921641</v>
      </c>
      <c r="AE167" s="3"/>
      <c r="AF167" s="4"/>
      <c r="AG167" s="4"/>
      <c r="AH167" s="4"/>
      <c r="AI167" s="4"/>
      <c r="AP167" s="1"/>
      <c r="AQ167" s="1"/>
      <c r="AR167" s="1"/>
      <c r="AS167" s="1"/>
    </row>
    <row r="168" spans="2:45" ht="12" x14ac:dyDescent="0.2">
      <c r="B168" s="127" t="s">
        <v>89</v>
      </c>
      <c r="C168" s="107">
        <f>+G102</f>
        <v>0</v>
      </c>
      <c r="D168" s="107">
        <f>ROUND(C168*$C$156,0)</f>
        <v>0</v>
      </c>
      <c r="E168" s="107">
        <f t="shared" si="122"/>
        <v>0</v>
      </c>
      <c r="F168" s="128">
        <f t="shared" ref="F168:F169" si="123">SUM(C168:E168)</f>
        <v>0</v>
      </c>
      <c r="AE168" s="3"/>
      <c r="AF168" s="4"/>
      <c r="AG168" s="4"/>
      <c r="AH168" s="4"/>
      <c r="AI168" s="4"/>
      <c r="AP168" s="1"/>
      <c r="AQ168" s="1"/>
      <c r="AR168" s="1"/>
      <c r="AS168" s="1"/>
    </row>
    <row r="169" spans="2:45" ht="12.75" thickBot="1" x14ac:dyDescent="0.25">
      <c r="B169" s="129" t="s">
        <v>97</v>
      </c>
      <c r="C169" s="123">
        <f>+G104</f>
        <v>0</v>
      </c>
      <c r="D169" s="130"/>
      <c r="E169" s="130"/>
      <c r="F169" s="131">
        <f t="shared" si="123"/>
        <v>0</v>
      </c>
      <c r="AE169" s="3"/>
      <c r="AF169" s="4"/>
      <c r="AG169" s="4"/>
      <c r="AH169" s="4"/>
      <c r="AI169" s="4"/>
      <c r="AP169" s="1"/>
      <c r="AQ169" s="1"/>
      <c r="AR169" s="1"/>
      <c r="AS169" s="1"/>
    </row>
    <row r="170" spans="2:45" ht="12" x14ac:dyDescent="0.2">
      <c r="B170" s="124" t="s">
        <v>188</v>
      </c>
      <c r="C170" s="125">
        <f>SUM(C171:C173)</f>
        <v>1159832208.9455667</v>
      </c>
      <c r="D170" s="125">
        <f>SUM(D171:D173)</f>
        <v>162376509</v>
      </c>
      <c r="E170" s="125">
        <f>SUM(E171:E173)</f>
        <v>30851537</v>
      </c>
      <c r="F170" s="126">
        <f>SUM(F171:F173)</f>
        <v>1353060254.9455667</v>
      </c>
      <c r="AE170" s="3"/>
      <c r="AF170" s="4"/>
      <c r="AG170" s="4"/>
      <c r="AH170" s="4"/>
      <c r="AI170" s="4"/>
      <c r="AP170" s="1"/>
      <c r="AQ170" s="1"/>
      <c r="AR170" s="1"/>
      <c r="AS170" s="1"/>
    </row>
    <row r="171" spans="2:45" ht="12" x14ac:dyDescent="0.2">
      <c r="B171" s="127" t="s">
        <v>112</v>
      </c>
      <c r="C171" s="181">
        <f>AH126</f>
        <v>1159832208.9455667</v>
      </c>
      <c r="D171" s="107">
        <f>ROUND(C171*$C$156,0)</f>
        <v>162376509</v>
      </c>
      <c r="E171" s="182">
        <f t="shared" ref="E171:E172" si="124">ROUND(D171*0.19,0)</f>
        <v>30851537</v>
      </c>
      <c r="F171" s="119">
        <f>SUM(C171:E171)</f>
        <v>1353060254.9455667</v>
      </c>
      <c r="AE171" s="3"/>
      <c r="AF171" s="4"/>
      <c r="AG171" s="4"/>
      <c r="AH171" s="4"/>
      <c r="AI171" s="4"/>
      <c r="AP171" s="1"/>
      <c r="AQ171" s="1"/>
      <c r="AR171" s="1"/>
      <c r="AS171" s="1"/>
    </row>
    <row r="172" spans="2:45" ht="12" x14ac:dyDescent="0.2">
      <c r="B172" s="127" t="s">
        <v>89</v>
      </c>
      <c r="C172" s="181">
        <f>+G146</f>
        <v>0</v>
      </c>
      <c r="D172" s="107">
        <f>ROUND(C172*$C$156,0)</f>
        <v>0</v>
      </c>
      <c r="E172" s="182">
        <f t="shared" si="124"/>
        <v>0</v>
      </c>
      <c r="F172" s="119">
        <f t="shared" ref="F172:F173" si="125">SUM(C172:E172)</f>
        <v>0</v>
      </c>
      <c r="AE172" s="3"/>
      <c r="AF172" s="4"/>
      <c r="AG172" s="4"/>
      <c r="AH172" s="4"/>
      <c r="AI172" s="4"/>
      <c r="AP172" s="1"/>
      <c r="AQ172" s="1"/>
      <c r="AR172" s="1"/>
      <c r="AS172" s="1"/>
    </row>
    <row r="173" spans="2:45" ht="12" thickBot="1" x14ac:dyDescent="0.25">
      <c r="B173" s="129" t="s">
        <v>97</v>
      </c>
      <c r="C173" s="183">
        <f>+G150</f>
        <v>0</v>
      </c>
      <c r="D173" s="170"/>
      <c r="E173" s="170"/>
      <c r="F173" s="122">
        <f t="shared" si="125"/>
        <v>0</v>
      </c>
      <c r="AE173" s="3"/>
      <c r="AF173" s="4"/>
      <c r="AG173" s="4"/>
      <c r="AH173" s="4"/>
      <c r="AI173" s="4"/>
      <c r="AP173" s="1"/>
      <c r="AQ173" s="1"/>
      <c r="AR173" s="1"/>
      <c r="AS173" s="1"/>
    </row>
    <row r="174" spans="2:45" x14ac:dyDescent="0.2">
      <c r="H174" s="171"/>
    </row>
    <row r="175" spans="2:45" s="2" customFormat="1" x14ac:dyDescent="0.2">
      <c r="B175" s="110" t="s">
        <v>81</v>
      </c>
      <c r="C175" s="111"/>
      <c r="D175" s="111"/>
      <c r="E175" s="111"/>
      <c r="F175" s="111"/>
      <c r="G175" s="1"/>
      <c r="H175" s="1"/>
      <c r="AI175" s="132"/>
      <c r="AJ175" s="133"/>
      <c r="AK175" s="133"/>
      <c r="AL175" s="133"/>
      <c r="AM175" s="133"/>
      <c r="AN175" s="133"/>
      <c r="AO175" s="133"/>
      <c r="AP175" s="133"/>
      <c r="AQ175" s="133"/>
      <c r="AR175" s="133"/>
      <c r="AS175" s="133"/>
    </row>
    <row r="177" spans="2:7" ht="15" x14ac:dyDescent="0.25">
      <c r="B177" s="110" t="s">
        <v>150</v>
      </c>
      <c r="C177" s="111">
        <f>C175</f>
        <v>0</v>
      </c>
      <c r="D177" s="187"/>
      <c r="G177" s="157"/>
    </row>
    <row r="178" spans="2:7" x14ac:dyDescent="0.2">
      <c r="B178" s="110" t="s">
        <v>151</v>
      </c>
      <c r="C178" s="111">
        <f>D175+E175</f>
        <v>0</v>
      </c>
      <c r="D178" s="187"/>
      <c r="G178" s="60"/>
    </row>
    <row r="179" spans="2:7" x14ac:dyDescent="0.2">
      <c r="B179" s="110" t="s">
        <v>152</v>
      </c>
      <c r="C179" s="111">
        <f>F175</f>
        <v>0</v>
      </c>
      <c r="D179" s="187"/>
    </row>
  </sheetData>
  <mergeCells count="61">
    <mergeCell ref="AU6:BB6"/>
    <mergeCell ref="BE6:BE7"/>
    <mergeCell ref="K6:K8"/>
    <mergeCell ref="L6:M6"/>
    <mergeCell ref="N6:O6"/>
    <mergeCell ref="P6:Q6"/>
    <mergeCell ref="R6:S6"/>
    <mergeCell ref="T6:U6"/>
    <mergeCell ref="A33:A34"/>
    <mergeCell ref="V6:W6"/>
    <mergeCell ref="X6:Y6"/>
    <mergeCell ref="Z6:Z8"/>
    <mergeCell ref="AH6:AH7"/>
    <mergeCell ref="B6:B7"/>
    <mergeCell ref="D6:D8"/>
    <mergeCell ref="E6:E8"/>
    <mergeCell ref="F6:H7"/>
    <mergeCell ref="I6:I8"/>
    <mergeCell ref="J6:J8"/>
    <mergeCell ref="A9:A11"/>
    <mergeCell ref="A13:A14"/>
    <mergeCell ref="A20:A22"/>
    <mergeCell ref="A24:A25"/>
    <mergeCell ref="A30:A31"/>
    <mergeCell ref="P76:Q76"/>
    <mergeCell ref="R76:S76"/>
    <mergeCell ref="A36:A37"/>
    <mergeCell ref="B76:B77"/>
    <mergeCell ref="D76:D78"/>
    <mergeCell ref="E76:E78"/>
    <mergeCell ref="F76:H77"/>
    <mergeCell ref="I76:I78"/>
    <mergeCell ref="A79:A80"/>
    <mergeCell ref="J76:J78"/>
    <mergeCell ref="K76:K78"/>
    <mergeCell ref="L76:M76"/>
    <mergeCell ref="N76:O76"/>
    <mergeCell ref="T76:U76"/>
    <mergeCell ref="V76:W76"/>
    <mergeCell ref="X76:Y76"/>
    <mergeCell ref="Z76:Z78"/>
    <mergeCell ref="AH76:AH77"/>
    <mergeCell ref="A81:A82"/>
    <mergeCell ref="B109:B110"/>
    <mergeCell ref="D109:D111"/>
    <mergeCell ref="E109:E111"/>
    <mergeCell ref="F109:H110"/>
    <mergeCell ref="AH109:AH110"/>
    <mergeCell ref="B153:AH153"/>
    <mergeCell ref="J109:J111"/>
    <mergeCell ref="K109:K111"/>
    <mergeCell ref="L109:M109"/>
    <mergeCell ref="N109:O109"/>
    <mergeCell ref="P109:Q109"/>
    <mergeCell ref="R109:S109"/>
    <mergeCell ref="I109:I111"/>
    <mergeCell ref="B155:B156"/>
    <mergeCell ref="T109:U109"/>
    <mergeCell ref="V109:W109"/>
    <mergeCell ref="X109:Y109"/>
    <mergeCell ref="Z109:Z111"/>
  </mergeCells>
  <pageMargins left="0.7" right="0.7" top="0.75" bottom="0.75" header="0.3" footer="0.3"/>
  <pageSetup scale="92" orientation="landscape" r:id="rId1"/>
  <rowBreaks count="1" manualBreakCount="1">
    <brk id="31" max="16383" man="1"/>
  </rowBreaks>
  <colBreaks count="2" manualBreakCount="2">
    <brk id="11" max="1048575" man="1"/>
    <brk id="4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juridica1</cp:lastModifiedBy>
  <dcterms:created xsi:type="dcterms:W3CDTF">2026-01-08T20:29:13Z</dcterms:created>
  <dcterms:modified xsi:type="dcterms:W3CDTF">2026-03-10T23:54:35Z</dcterms:modified>
</cp:coreProperties>
</file>